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gc1.local\MainFS\BDR\DKU\OAK\SCM\IR\IR материалы\2026\3 квартал\Производство\на сайт\"/>
    </mc:Choice>
  </mc:AlternateContent>
  <bookViews>
    <workbookView xWindow="0" yWindow="0" windowWidth="25590" windowHeight="9585" firstSheet="1" activeTab="6"/>
  </bookViews>
  <sheets>
    <sheet name="1. Выработка электроэнергии" sheetId="1" r:id="rId1"/>
    <sheet name="2. Отпуск теплоэнергии" sheetId="2" r:id="rId2"/>
    <sheet name="3. УРУТ" sheetId="3" r:id="rId3"/>
    <sheet name="4. КИУМ" sheetId="4" r:id="rId4"/>
    <sheet name="5. Реализация э.э. и мощности" sheetId="5" r:id="rId5"/>
    <sheet name="6. Покупка э.э. и мощности" sheetId="6" r:id="rId6"/>
    <sheet name="7. Потребление топлива" sheetId="7" r:id="rId7"/>
  </sheets>
  <externalReferences>
    <externalReference r:id="rId8"/>
  </externalReferences>
  <definedNames>
    <definedName name="_xlnm.Print_Area" localSheetId="0">'1. Выработка электроэнергии'!$A$1:$A$36</definedName>
  </definedNames>
  <calcPr calcId="162913"/>
</workbook>
</file>

<file path=xl/calcChain.xml><?xml version="1.0" encoding="utf-8"?>
<calcChain xmlns="http://schemas.openxmlformats.org/spreadsheetml/2006/main">
  <c r="J15" i="6" l="1"/>
  <c r="K15" i="6"/>
  <c r="K7" i="6"/>
  <c r="J7" i="6"/>
  <c r="AC14" i="2"/>
  <c r="AL14" i="7" l="1"/>
  <c r="AM14" i="7"/>
  <c r="AC27" i="2"/>
  <c r="AC28" i="2"/>
  <c r="G7" i="6"/>
  <c r="H7" i="6"/>
  <c r="I7" i="6"/>
  <c r="I15" i="6"/>
  <c r="H15" i="6"/>
  <c r="G15" i="6"/>
  <c r="F15" i="6"/>
  <c r="E15" i="6"/>
  <c r="D15" i="6"/>
  <c r="C15" i="6"/>
  <c r="B15" i="6"/>
  <c r="X14" i="2"/>
  <c r="S14" i="2"/>
  <c r="T14" i="2"/>
  <c r="U14" i="2"/>
  <c r="W14" i="2" s="1"/>
  <c r="V14" i="2"/>
  <c r="AB14" i="2"/>
  <c r="AC35" i="1"/>
  <c r="AB33" i="1"/>
  <c r="AC33" i="1"/>
  <c r="AC32" i="1"/>
  <c r="AC28" i="1"/>
  <c r="AC22" i="1"/>
  <c r="AB16" i="1"/>
  <c r="AC16" i="1"/>
  <c r="K6" i="6" l="1"/>
  <c r="K5" i="6"/>
  <c r="K14" i="5" l="1"/>
  <c r="K15" i="5"/>
  <c r="K16" i="5"/>
  <c r="K17" i="5"/>
  <c r="K18" i="5"/>
  <c r="K19" i="5"/>
  <c r="K20" i="5"/>
  <c r="K13" i="5"/>
  <c r="J11" i="5"/>
  <c r="K6" i="5"/>
  <c r="K7" i="5"/>
  <c r="K8" i="5"/>
  <c r="K9" i="5"/>
  <c r="K10" i="5"/>
  <c r="K11" i="5"/>
  <c r="K5" i="5"/>
  <c r="J20" i="5"/>
  <c r="AL23" i="7" l="1"/>
  <c r="AB25" i="2" l="1"/>
  <c r="Z23" i="2"/>
  <c r="AA23" i="2"/>
  <c r="Y23" i="2"/>
  <c r="AB22" i="2"/>
  <c r="AB21" i="2"/>
  <c r="Z19" i="2"/>
  <c r="AA19" i="2"/>
  <c r="Y19" i="2"/>
  <c r="AB18" i="2"/>
  <c r="AB17" i="2"/>
  <c r="AB16" i="2"/>
  <c r="Z14" i="2"/>
  <c r="AA14" i="2"/>
  <c r="Y14" i="2"/>
  <c r="AB13" i="2"/>
  <c r="AB12" i="2"/>
  <c r="AB11" i="2"/>
  <c r="AB10" i="2"/>
  <c r="AB9" i="2"/>
  <c r="AB8" i="2"/>
  <c r="AB7" i="2"/>
  <c r="AB6" i="2"/>
  <c r="AB5" i="2"/>
  <c r="Y35" i="1"/>
  <c r="Z35" i="1"/>
  <c r="AA35" i="1"/>
  <c r="AB30" i="1"/>
  <c r="AA27" i="1"/>
  <c r="AA28" i="1" s="1"/>
  <c r="Z27" i="1"/>
  <c r="Z28" i="1" s="1"/>
  <c r="Y27" i="1"/>
  <c r="Y28" i="1" s="1"/>
  <c r="AB26" i="1"/>
  <c r="AB25" i="1"/>
  <c r="AB24" i="1"/>
  <c r="AA21" i="1"/>
  <c r="AA36" i="1" s="1"/>
  <c r="Z21" i="1"/>
  <c r="Z22" i="1" s="1"/>
  <c r="Y21" i="1"/>
  <c r="AB20" i="1"/>
  <c r="AB19" i="1"/>
  <c r="AB18" i="1"/>
  <c r="Z16" i="1"/>
  <c r="AA16" i="1"/>
  <c r="Y16" i="1"/>
  <c r="AB15" i="1"/>
  <c r="AB14" i="1"/>
  <c r="AB13" i="1"/>
  <c r="AB12" i="1"/>
  <c r="AB11" i="1"/>
  <c r="AB10" i="1"/>
  <c r="AB9" i="1"/>
  <c r="AB8" i="1"/>
  <c r="AB7" i="1"/>
  <c r="AB6" i="1"/>
  <c r="AB5" i="1"/>
  <c r="Z36" i="1" l="1"/>
  <c r="Y36" i="1"/>
  <c r="Z33" i="1"/>
  <c r="Z32" i="1"/>
  <c r="Y22" i="1"/>
  <c r="Y33" i="1" s="1"/>
  <c r="AA22" i="1"/>
  <c r="AA32" i="1" s="1"/>
  <c r="AB27" i="1"/>
  <c r="AB21" i="1"/>
  <c r="AB22" i="1" s="1"/>
  <c r="AB35" i="1"/>
  <c r="AB23" i="2"/>
  <c r="Y28" i="2"/>
  <c r="AA27" i="2"/>
  <c r="Z28" i="2"/>
  <c r="AA28" i="2"/>
  <c r="Z27" i="2"/>
  <c r="Y27" i="2"/>
  <c r="AB19" i="2"/>
  <c r="AO7" i="7"/>
  <c r="AO8" i="7"/>
  <c r="AO9" i="7"/>
  <c r="AO10" i="7"/>
  <c r="AO11" i="7"/>
  <c r="AO12" i="7"/>
  <c r="AO13" i="7"/>
  <c r="AO14" i="7"/>
  <c r="AO16" i="7"/>
  <c r="AO17" i="7"/>
  <c r="AO18" i="7"/>
  <c r="AO20" i="7"/>
  <c r="AO21" i="7"/>
  <c r="AO6" i="7"/>
  <c r="AN7" i="7"/>
  <c r="AN8" i="7"/>
  <c r="AN9" i="7"/>
  <c r="AN10" i="7"/>
  <c r="AN11" i="7"/>
  <c r="AN12" i="7"/>
  <c r="AN13" i="7"/>
  <c r="AN14" i="7"/>
  <c r="AN16" i="7"/>
  <c r="AN17" i="7"/>
  <c r="AN18" i="7"/>
  <c r="AN20" i="7"/>
  <c r="AN21" i="7"/>
  <c r="AN6" i="7"/>
  <c r="AM7" i="7"/>
  <c r="AM8" i="7"/>
  <c r="AM9" i="7"/>
  <c r="AM10" i="7"/>
  <c r="AM11" i="7"/>
  <c r="AM12" i="7"/>
  <c r="AM13" i="7"/>
  <c r="AM16" i="7"/>
  <c r="AM17" i="7"/>
  <c r="AM18" i="7"/>
  <c r="AM20" i="7"/>
  <c r="AM21" i="7"/>
  <c r="AM6" i="7"/>
  <c r="AL16" i="7"/>
  <c r="AL17" i="7"/>
  <c r="AL18" i="7"/>
  <c r="AL20" i="7"/>
  <c r="AL21" i="7"/>
  <c r="AL7" i="7"/>
  <c r="AL8" i="7"/>
  <c r="AL9" i="7"/>
  <c r="AL10" i="7"/>
  <c r="AL11" i="7"/>
  <c r="AL12" i="7"/>
  <c r="AL13" i="7"/>
  <c r="AL6" i="7"/>
  <c r="AG22" i="7"/>
  <c r="AH22" i="7"/>
  <c r="AI22" i="7"/>
  <c r="AJ22" i="7"/>
  <c r="AK22" i="7"/>
  <c r="AO22" i="7" s="1"/>
  <c r="AF22" i="7"/>
  <c r="AE22" i="7"/>
  <c r="AM22" i="7" s="1"/>
  <c r="AD22" i="7"/>
  <c r="AC22" i="7"/>
  <c r="AB22" i="7"/>
  <c r="AA22" i="7"/>
  <c r="Z22" i="7"/>
  <c r="Y22" i="7"/>
  <c r="X22" i="7"/>
  <c r="W22" i="7"/>
  <c r="V22" i="7"/>
  <c r="I6" i="6"/>
  <c r="I5" i="6"/>
  <c r="H20" i="5"/>
  <c r="G20" i="5"/>
  <c r="I20" i="5" s="1"/>
  <c r="I19" i="5"/>
  <c r="I18" i="5"/>
  <c r="I17" i="5"/>
  <c r="I16" i="5"/>
  <c r="I15" i="5"/>
  <c r="I14" i="5"/>
  <c r="I13" i="5"/>
  <c r="H11" i="5"/>
  <c r="G11" i="5"/>
  <c r="I10" i="5"/>
  <c r="I9" i="5"/>
  <c r="I8" i="5"/>
  <c r="I7" i="5"/>
  <c r="I6" i="5"/>
  <c r="I5" i="5"/>
  <c r="AL22" i="7" l="1"/>
  <c r="AN22" i="7"/>
  <c r="I11" i="5"/>
  <c r="AA33" i="1"/>
  <c r="AB36" i="1"/>
  <c r="AB28" i="1"/>
  <c r="Y32" i="1"/>
  <c r="AB27" i="2"/>
  <c r="AB28" i="2"/>
  <c r="AB32" i="1" l="1"/>
  <c r="W25" i="2"/>
  <c r="X25" i="2" s="1"/>
  <c r="AC25" i="2" s="1"/>
  <c r="U23" i="2"/>
  <c r="V23" i="2"/>
  <c r="T23" i="2"/>
  <c r="W22" i="2"/>
  <c r="W21" i="2"/>
  <c r="U19" i="2"/>
  <c r="V19" i="2"/>
  <c r="T19" i="2"/>
  <c r="W17" i="2"/>
  <c r="W18" i="2"/>
  <c r="W16" i="2"/>
  <c r="W6" i="2"/>
  <c r="W7" i="2"/>
  <c r="W8" i="2"/>
  <c r="W9" i="2"/>
  <c r="W10" i="2"/>
  <c r="W11" i="2"/>
  <c r="W12" i="2"/>
  <c r="W13" i="2"/>
  <c r="W5" i="2"/>
  <c r="V28" i="2" l="1"/>
  <c r="U28" i="2"/>
  <c r="T28" i="2"/>
  <c r="W19" i="2"/>
  <c r="V27" i="2"/>
  <c r="T27" i="2"/>
  <c r="U27" i="2"/>
  <c r="W23" i="2"/>
  <c r="W28" i="2" l="1"/>
  <c r="W27" i="2"/>
  <c r="W30" i="1"/>
  <c r="T35" i="1" l="1"/>
  <c r="U35" i="1"/>
  <c r="V35" i="1"/>
  <c r="W25" i="1"/>
  <c r="W26" i="1"/>
  <c r="W24" i="1"/>
  <c r="V22" i="1"/>
  <c r="W19" i="1"/>
  <c r="W20" i="1"/>
  <c r="W21" i="1"/>
  <c r="W18" i="1"/>
  <c r="V27" i="1"/>
  <c r="V28" i="1" s="1"/>
  <c r="U27" i="1"/>
  <c r="U28" i="1" s="1"/>
  <c r="U22" i="1"/>
  <c r="T27" i="1"/>
  <c r="T28" i="1" s="1"/>
  <c r="T22" i="1"/>
  <c r="W6" i="1"/>
  <c r="W7" i="1"/>
  <c r="W8" i="1"/>
  <c r="W9" i="1"/>
  <c r="W10" i="1"/>
  <c r="W11" i="1"/>
  <c r="W12" i="1"/>
  <c r="W13" i="1"/>
  <c r="W14" i="1"/>
  <c r="W16" i="1"/>
  <c r="W5" i="1"/>
  <c r="V15" i="1"/>
  <c r="V36" i="1" s="1"/>
  <c r="U15" i="1"/>
  <c r="U36" i="1" s="1"/>
  <c r="T15" i="1"/>
  <c r="T36" i="1" l="1"/>
  <c r="W35" i="1"/>
  <c r="W28" i="1"/>
  <c r="W27" i="1"/>
  <c r="W22" i="1"/>
  <c r="U32" i="1"/>
  <c r="U33" i="1"/>
  <c r="V33" i="1"/>
  <c r="V32" i="1"/>
  <c r="W15" i="1"/>
  <c r="T32" i="1"/>
  <c r="T33" i="1"/>
  <c r="W33" i="1" s="1"/>
  <c r="Q15" i="1"/>
  <c r="R15" i="1"/>
  <c r="P15" i="1"/>
  <c r="W36" i="1" l="1"/>
  <c r="W32" i="1"/>
  <c r="P35" i="1"/>
  <c r="Q35" i="1"/>
  <c r="R35" i="1"/>
  <c r="S6" i="1"/>
  <c r="X6" i="1" s="1"/>
  <c r="AC6" i="1" s="1"/>
  <c r="S7" i="1"/>
  <c r="X7" i="1" s="1"/>
  <c r="AC7" i="1" s="1"/>
  <c r="S8" i="1"/>
  <c r="X8" i="1" s="1"/>
  <c r="AC8" i="1" s="1"/>
  <c r="S9" i="1"/>
  <c r="S10" i="1"/>
  <c r="X10" i="1" s="1"/>
  <c r="AC10" i="1" s="1"/>
  <c r="S11" i="1"/>
  <c r="X11" i="1" s="1"/>
  <c r="AC11" i="1" s="1"/>
  <c r="S12" i="1"/>
  <c r="X12" i="1" s="1"/>
  <c r="AC12" i="1" s="1"/>
  <c r="S13" i="1"/>
  <c r="X13" i="1" s="1"/>
  <c r="S14" i="1"/>
  <c r="X14" i="1" s="1"/>
  <c r="AC14" i="1" s="1"/>
  <c r="S16" i="1"/>
  <c r="X16" i="1" s="1"/>
  <c r="S18" i="1"/>
  <c r="X18" i="1" s="1"/>
  <c r="S19" i="1"/>
  <c r="X19" i="1" s="1"/>
  <c r="AC19" i="1" s="1"/>
  <c r="S20" i="1"/>
  <c r="X20" i="1" s="1"/>
  <c r="AC20" i="1" s="1"/>
  <c r="S21" i="1"/>
  <c r="X21" i="1" s="1"/>
  <c r="AC21" i="1" s="1"/>
  <c r="S22" i="1"/>
  <c r="X22" i="1" s="1"/>
  <c r="S24" i="1"/>
  <c r="X24" i="1" s="1"/>
  <c r="AC24" i="1" s="1"/>
  <c r="S25" i="1"/>
  <c r="X25" i="1" s="1"/>
  <c r="AC25" i="1" s="1"/>
  <c r="S26" i="1"/>
  <c r="X26" i="1" s="1"/>
  <c r="AC26" i="1" s="1"/>
  <c r="S28" i="1"/>
  <c r="X28" i="1" s="1"/>
  <c r="S30" i="1"/>
  <c r="X30" i="1" s="1"/>
  <c r="AC30" i="1" s="1"/>
  <c r="S5" i="1"/>
  <c r="P33" i="1"/>
  <c r="Q33" i="1"/>
  <c r="R33" i="1"/>
  <c r="P32" i="1"/>
  <c r="Q32" i="1"/>
  <c r="R32" i="1"/>
  <c r="R27" i="1"/>
  <c r="R36" i="1" s="1"/>
  <c r="Q27" i="1"/>
  <c r="Q36" i="1" s="1"/>
  <c r="P27" i="1"/>
  <c r="P36" i="1" s="1"/>
  <c r="Q28" i="2"/>
  <c r="R28" i="2"/>
  <c r="P28" i="2"/>
  <c r="AC18" i="1" l="1"/>
  <c r="AC13" i="1"/>
  <c r="S33" i="1"/>
  <c r="X33" i="1" s="1"/>
  <c r="X9" i="1"/>
  <c r="AC9" i="1" s="1"/>
  <c r="S27" i="1"/>
  <c r="X27" i="1" s="1"/>
  <c r="AC27" i="1" s="1"/>
  <c r="S32" i="1"/>
  <c r="X32" i="1" s="1"/>
  <c r="X5" i="1"/>
  <c r="AC5" i="1" s="1"/>
  <c r="S35" i="1"/>
  <c r="S15" i="1"/>
  <c r="S16" i="2"/>
  <c r="S17" i="2"/>
  <c r="S18" i="2"/>
  <c r="S19" i="2"/>
  <c r="S21" i="2"/>
  <c r="S22" i="2"/>
  <c r="S23" i="2"/>
  <c r="S6" i="2"/>
  <c r="S7" i="2"/>
  <c r="S8" i="2"/>
  <c r="S9" i="2"/>
  <c r="S10" i="2"/>
  <c r="S11" i="2"/>
  <c r="S12" i="2"/>
  <c r="S13" i="2"/>
  <c r="S5" i="2"/>
  <c r="R27" i="2"/>
  <c r="Q27" i="2"/>
  <c r="P27" i="2"/>
  <c r="X35" i="1" l="1"/>
  <c r="S27" i="2"/>
  <c r="X5" i="2"/>
  <c r="X7" i="2"/>
  <c r="X21" i="2"/>
  <c r="X13" i="2"/>
  <c r="X9" i="2"/>
  <c r="X18" i="2"/>
  <c r="X11" i="2"/>
  <c r="X16" i="2"/>
  <c r="X10" i="2"/>
  <c r="X6" i="2"/>
  <c r="X12" i="2"/>
  <c r="X8" i="2"/>
  <c r="X22" i="2"/>
  <c r="X17" i="2"/>
  <c r="X15" i="1"/>
  <c r="S36" i="1"/>
  <c r="S28" i="2"/>
  <c r="AC15" i="1" l="1"/>
  <c r="X36" i="1"/>
  <c r="AC18" i="2"/>
  <c r="AC21" i="2"/>
  <c r="X23" i="2"/>
  <c r="AC5" i="2"/>
  <c r="AC17" i="2"/>
  <c r="AC6" i="2"/>
  <c r="X19" i="2"/>
  <c r="AC16" i="2"/>
  <c r="AC22" i="2"/>
  <c r="AC13" i="2"/>
  <c r="AC36" i="1" l="1"/>
  <c r="AC19" i="2"/>
  <c r="X27" i="2"/>
  <c r="X28" i="2"/>
  <c r="AC23" i="2"/>
  <c r="F20" i="5"/>
  <c r="E20" i="5"/>
  <c r="F11" i="5"/>
  <c r="E11" i="5"/>
  <c r="E7" i="6"/>
  <c r="F7" i="6"/>
  <c r="K35" i="1" l="1"/>
  <c r="D21" i="7" l="1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E22" i="7" s="1"/>
  <c r="D14" i="7"/>
  <c r="D22" i="7" s="1"/>
  <c r="C14" i="7"/>
  <c r="B14" i="7"/>
  <c r="B22" i="7" s="1"/>
  <c r="D7" i="6"/>
  <c r="C7" i="6"/>
  <c r="B7" i="6"/>
  <c r="C20" i="5"/>
  <c r="B20" i="5"/>
  <c r="D19" i="5"/>
  <c r="D18" i="5"/>
  <c r="D17" i="5"/>
  <c r="D16" i="5"/>
  <c r="D15" i="5"/>
  <c r="D14" i="5"/>
  <c r="D13" i="5"/>
  <c r="C11" i="5"/>
  <c r="B11" i="5"/>
  <c r="D10" i="5"/>
  <c r="D9" i="5"/>
  <c r="D8" i="5"/>
  <c r="D7" i="5"/>
  <c r="D6" i="5"/>
  <c r="D5" i="5"/>
  <c r="J8" i="4"/>
  <c r="J7" i="4"/>
  <c r="J6" i="4"/>
  <c r="I6" i="4"/>
  <c r="I5" i="4"/>
  <c r="H5" i="4"/>
  <c r="N25" i="2"/>
  <c r="I25" i="2"/>
  <c r="E25" i="2"/>
  <c r="M23" i="2"/>
  <c r="L23" i="2"/>
  <c r="K23" i="2"/>
  <c r="H23" i="2"/>
  <c r="G23" i="2"/>
  <c r="F23" i="2"/>
  <c r="I23" i="2" s="1"/>
  <c r="D23" i="2"/>
  <c r="C23" i="2"/>
  <c r="B23" i="2"/>
  <c r="N22" i="2"/>
  <c r="I22" i="2"/>
  <c r="E22" i="2"/>
  <c r="N21" i="2"/>
  <c r="I21" i="2"/>
  <c r="E21" i="2"/>
  <c r="M19" i="2"/>
  <c r="L19" i="2"/>
  <c r="K19" i="2"/>
  <c r="H19" i="2"/>
  <c r="G19" i="2"/>
  <c r="F19" i="2"/>
  <c r="D19" i="2"/>
  <c r="C19" i="2"/>
  <c r="N18" i="2"/>
  <c r="I18" i="2"/>
  <c r="E18" i="2"/>
  <c r="N17" i="2"/>
  <c r="I17" i="2"/>
  <c r="B17" i="2"/>
  <c r="B19" i="2" s="1"/>
  <c r="N16" i="2"/>
  <c r="I16" i="2"/>
  <c r="E16" i="2"/>
  <c r="M14" i="2"/>
  <c r="L14" i="2"/>
  <c r="K14" i="2"/>
  <c r="H14" i="2"/>
  <c r="G14" i="2"/>
  <c r="F14" i="2"/>
  <c r="D14" i="2"/>
  <c r="C14" i="2"/>
  <c r="B14" i="2"/>
  <c r="N13" i="2"/>
  <c r="I13" i="2"/>
  <c r="E13" i="2"/>
  <c r="N12" i="2"/>
  <c r="I12" i="2"/>
  <c r="E12" i="2"/>
  <c r="N11" i="2"/>
  <c r="I11" i="2"/>
  <c r="E11" i="2"/>
  <c r="N10" i="2"/>
  <c r="I10" i="2"/>
  <c r="E10" i="2"/>
  <c r="N9" i="2"/>
  <c r="I9" i="2"/>
  <c r="E9" i="2"/>
  <c r="N8" i="2"/>
  <c r="I8" i="2"/>
  <c r="E8" i="2"/>
  <c r="N7" i="2"/>
  <c r="I7" i="2"/>
  <c r="E7" i="2"/>
  <c r="N6" i="2"/>
  <c r="I6" i="2"/>
  <c r="E6" i="2"/>
  <c r="N5" i="2"/>
  <c r="I5" i="2"/>
  <c r="E5" i="2"/>
  <c r="M36" i="1"/>
  <c r="L36" i="1"/>
  <c r="K36" i="1"/>
  <c r="M35" i="1"/>
  <c r="L35" i="1"/>
  <c r="H35" i="1"/>
  <c r="G35" i="1"/>
  <c r="F35" i="1"/>
  <c r="D35" i="1"/>
  <c r="C35" i="1"/>
  <c r="B35" i="1"/>
  <c r="N30" i="1"/>
  <c r="I30" i="1"/>
  <c r="E30" i="1"/>
  <c r="M28" i="1"/>
  <c r="L28" i="1"/>
  <c r="K28" i="1"/>
  <c r="N27" i="1"/>
  <c r="H27" i="1"/>
  <c r="H28" i="1" s="1"/>
  <c r="G27" i="1"/>
  <c r="G28" i="1" s="1"/>
  <c r="F27" i="1"/>
  <c r="F28" i="1" s="1"/>
  <c r="D27" i="1"/>
  <c r="D28" i="1" s="1"/>
  <c r="C27" i="1"/>
  <c r="C28" i="1" s="1"/>
  <c r="B27" i="1"/>
  <c r="B28" i="1" s="1"/>
  <c r="N26" i="1"/>
  <c r="I26" i="1"/>
  <c r="E26" i="1"/>
  <c r="N25" i="1"/>
  <c r="I25" i="1"/>
  <c r="E25" i="1"/>
  <c r="N24" i="1"/>
  <c r="I24" i="1"/>
  <c r="E24" i="1"/>
  <c r="M22" i="1"/>
  <c r="L22" i="1"/>
  <c r="K22" i="1"/>
  <c r="H21" i="1"/>
  <c r="G21" i="1"/>
  <c r="F21" i="1"/>
  <c r="D21" i="1"/>
  <c r="C21" i="1"/>
  <c r="B21" i="1"/>
  <c r="N20" i="1"/>
  <c r="I20" i="1"/>
  <c r="E20" i="1"/>
  <c r="N19" i="1"/>
  <c r="I19" i="1"/>
  <c r="E19" i="1"/>
  <c r="N18" i="1"/>
  <c r="I18" i="1"/>
  <c r="E18" i="1"/>
  <c r="M16" i="1"/>
  <c r="L16" i="1"/>
  <c r="K16" i="1"/>
  <c r="H16" i="1"/>
  <c r="G16" i="1"/>
  <c r="F16" i="1"/>
  <c r="D16" i="1"/>
  <c r="C16" i="1"/>
  <c r="B16" i="1"/>
  <c r="N15" i="1"/>
  <c r="I15" i="1"/>
  <c r="E15" i="1"/>
  <c r="N14" i="1"/>
  <c r="I14" i="1"/>
  <c r="E14" i="1"/>
  <c r="N13" i="1"/>
  <c r="I13" i="1"/>
  <c r="E13" i="1"/>
  <c r="N12" i="1"/>
  <c r="I12" i="1"/>
  <c r="E12" i="1"/>
  <c r="N11" i="1"/>
  <c r="I11" i="1"/>
  <c r="E11" i="1"/>
  <c r="N10" i="1"/>
  <c r="I10" i="1"/>
  <c r="E10" i="1"/>
  <c r="N9" i="1"/>
  <c r="I9" i="1"/>
  <c r="E9" i="1"/>
  <c r="N8" i="1"/>
  <c r="I8" i="1"/>
  <c r="E8" i="1"/>
  <c r="N7" i="1"/>
  <c r="I7" i="1"/>
  <c r="E7" i="1"/>
  <c r="N6" i="1"/>
  <c r="I6" i="1"/>
  <c r="E6" i="1"/>
  <c r="N5" i="1"/>
  <c r="I5" i="1"/>
  <c r="E5" i="1"/>
  <c r="C22" i="7" l="1"/>
  <c r="D36" i="1"/>
  <c r="J10" i="2"/>
  <c r="J11" i="2"/>
  <c r="J25" i="2"/>
  <c r="K27" i="2"/>
  <c r="K28" i="2" s="1"/>
  <c r="J16" i="2"/>
  <c r="J18" i="2"/>
  <c r="J6" i="2"/>
  <c r="J7" i="2"/>
  <c r="E23" i="2"/>
  <c r="F36" i="1"/>
  <c r="F27" i="2"/>
  <c r="B28" i="2"/>
  <c r="M27" i="2"/>
  <c r="M28" i="2" s="1"/>
  <c r="E17" i="2"/>
  <c r="J17" i="2" s="1"/>
  <c r="J22" i="2"/>
  <c r="N14" i="2"/>
  <c r="L27" i="2"/>
  <c r="L28" i="2" s="1"/>
  <c r="J8" i="1"/>
  <c r="O8" i="1" s="1"/>
  <c r="J20" i="1"/>
  <c r="O20" i="1" s="1"/>
  <c r="L33" i="1"/>
  <c r="J30" i="1"/>
  <c r="O30" i="1" s="1"/>
  <c r="J6" i="1"/>
  <c r="O6" i="1" s="1"/>
  <c r="J15" i="1"/>
  <c r="O15" i="1" s="1"/>
  <c r="J13" i="1"/>
  <c r="M33" i="1"/>
  <c r="J25" i="1"/>
  <c r="O25" i="1" s="1"/>
  <c r="J14" i="1"/>
  <c r="O14" i="1" s="1"/>
  <c r="J7" i="1"/>
  <c r="O7" i="1" s="1"/>
  <c r="J5" i="1"/>
  <c r="O5" i="1" s="1"/>
  <c r="J19" i="1"/>
  <c r="O19" i="1" s="1"/>
  <c r="J24" i="1"/>
  <c r="O24" i="1" s="1"/>
  <c r="M32" i="1"/>
  <c r="J11" i="1"/>
  <c r="O11" i="1" s="1"/>
  <c r="J12" i="1"/>
  <c r="D22" i="1"/>
  <c r="D32" i="1" s="1"/>
  <c r="J9" i="1"/>
  <c r="J10" i="1"/>
  <c r="O10" i="1" s="1"/>
  <c r="B36" i="1"/>
  <c r="I27" i="1"/>
  <c r="H36" i="1"/>
  <c r="L32" i="1"/>
  <c r="E27" i="1"/>
  <c r="I16" i="1"/>
  <c r="K33" i="1"/>
  <c r="K32" i="1"/>
  <c r="C36" i="1"/>
  <c r="C22" i="1"/>
  <c r="C33" i="1" s="1"/>
  <c r="I28" i="1"/>
  <c r="N19" i="2"/>
  <c r="N36" i="1"/>
  <c r="E16" i="1"/>
  <c r="J18" i="1"/>
  <c r="J5" i="2"/>
  <c r="I14" i="2"/>
  <c r="J8" i="2"/>
  <c r="N22" i="1"/>
  <c r="H22" i="1"/>
  <c r="J26" i="1"/>
  <c r="N28" i="1"/>
  <c r="J9" i="2"/>
  <c r="J12" i="2"/>
  <c r="N16" i="1"/>
  <c r="G36" i="1"/>
  <c r="G22" i="1"/>
  <c r="G32" i="1" s="1"/>
  <c r="E35" i="1"/>
  <c r="I35" i="1"/>
  <c r="J13" i="2"/>
  <c r="E21" i="1"/>
  <c r="I21" i="1"/>
  <c r="B22" i="1"/>
  <c r="B33" i="1" s="1"/>
  <c r="F22" i="1"/>
  <c r="F32" i="1" s="1"/>
  <c r="D28" i="2"/>
  <c r="D27" i="2"/>
  <c r="H28" i="2"/>
  <c r="H27" i="2"/>
  <c r="I19" i="2"/>
  <c r="N35" i="1"/>
  <c r="E14" i="2"/>
  <c r="J21" i="2"/>
  <c r="N23" i="2"/>
  <c r="B27" i="2"/>
  <c r="F28" i="2"/>
  <c r="D20" i="5"/>
  <c r="C28" i="2"/>
  <c r="C27" i="2"/>
  <c r="G28" i="2"/>
  <c r="G27" i="2"/>
  <c r="D11" i="5"/>
  <c r="E19" i="2" l="1"/>
  <c r="O25" i="2"/>
  <c r="O6" i="2"/>
  <c r="O22" i="2"/>
  <c r="O7" i="2"/>
  <c r="O16" i="2"/>
  <c r="O11" i="2"/>
  <c r="E28" i="1"/>
  <c r="E22" i="1"/>
  <c r="J23" i="2"/>
  <c r="O18" i="2"/>
  <c r="N27" i="2"/>
  <c r="O10" i="2"/>
  <c r="I27" i="2"/>
  <c r="I28" i="2"/>
  <c r="J27" i="1"/>
  <c r="C32" i="1"/>
  <c r="O13" i="1"/>
  <c r="O12" i="1"/>
  <c r="O9" i="1"/>
  <c r="D33" i="1"/>
  <c r="G33" i="1"/>
  <c r="E27" i="2"/>
  <c r="E28" i="2"/>
  <c r="J21" i="1"/>
  <c r="O5" i="2"/>
  <c r="J35" i="1"/>
  <c r="O18" i="1"/>
  <c r="O17" i="2"/>
  <c r="O12" i="2"/>
  <c r="H33" i="1"/>
  <c r="H32" i="1"/>
  <c r="O8" i="2"/>
  <c r="I22" i="1"/>
  <c r="O13" i="2"/>
  <c r="O9" i="2"/>
  <c r="B32" i="1"/>
  <c r="F33" i="1"/>
  <c r="I36" i="1"/>
  <c r="O21" i="2"/>
  <c r="J19" i="2"/>
  <c r="N33" i="1"/>
  <c r="N32" i="1"/>
  <c r="E36" i="1"/>
  <c r="O26" i="1"/>
  <c r="J14" i="2"/>
  <c r="J16" i="1"/>
  <c r="O16" i="1" s="1"/>
  <c r="N28" i="2" l="1"/>
  <c r="J28" i="1"/>
  <c r="E32" i="1"/>
  <c r="E33" i="1"/>
  <c r="I32" i="1"/>
  <c r="J28" i="2"/>
  <c r="O19" i="2"/>
  <c r="J27" i="2"/>
  <c r="O27" i="1"/>
  <c r="J36" i="1"/>
  <c r="O14" i="2"/>
  <c r="O23" i="2"/>
  <c r="J22" i="1"/>
  <c r="I33" i="1"/>
  <c r="O35" i="1"/>
  <c r="O22" i="1"/>
  <c r="J33" i="1" l="1"/>
  <c r="O28" i="1"/>
  <c r="O32" i="1" s="1"/>
  <c r="O36" i="1"/>
  <c r="J32" i="1"/>
  <c r="O27" i="2"/>
  <c r="O33" i="1" l="1"/>
  <c r="O28" i="2"/>
</calcChain>
</file>

<file path=xl/sharedStrings.xml><?xml version="1.0" encoding="utf-8"?>
<sst xmlns="http://schemas.openxmlformats.org/spreadsheetml/2006/main" count="333" uniqueCount="99">
  <si>
    <t>Выработка электрической энергии станциями ПАО "ТГК-1", тыс. кВт∙ч</t>
  </si>
  <si>
    <t>январь</t>
  </si>
  <si>
    <t>февраль</t>
  </si>
  <si>
    <t>1 кв</t>
  </si>
  <si>
    <t>апрель</t>
  </si>
  <si>
    <t>май</t>
  </si>
  <si>
    <t>июнь</t>
  </si>
  <si>
    <t>2 кв</t>
  </si>
  <si>
    <t>1 П</t>
  </si>
  <si>
    <t>июль</t>
  </si>
  <si>
    <t>август</t>
  </si>
  <si>
    <t>сентябрь</t>
  </si>
  <si>
    <t>3 кв</t>
  </si>
  <si>
    <t>9 мес</t>
  </si>
  <si>
    <t xml:space="preserve">февраль </t>
  </si>
  <si>
    <t xml:space="preserve">март </t>
  </si>
  <si>
    <t xml:space="preserve">1 кв </t>
  </si>
  <si>
    <t>Филиал "Невский"</t>
  </si>
  <si>
    <t>Центральная ТЭЦ</t>
  </si>
  <si>
    <t>Правобережная ТЭЦ</t>
  </si>
  <si>
    <t>Василеостровская ТЭЦ</t>
  </si>
  <si>
    <t>Первомайская ТЭЦ</t>
  </si>
  <si>
    <t>Автовская ТЭЦ</t>
  </si>
  <si>
    <t>Выборгская ТЭЦ</t>
  </si>
  <si>
    <t>Северная ТЭЦ</t>
  </si>
  <si>
    <t>Южная ТЭЦ</t>
  </si>
  <si>
    <t>Нарвская ГЭС</t>
  </si>
  <si>
    <t>Каскад Вуоксинских ГЭС</t>
  </si>
  <si>
    <t>Каскад Ладожских ГЭС</t>
  </si>
  <si>
    <t>Всего по филиалу "Невский"</t>
  </si>
  <si>
    <t>Филиал "Карельский"</t>
  </si>
  <si>
    <t>Петрозаводская ТЭЦ</t>
  </si>
  <si>
    <t>Каскад Выгских ГЭС</t>
  </si>
  <si>
    <t>Каскад Кемских ГЭС</t>
  </si>
  <si>
    <t>Каскад Сунских ГЭС (с учетом Малых ГЭС)</t>
  </si>
  <si>
    <t>Всего по филиалу "Карельский"</t>
  </si>
  <si>
    <t>Филиал "Кольский"</t>
  </si>
  <si>
    <t>Апатитская ТЭЦ</t>
  </si>
  <si>
    <t>Каскад Нивских ГЭС</t>
  </si>
  <si>
    <t>Каскад Пазских ГЭС</t>
  </si>
  <si>
    <t>Каскад Туломских и Серебрянских ГЭС</t>
  </si>
  <si>
    <t>Всего по филиалу "Кольский"</t>
  </si>
  <si>
    <t>АО "Мурманская ТЭЦ"</t>
  </si>
  <si>
    <t>Всего "ТГК-1" без учета АО "Мурманская ТЭЦ"</t>
  </si>
  <si>
    <t>Всего "ТГК-1" с учетом АО "Мурманская ТЭЦ"</t>
  </si>
  <si>
    <t>Всего ТЭС</t>
  </si>
  <si>
    <t>Всего ГЭС</t>
  </si>
  <si>
    <t>Отпуск тепловой энергии станциями ПАО "ТГК-1", Гкал</t>
  </si>
  <si>
    <t>1  П</t>
  </si>
  <si>
    <t>Котельные</t>
  </si>
  <si>
    <t>Электрические бойлерные</t>
  </si>
  <si>
    <t>Удельный расход условного топлива на отпуск электрической и тепловой энергии</t>
  </si>
  <si>
    <t>на э/энергию, г/кВтч</t>
  </si>
  <si>
    <t>на тепло, кг/Гкал</t>
  </si>
  <si>
    <t>В среднем по филиалу "Невский"</t>
  </si>
  <si>
    <t>В среднем по филиалу "Карельский"</t>
  </si>
  <si>
    <t>В среднем по филиалу "Кольский"</t>
  </si>
  <si>
    <t>В среднем по ПАО "ТГК-1"</t>
  </si>
  <si>
    <t>АО "Мурманская ТЭЦ" (с учетом котельных)</t>
  </si>
  <si>
    <t>Коэффициент использования установленной электрической мощности (КИУМ), %</t>
  </si>
  <si>
    <t>ТЭЦ</t>
  </si>
  <si>
    <t>ГЭС</t>
  </si>
  <si>
    <t>ГЭС+ТЭЦ</t>
  </si>
  <si>
    <t>Филиал «Невский»</t>
  </si>
  <si>
    <t>Филиал «Карельский»</t>
  </si>
  <si>
    <t>Филиал «Кольский»</t>
  </si>
  <si>
    <t>ПАО «ТГК-1»</t>
  </si>
  <si>
    <t>АО «Мурманская ТЭЦ»</t>
  </si>
  <si>
    <t xml:space="preserve">Реализация электроэнергии и мощности </t>
  </si>
  <si>
    <t>Реализация электроэнергии (тыс. кВт∙ч)</t>
  </si>
  <si>
    <t>РД</t>
  </si>
  <si>
    <t>РСВ</t>
  </si>
  <si>
    <t>БР</t>
  </si>
  <si>
    <t>СДД</t>
  </si>
  <si>
    <t>Экспорт</t>
  </si>
  <si>
    <t>Розница</t>
  </si>
  <si>
    <t>ИТОГО</t>
  </si>
  <si>
    <t>Реализация мощности (МВт, среднемесячные значения)</t>
  </si>
  <si>
    <t xml:space="preserve">РД </t>
  </si>
  <si>
    <t>ДПМ</t>
  </si>
  <si>
    <t>СДМ</t>
  </si>
  <si>
    <t>Вынужденные</t>
  </si>
  <si>
    <t>КОМ</t>
  </si>
  <si>
    <t>КОМмод*</t>
  </si>
  <si>
    <t>*  По программе (КОММод) ПАО «ТГК-1» в декабре 2021 года введен в эксплуатацию модернизированный генерирующий объект – паротурбинная установка ст.№7 Автовской ТЭЦ электрической мощностью 116,4 МВт. Данный проект был отобран по результатам проведения КОММод в 2019 г.</t>
  </si>
  <si>
    <t xml:space="preserve">Покупка электроэнергии и мощности </t>
  </si>
  <si>
    <t>Покупка электроэнергии (тыс. кВт∙ч)</t>
  </si>
  <si>
    <t>Покупка мощности (МВт, среднемесячные значения)</t>
  </si>
  <si>
    <t>ВИЭ</t>
  </si>
  <si>
    <t xml:space="preserve">Вынужденные </t>
  </si>
  <si>
    <t>ГЭС/АЭС</t>
  </si>
  <si>
    <r>
      <rPr>
        <i/>
        <sz val="11"/>
        <color theme="1"/>
        <rFont val="Calibri"/>
        <scheme val="minor"/>
      </rPr>
      <t xml:space="preserve">* По программе (КОММод) ПАО «ТГК-1» в декабре 2021 года введен в эксплуатацию модернизированный генерирующий объект – паротурбинная установка ст.№7 Автовской ТЭЦ электрической мощностью 116,4 МВт. </t>
    </r>
    <r>
      <rPr>
        <sz val="11"/>
        <color theme="1"/>
        <rFont val="Calibri"/>
        <scheme val="minor"/>
      </rPr>
      <t xml:space="preserve">
</t>
    </r>
  </si>
  <si>
    <t>1П</t>
  </si>
  <si>
    <t>газ, тут</t>
  </si>
  <si>
    <t>мазут, тут</t>
  </si>
  <si>
    <t>уголь, тут</t>
  </si>
  <si>
    <t>дрова, тут</t>
  </si>
  <si>
    <t>Всего по ПАО "ТГК-1"без учета АО "Мурманская ТЭЦ"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</si>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</sst>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.0"/>
    <numFmt numFmtId="167" formatCode="#,##0.0000"/>
  </numFmts>
  <fonts count="31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0"/>
      <name val="Arial"/>
    </font>
    <font>
      <sz val="8"/>
      <name val="Arial"/>
    </font>
    <font>
      <sz val="10"/>
      <name val="Arial Cyr"/>
    </font>
    <font>
      <sz val="10"/>
      <name val="Courier"/>
    </font>
    <font>
      <sz val="10"/>
      <name val="Times New Roman CYR"/>
    </font>
    <font>
      <sz val="10"/>
      <name val="Helv"/>
    </font>
    <font>
      <b/>
      <sz val="16"/>
      <color indexed="65"/>
      <name val="Calibri"/>
    </font>
    <font>
      <b/>
      <sz val="12"/>
      <color indexed="65"/>
      <name val="Calibri"/>
    </font>
    <font>
      <b/>
      <sz val="14"/>
      <name val="Calibri"/>
    </font>
    <font>
      <b/>
      <sz val="12"/>
      <name val="Calibri"/>
    </font>
    <font>
      <sz val="12"/>
      <color indexed="65"/>
      <name val="Calibri"/>
    </font>
    <font>
      <sz val="11"/>
      <name val="Calibri"/>
    </font>
    <font>
      <sz val="10"/>
      <name val="Times New Roman"/>
    </font>
    <font>
      <b/>
      <i/>
      <sz val="12"/>
      <color indexed="65"/>
      <name val="Calibri"/>
    </font>
    <font>
      <b/>
      <sz val="11"/>
      <name val="Calibri"/>
    </font>
    <font>
      <sz val="11"/>
      <name val="Calibri"/>
      <scheme val="minor"/>
    </font>
    <font>
      <i/>
      <sz val="12"/>
      <color indexed="65"/>
      <name val="Calibri"/>
    </font>
    <font>
      <b/>
      <sz val="14"/>
      <color indexed="65"/>
      <name val="Calibri"/>
    </font>
    <font>
      <b/>
      <sz val="11"/>
      <color indexed="65"/>
      <name val="Calibri"/>
    </font>
    <font>
      <b/>
      <sz val="11"/>
      <color theme="1"/>
      <name val="Calibri"/>
      <scheme val="minor"/>
    </font>
    <font>
      <b/>
      <sz val="11"/>
      <name val="Calibri"/>
      <scheme val="minor"/>
    </font>
    <font>
      <sz val="11"/>
      <color indexed="2"/>
      <name val="Calibri"/>
    </font>
    <font>
      <b/>
      <sz val="10"/>
      <color indexed="4"/>
      <name val="Arial"/>
    </font>
    <font>
      <sz val="12"/>
      <color theme="0"/>
      <name val="Calibri"/>
      <scheme val="minor"/>
    </font>
    <font>
      <i/>
      <sz val="10"/>
      <name val="Calibri"/>
    </font>
    <font>
      <i/>
      <sz val="11"/>
      <name val="Calibri"/>
    </font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4F81BD"/>
        <bgColor rgb="FF4F81BD"/>
      </patternFill>
    </fill>
    <fill>
      <patternFill patternType="solid">
        <fgColor rgb="FFEEECE1"/>
        <bgColor rgb="FFEEECE1"/>
      </patternFill>
    </fill>
    <fill>
      <patternFill patternType="solid">
        <fgColor indexed="65"/>
      </patternFill>
    </fill>
  </fills>
  <borders count="9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rgb="FFEEECE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1" fillId="2" borderId="0" applyNumberFormat="0" applyBorder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7" fillId="0" borderId="0"/>
    <xf numFmtId="9" fontId="28" fillId="0" borderId="0" applyFont="0" applyFill="0" applyBorder="0" applyProtection="0"/>
    <xf numFmtId="9" fontId="3" fillId="0" borderId="0" applyFont="0" applyFill="0" applyBorder="0" applyProtection="0"/>
    <xf numFmtId="9" fontId="3" fillId="0" borderId="0" applyFont="0" applyFill="0" applyBorder="0" applyProtection="0"/>
    <xf numFmtId="164" fontId="4" fillId="0" borderId="0" applyFont="0" applyFill="0" applyBorder="0" applyProtection="0"/>
    <xf numFmtId="164" fontId="3" fillId="0" borderId="0" applyFont="0" applyFill="0" applyBorder="0" applyProtection="0"/>
    <xf numFmtId="164" fontId="3" fillId="0" borderId="0" applyFont="0" applyFill="0" applyBorder="0" applyProtection="0"/>
  </cellStyleXfs>
  <cellXfs count="297">
    <xf numFmtId="0" fontId="0" fillId="0" borderId="0" xfId="0"/>
    <xf numFmtId="0" fontId="0" fillId="3" borderId="0" xfId="0" applyFill="1"/>
    <xf numFmtId="0" fontId="8" fillId="4" borderId="1" xfId="1" applyFont="1" applyFill="1" applyBorder="1" applyAlignment="1" applyProtection="1">
      <alignment horizontal="left" vertical="center"/>
    </xf>
    <xf numFmtId="0" fontId="9" fillId="4" borderId="4" xfId="1" applyFont="1" applyFill="1" applyBorder="1" applyAlignment="1" applyProtection="1">
      <alignment horizontal="center" vertical="center"/>
    </xf>
    <xf numFmtId="0" fontId="9" fillId="4" borderId="5" xfId="1" applyFont="1" applyFill="1" applyBorder="1" applyAlignment="1" applyProtection="1">
      <alignment horizontal="center" vertical="center"/>
    </xf>
    <xf numFmtId="0" fontId="9" fillId="4" borderId="8" xfId="1" applyFont="1" applyFill="1" applyBorder="1" applyAlignment="1" applyProtection="1">
      <alignment horizontal="center" vertical="center"/>
    </xf>
    <xf numFmtId="0" fontId="9" fillId="4" borderId="9" xfId="1" applyFont="1" applyFill="1" applyBorder="1" applyAlignment="1" applyProtection="1">
      <alignment horizontal="center" vertical="center"/>
    </xf>
    <xf numFmtId="0" fontId="9" fillId="4" borderId="10" xfId="1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12" fillId="4" borderId="12" xfId="1" applyFont="1" applyFill="1" applyBorder="1" applyAlignment="1" applyProtection="1">
      <alignment horizontal="left" vertical="center"/>
    </xf>
    <xf numFmtId="3" fontId="13" fillId="5" borderId="14" xfId="0" applyNumberFormat="1" applyFont="1" applyFill="1" applyBorder="1" applyProtection="1"/>
    <xf numFmtId="3" fontId="13" fillId="5" borderId="15" xfId="0" applyNumberFormat="1" applyFont="1" applyFill="1" applyBorder="1" applyProtection="1"/>
    <xf numFmtId="165" fontId="14" fillId="0" borderId="16" xfId="0" applyNumberFormat="1" applyFont="1" applyBorder="1"/>
    <xf numFmtId="165" fontId="14" fillId="0" borderId="17" xfId="0" applyNumberFormat="1" applyFont="1" applyBorder="1"/>
    <xf numFmtId="0" fontId="12" fillId="4" borderId="1" xfId="1" applyFont="1" applyFill="1" applyBorder="1" applyAlignment="1" applyProtection="1">
      <alignment horizontal="left" vertical="center"/>
    </xf>
    <xf numFmtId="3" fontId="13" fillId="5" borderId="19" xfId="0" applyNumberFormat="1" applyFont="1" applyFill="1" applyBorder="1" applyProtection="1"/>
    <xf numFmtId="3" fontId="13" fillId="5" borderId="20" xfId="0" applyNumberFormat="1" applyFont="1" applyFill="1" applyBorder="1" applyProtection="1"/>
    <xf numFmtId="165" fontId="14" fillId="0" borderId="21" xfId="0" applyNumberFormat="1" applyFont="1" applyBorder="1"/>
    <xf numFmtId="165" fontId="14" fillId="0" borderId="22" xfId="0" applyNumberFormat="1" applyFont="1" applyBorder="1"/>
    <xf numFmtId="165" fontId="14" fillId="0" borderId="25" xfId="0" applyNumberFormat="1" applyFont="1" applyBorder="1"/>
    <xf numFmtId="165" fontId="14" fillId="0" borderId="26" xfId="0" applyNumberFormat="1" applyFont="1" applyBorder="1"/>
    <xf numFmtId="0" fontId="12" fillId="4" borderId="27" xfId="1" applyFont="1" applyFill="1" applyBorder="1" applyAlignment="1" applyProtection="1">
      <alignment horizontal="left" vertical="center"/>
    </xf>
    <xf numFmtId="165" fontId="14" fillId="0" borderId="28" xfId="0" applyNumberFormat="1" applyFont="1" applyBorder="1"/>
    <xf numFmtId="165" fontId="14" fillId="0" borderId="29" xfId="0" applyNumberFormat="1" applyFont="1" applyBorder="1"/>
    <xf numFmtId="0" fontId="15" fillId="4" borderId="30" xfId="1" applyFont="1" applyFill="1" applyBorder="1" applyAlignment="1" applyProtection="1">
      <alignment horizontal="left" vertical="center"/>
    </xf>
    <xf numFmtId="3" fontId="16" fillId="3" borderId="31" xfId="0" applyNumberFormat="1" applyFont="1" applyFill="1" applyBorder="1" applyProtection="1"/>
    <xf numFmtId="3" fontId="16" fillId="3" borderId="32" xfId="0" applyNumberFormat="1" applyFont="1" applyFill="1" applyBorder="1" applyProtection="1"/>
    <xf numFmtId="3" fontId="16" fillId="5" borderId="33" xfId="0" applyNumberFormat="1" applyFont="1" applyFill="1" applyBorder="1" applyProtection="1"/>
    <xf numFmtId="3" fontId="16" fillId="5" borderId="34" xfId="0" applyNumberFormat="1" applyFont="1" applyFill="1" applyBorder="1" applyProtection="1"/>
    <xf numFmtId="0" fontId="10" fillId="3" borderId="36" xfId="0" applyFont="1" applyFill="1" applyBorder="1" applyAlignment="1" applyProtection="1">
      <alignment vertical="center"/>
    </xf>
    <xf numFmtId="0" fontId="11" fillId="3" borderId="37" xfId="0" applyFont="1" applyFill="1" applyBorder="1" applyAlignment="1" applyProtection="1">
      <alignment vertical="center"/>
    </xf>
    <xf numFmtId="0" fontId="11" fillId="3" borderId="38" xfId="0" applyFont="1" applyFill="1" applyBorder="1" applyAlignment="1" applyProtection="1">
      <alignment vertical="center"/>
    </xf>
    <xf numFmtId="0" fontId="11" fillId="3" borderId="39" xfId="0" applyFont="1" applyFill="1" applyBorder="1" applyAlignment="1" applyProtection="1">
      <alignment vertical="center"/>
    </xf>
    <xf numFmtId="10" fontId="0" fillId="3" borderId="0" xfId="19" applyNumberFormat="1" applyFont="1" applyFill="1"/>
    <xf numFmtId="3" fontId="13" fillId="5" borderId="40" xfId="0" applyNumberFormat="1" applyFont="1" applyFill="1" applyBorder="1" applyProtection="1"/>
    <xf numFmtId="3" fontId="13" fillId="5" borderId="41" xfId="0" applyNumberFormat="1" applyFont="1" applyFill="1" applyBorder="1" applyProtection="1"/>
    <xf numFmtId="165" fontId="14" fillId="0" borderId="42" xfId="0" applyNumberFormat="1" applyFont="1" applyBorder="1"/>
    <xf numFmtId="3" fontId="13" fillId="5" borderId="43" xfId="0" applyNumberFormat="1" applyFont="1" applyFill="1" applyBorder="1" applyProtection="1"/>
    <xf numFmtId="3" fontId="16" fillId="5" borderId="45" xfId="0" applyNumberFormat="1" applyFont="1" applyFill="1" applyBorder="1" applyProtection="1"/>
    <xf numFmtId="0" fontId="10" fillId="3" borderId="36" xfId="0" applyFont="1" applyFill="1" applyBorder="1" applyProtection="1"/>
    <xf numFmtId="0" fontId="11" fillId="3" borderId="39" xfId="0" applyFont="1" applyFill="1" applyBorder="1" applyProtection="1"/>
    <xf numFmtId="0" fontId="11" fillId="3" borderId="46" xfId="0" applyFont="1" applyFill="1" applyBorder="1" applyProtection="1"/>
    <xf numFmtId="0" fontId="11" fillId="3" borderId="47" xfId="0" applyFont="1" applyFill="1" applyBorder="1" applyProtection="1"/>
    <xf numFmtId="3" fontId="16" fillId="5" borderId="49" xfId="0" applyNumberFormat="1" applyFont="1" applyFill="1" applyBorder="1" applyProtection="1"/>
    <xf numFmtId="0" fontId="0" fillId="3" borderId="30" xfId="0" applyFill="1" applyBorder="1" applyProtection="1"/>
    <xf numFmtId="0" fontId="0" fillId="3" borderId="31" xfId="0" applyFill="1" applyBorder="1" applyProtection="1"/>
    <xf numFmtId="0" fontId="0" fillId="3" borderId="32" xfId="0" applyFill="1" applyBorder="1" applyProtection="1"/>
    <xf numFmtId="0" fontId="0" fillId="3" borderId="35" xfId="0" applyFill="1" applyBorder="1" applyProtection="1"/>
    <xf numFmtId="0" fontId="0" fillId="3" borderId="51" xfId="0" applyFill="1" applyBorder="1" applyProtection="1"/>
    <xf numFmtId="0" fontId="0" fillId="3" borderId="52" xfId="0" applyFill="1" applyBorder="1" applyProtection="1"/>
    <xf numFmtId="0" fontId="12" fillId="4" borderId="30" xfId="1" applyFont="1" applyFill="1" applyBorder="1" applyAlignment="1" applyProtection="1">
      <alignment horizontal="left" vertical="center"/>
    </xf>
    <xf numFmtId="3" fontId="13" fillId="5" borderId="31" xfId="0" applyNumberFormat="1" applyFont="1" applyFill="1" applyBorder="1" applyProtection="1"/>
    <xf numFmtId="3" fontId="13" fillId="5" borderId="32" xfId="0" applyNumberFormat="1" applyFont="1" applyFill="1" applyBorder="1" applyProtection="1"/>
    <xf numFmtId="0" fontId="9" fillId="4" borderId="30" xfId="1" applyFont="1" applyFill="1" applyBorder="1" applyAlignment="1" applyProtection="1">
      <alignment horizontal="left" vertical="center" wrapText="1"/>
    </xf>
    <xf numFmtId="3" fontId="16" fillId="3" borderId="31" xfId="0" applyNumberFormat="1" applyFont="1" applyFill="1" applyBorder="1" applyAlignment="1" applyProtection="1">
      <alignment vertical="center" wrapText="1"/>
    </xf>
    <xf numFmtId="3" fontId="16" fillId="3" borderId="32" xfId="0" applyNumberFormat="1" applyFont="1" applyFill="1" applyBorder="1" applyAlignment="1" applyProtection="1">
      <alignment vertical="center" wrapText="1"/>
    </xf>
    <xf numFmtId="3" fontId="16" fillId="5" borderId="33" xfId="0" applyNumberFormat="1" applyFont="1" applyFill="1" applyBorder="1" applyAlignment="1" applyProtection="1">
      <alignment vertical="center" wrapText="1"/>
    </xf>
    <xf numFmtId="3" fontId="16" fillId="5" borderId="34" xfId="0" applyNumberFormat="1" applyFont="1" applyFill="1" applyBorder="1" applyAlignment="1" applyProtection="1">
      <alignment vertical="center" wrapText="1"/>
    </xf>
    <xf numFmtId="3" fontId="16" fillId="5" borderId="51" xfId="0" applyNumberFormat="1" applyFont="1" applyFill="1" applyBorder="1" applyAlignment="1" applyProtection="1">
      <alignment vertical="center" wrapText="1"/>
    </xf>
    <xf numFmtId="3" fontId="16" fillId="5" borderId="52" xfId="0" applyNumberFormat="1" applyFont="1" applyFill="1" applyBorder="1" applyAlignment="1" applyProtection="1">
      <alignment vertical="center" wrapText="1"/>
    </xf>
    <xf numFmtId="0" fontId="9" fillId="3" borderId="53" xfId="1" applyFont="1" applyFill="1" applyBorder="1" applyProtection="1"/>
    <xf numFmtId="0" fontId="9" fillId="3" borderId="18" xfId="1" applyFont="1" applyFill="1" applyBorder="1" applyProtection="1"/>
    <xf numFmtId="0" fontId="9" fillId="3" borderId="0" xfId="1" applyFont="1" applyFill="1" applyProtection="1"/>
    <xf numFmtId="0" fontId="9" fillId="3" borderId="24" xfId="1" applyFont="1" applyFill="1" applyBorder="1" applyProtection="1"/>
    <xf numFmtId="0" fontId="9" fillId="4" borderId="12" xfId="1" applyFont="1" applyFill="1" applyBorder="1" applyAlignment="1" applyProtection="1">
      <alignment horizontal="right"/>
    </xf>
    <xf numFmtId="3" fontId="9" fillId="4" borderId="54" xfId="1" applyNumberFormat="1" applyFont="1" applyFill="1" applyBorder="1" applyProtection="1"/>
    <xf numFmtId="3" fontId="9" fillId="4" borderId="55" xfId="1" applyNumberFormat="1" applyFont="1" applyFill="1" applyBorder="1" applyProtection="1"/>
    <xf numFmtId="3" fontId="9" fillId="4" borderId="44" xfId="1" applyNumberFormat="1" applyFont="1" applyFill="1" applyBorder="1" applyProtection="1"/>
    <xf numFmtId="0" fontId="9" fillId="4" borderId="56" xfId="1" applyFont="1" applyFill="1" applyBorder="1" applyAlignment="1" applyProtection="1">
      <alignment horizontal="right"/>
    </xf>
    <xf numFmtId="3" fontId="9" fillId="4" borderId="57" xfId="1" applyNumberFormat="1" applyFont="1" applyFill="1" applyBorder="1" applyProtection="1"/>
    <xf numFmtId="3" fontId="9" fillId="4" borderId="58" xfId="1" applyNumberFormat="1" applyFont="1" applyFill="1" applyBorder="1" applyProtection="1"/>
    <xf numFmtId="3" fontId="9" fillId="4" borderId="50" xfId="1" applyNumberFormat="1" applyFont="1" applyFill="1" applyBorder="1" applyProtection="1"/>
    <xf numFmtId="3" fontId="0" fillId="3" borderId="0" xfId="0" applyNumberFormat="1" applyFill="1"/>
    <xf numFmtId="0" fontId="0" fillId="0" borderId="0" xfId="0"/>
    <xf numFmtId="0" fontId="8" fillId="4" borderId="3" xfId="1" applyFont="1" applyFill="1" applyBorder="1" applyAlignment="1">
      <alignment vertical="center"/>
    </xf>
    <xf numFmtId="0" fontId="8" fillId="4" borderId="0" xfId="1" applyFont="1" applyFill="1" applyAlignment="1">
      <alignment horizontal="center" vertical="center"/>
    </xf>
    <xf numFmtId="0" fontId="9" fillId="4" borderId="62" xfId="1" applyFont="1" applyFill="1" applyBorder="1" applyAlignment="1">
      <alignment horizontal="center" vertical="center"/>
    </xf>
    <xf numFmtId="0" fontId="9" fillId="4" borderId="63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10" fillId="0" borderId="64" xfId="0" applyFont="1" applyBorder="1"/>
    <xf numFmtId="0" fontId="11" fillId="0" borderId="0" xfId="0" applyFont="1"/>
    <xf numFmtId="0" fontId="12" fillId="4" borderId="43" xfId="1" applyFont="1" applyFill="1" applyBorder="1" applyAlignment="1">
      <alignment horizontal="left" vertical="center"/>
    </xf>
    <xf numFmtId="3" fontId="13" fillId="0" borderId="13" xfId="0" applyNumberFormat="1" applyFont="1" applyBorder="1" applyProtection="1"/>
    <xf numFmtId="3" fontId="13" fillId="0" borderId="13" xfId="18" applyNumberFormat="1" applyFont="1" applyBorder="1" applyProtection="1"/>
    <xf numFmtId="3" fontId="13" fillId="5" borderId="15" xfId="0" applyNumberFormat="1" applyFont="1" applyFill="1" applyBorder="1"/>
    <xf numFmtId="0" fontId="12" fillId="4" borderId="65" xfId="1" applyFont="1" applyFill="1" applyBorder="1" applyAlignment="1">
      <alignment horizontal="left" vertical="center"/>
    </xf>
    <xf numFmtId="3" fontId="13" fillId="0" borderId="0" xfId="0" applyNumberFormat="1" applyFont="1" applyProtection="1"/>
    <xf numFmtId="3" fontId="13" fillId="5" borderId="20" xfId="0" applyNumberFormat="1" applyFont="1" applyFill="1" applyBorder="1"/>
    <xf numFmtId="3" fontId="13" fillId="0" borderId="0" xfId="18" applyNumberFormat="1" applyFont="1" applyProtection="1"/>
    <xf numFmtId="3" fontId="13" fillId="0" borderId="52" xfId="0" applyNumberFormat="1" applyFont="1" applyBorder="1"/>
    <xf numFmtId="3" fontId="13" fillId="5" borderId="66" xfId="0" applyNumberFormat="1" applyFont="1" applyFill="1" applyBorder="1"/>
    <xf numFmtId="0" fontId="18" fillId="4" borderId="45" xfId="1" applyFont="1" applyFill="1" applyBorder="1" applyAlignment="1">
      <alignment horizontal="left" vertical="center"/>
    </xf>
    <xf numFmtId="3" fontId="16" fillId="0" borderId="32" xfId="0" applyNumberFormat="1" applyFont="1" applyBorder="1" applyProtection="1"/>
    <xf numFmtId="3" fontId="16" fillId="5" borderId="34" xfId="0" applyNumberFormat="1" applyFont="1" applyFill="1" applyBorder="1"/>
    <xf numFmtId="0" fontId="10" fillId="0" borderId="67" xfId="0" applyFont="1" applyBorder="1"/>
    <xf numFmtId="0" fontId="11" fillId="0" borderId="18" xfId="0" applyFont="1" applyBorder="1"/>
    <xf numFmtId="3" fontId="13" fillId="0" borderId="68" xfId="0" applyNumberFormat="1" applyFont="1" applyBorder="1"/>
    <xf numFmtId="0" fontId="11" fillId="0" borderId="24" xfId="0" applyFont="1" applyBorder="1"/>
    <xf numFmtId="0" fontId="0" fillId="0" borderId="47" xfId="0" applyBorder="1"/>
    <xf numFmtId="10" fontId="0" fillId="0" borderId="0" xfId="19" applyNumberFormat="1" applyFont="1"/>
    <xf numFmtId="3" fontId="13" fillId="0" borderId="69" xfId="0" applyNumberFormat="1" applyFont="1" applyBorder="1"/>
    <xf numFmtId="3" fontId="13" fillId="5" borderId="41" xfId="0" applyNumberFormat="1" applyFont="1" applyFill="1" applyBorder="1"/>
    <xf numFmtId="3" fontId="13" fillId="0" borderId="0" xfId="0" applyNumberFormat="1" applyFont="1"/>
    <xf numFmtId="0" fontId="12" fillId="4" borderId="0" xfId="1" applyFont="1" applyFill="1" applyAlignment="1">
      <alignment horizontal="left" vertical="center"/>
    </xf>
    <xf numFmtId="3" fontId="16" fillId="3" borderId="32" xfId="0" applyNumberFormat="1" applyFont="1" applyFill="1" applyBorder="1"/>
    <xf numFmtId="3" fontId="13" fillId="0" borderId="23" xfId="0" applyNumberFormat="1" applyFont="1" applyBorder="1"/>
    <xf numFmtId="0" fontId="12" fillId="4" borderId="70" xfId="1" applyFont="1" applyFill="1" applyBorder="1" applyAlignment="1">
      <alignment horizontal="left" vertical="center"/>
    </xf>
    <xf numFmtId="3" fontId="16" fillId="3" borderId="34" xfId="0" applyNumberFormat="1" applyFont="1" applyFill="1" applyBorder="1"/>
    <xf numFmtId="0" fontId="0" fillId="0" borderId="67" xfId="0" applyBorder="1"/>
    <xf numFmtId="0" fontId="0" fillId="0" borderId="38" xfId="0" applyBorder="1"/>
    <xf numFmtId="0" fontId="0" fillId="0" borderId="39" xfId="0" applyBorder="1"/>
    <xf numFmtId="0" fontId="0" fillId="0" borderId="37" xfId="0" applyBorder="1"/>
    <xf numFmtId="0" fontId="12" fillId="4" borderId="64" xfId="1" applyFont="1" applyFill="1" applyBorder="1" applyAlignment="1">
      <alignment horizontal="left" vertical="center"/>
    </xf>
    <xf numFmtId="3" fontId="13" fillId="5" borderId="71" xfId="0" applyNumberFormat="1" applyFont="1" applyFill="1" applyBorder="1"/>
    <xf numFmtId="3" fontId="13" fillId="5" borderId="72" xfId="0" applyNumberFormat="1" applyFont="1" applyFill="1" applyBorder="1"/>
    <xf numFmtId="3" fontId="13" fillId="5" borderId="64" xfId="0" applyNumberFormat="1" applyFont="1" applyFill="1" applyBorder="1"/>
    <xf numFmtId="3" fontId="13" fillId="5" borderId="26" xfId="0" applyNumberFormat="1" applyFont="1" applyFill="1" applyBorder="1"/>
    <xf numFmtId="0" fontId="0" fillId="0" borderId="73" xfId="0" applyBorder="1"/>
    <xf numFmtId="0" fontId="0" fillId="0" borderId="48" xfId="0" applyBorder="1"/>
    <xf numFmtId="0" fontId="0" fillId="0" borderId="74" xfId="0" applyBorder="1"/>
    <xf numFmtId="0" fontId="0" fillId="0" borderId="75" xfId="0" applyBorder="1"/>
    <xf numFmtId="0" fontId="9" fillId="4" borderId="45" xfId="1" applyFont="1" applyFill="1" applyBorder="1" applyAlignment="1" applyProtection="1">
      <alignment horizontal="left" vertical="center" wrapText="1"/>
    </xf>
    <xf numFmtId="3" fontId="16" fillId="0" borderId="32" xfId="0" applyNumberFormat="1" applyFont="1" applyBorder="1" applyAlignment="1">
      <alignment wrapText="1"/>
    </xf>
    <xf numFmtId="3" fontId="16" fillId="5" borderId="32" xfId="0" applyNumberFormat="1" applyFont="1" applyFill="1" applyBorder="1" applyAlignment="1">
      <alignment wrapText="1"/>
    </xf>
    <xf numFmtId="0" fontId="8" fillId="4" borderId="65" xfId="1" applyFont="1" applyFill="1" applyBorder="1" applyAlignment="1">
      <alignment vertical="center"/>
    </xf>
    <xf numFmtId="0" fontId="20" fillId="4" borderId="78" xfId="1" applyFont="1" applyFill="1" applyBorder="1" applyAlignment="1">
      <alignment horizontal="center" vertical="center" wrapText="1"/>
    </xf>
    <xf numFmtId="0" fontId="20" fillId="4" borderId="79" xfId="1" applyFont="1" applyFill="1" applyBorder="1" applyAlignment="1">
      <alignment horizontal="center" vertical="center" wrapText="1"/>
    </xf>
    <xf numFmtId="0" fontId="10" fillId="6" borderId="47" xfId="1" applyFont="1" applyFill="1" applyBorder="1" applyAlignment="1">
      <alignment horizontal="left" vertical="center"/>
    </xf>
    <xf numFmtId="0" fontId="10" fillId="6" borderId="0" xfId="1" applyFont="1" applyFill="1" applyAlignment="1">
      <alignment horizontal="left" vertical="center"/>
    </xf>
    <xf numFmtId="0" fontId="0" fillId="0" borderId="0" xfId="0"/>
    <xf numFmtId="0" fontId="12" fillId="4" borderId="41" xfId="1" applyFont="1" applyFill="1" applyBorder="1" applyAlignment="1">
      <alignment horizontal="left" vertical="center"/>
    </xf>
    <xf numFmtId="4" fontId="13" fillId="0" borderId="23" xfId="0" applyNumberFormat="1" applyFont="1" applyBorder="1" applyAlignment="1">
      <alignment horizontal="center"/>
    </xf>
    <xf numFmtId="4" fontId="13" fillId="0" borderId="80" xfId="0" applyNumberFormat="1" applyFont="1" applyBorder="1" applyAlignment="1">
      <alignment horizontal="center"/>
    </xf>
    <xf numFmtId="0" fontId="12" fillId="4" borderId="20" xfId="1" applyFont="1" applyFill="1" applyBorder="1" applyAlignment="1">
      <alignment horizontal="left" vertical="center"/>
    </xf>
    <xf numFmtId="4" fontId="13" fillId="0" borderId="0" xfId="0" applyNumberFormat="1" applyFont="1" applyAlignment="1">
      <alignment horizontal="center"/>
    </xf>
    <xf numFmtId="4" fontId="13" fillId="0" borderId="81" xfId="0" applyNumberFormat="1" applyFont="1" applyBorder="1" applyAlignment="1">
      <alignment horizontal="center"/>
    </xf>
    <xf numFmtId="0" fontId="12" fillId="4" borderId="66" xfId="1" applyFont="1" applyFill="1" applyBorder="1" applyAlignment="1">
      <alignment horizontal="left" vertical="center"/>
    </xf>
    <xf numFmtId="4" fontId="13" fillId="0" borderId="52" xfId="0" applyNumberFormat="1" applyFont="1" applyBorder="1" applyAlignment="1">
      <alignment horizontal="center"/>
    </xf>
    <xf numFmtId="4" fontId="13" fillId="0" borderId="82" xfId="0" applyNumberFormat="1" applyFont="1" applyBorder="1" applyAlignment="1">
      <alignment horizontal="center"/>
    </xf>
    <xf numFmtId="0" fontId="18" fillId="4" borderId="34" xfId="1" applyFont="1" applyFill="1" applyBorder="1" applyAlignment="1">
      <alignment horizontal="left" vertical="center"/>
    </xf>
    <xf numFmtId="4" fontId="22" fillId="5" borderId="32" xfId="0" applyNumberFormat="1" applyFont="1" applyFill="1" applyBorder="1" applyAlignment="1">
      <alignment horizontal="center" vertical="center"/>
    </xf>
    <xf numFmtId="4" fontId="22" fillId="5" borderId="83" xfId="0" applyNumberFormat="1" applyFont="1" applyFill="1" applyBorder="1" applyAlignment="1">
      <alignment horizontal="center" vertical="center"/>
    </xf>
    <xf numFmtId="0" fontId="10" fillId="6" borderId="67" xfId="1" applyFont="1" applyFill="1" applyBorder="1" applyAlignment="1">
      <alignment horizontal="left" vertical="center"/>
    </xf>
    <xf numFmtId="0" fontId="17" fillId="0" borderId="0" xfId="0" applyFont="1"/>
    <xf numFmtId="4" fontId="13" fillId="0" borderId="23" xfId="0" applyNumberFormat="1" applyFont="1" applyBorder="1" applyAlignment="1">
      <alignment horizontal="center" vertical="center"/>
    </xf>
    <xf numFmtId="4" fontId="13" fillId="0" borderId="80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81" xfId="0" applyNumberFormat="1" applyFont="1" applyBorder="1" applyAlignment="1">
      <alignment horizontal="center" vertical="center"/>
    </xf>
    <xf numFmtId="4" fontId="16" fillId="5" borderId="32" xfId="0" applyNumberFormat="1" applyFont="1" applyFill="1" applyBorder="1" applyAlignment="1">
      <alignment horizontal="center" vertical="center"/>
    </xf>
    <xf numFmtId="4" fontId="16" fillId="5" borderId="83" xfId="0" applyNumberFormat="1" applyFont="1" applyFill="1" applyBorder="1" applyAlignment="1">
      <alignment horizontal="center" vertical="center"/>
    </xf>
    <xf numFmtId="0" fontId="12" fillId="4" borderId="26" xfId="1" applyFont="1" applyFill="1" applyBorder="1" applyAlignment="1">
      <alignment horizontal="left" vertical="center"/>
    </xf>
    <xf numFmtId="4" fontId="13" fillId="0" borderId="71" xfId="0" applyNumberFormat="1" applyFont="1" applyBorder="1" applyAlignment="1">
      <alignment horizontal="center"/>
    </xf>
    <xf numFmtId="4" fontId="13" fillId="0" borderId="42" xfId="0" applyNumberFormat="1" applyFont="1" applyBorder="1" applyAlignment="1">
      <alignment horizontal="center"/>
    </xf>
    <xf numFmtId="4" fontId="22" fillId="5" borderId="32" xfId="0" applyNumberFormat="1" applyFont="1" applyFill="1" applyBorder="1" applyAlignment="1">
      <alignment horizontal="center"/>
    </xf>
    <xf numFmtId="4" fontId="22" fillId="5" borderId="83" xfId="0" applyNumberFormat="1" applyFont="1" applyFill="1" applyBorder="1" applyAlignment="1">
      <alignment horizontal="center"/>
    </xf>
    <xf numFmtId="0" fontId="9" fillId="4" borderId="34" xfId="1" applyFont="1" applyFill="1" applyBorder="1" applyAlignment="1">
      <alignment horizontal="left" vertical="center" wrapText="1"/>
    </xf>
    <xf numFmtId="4" fontId="16" fillId="5" borderId="32" xfId="0" applyNumberFormat="1" applyFont="1" applyFill="1" applyBorder="1" applyAlignment="1">
      <alignment horizontal="center"/>
    </xf>
    <xf numFmtId="4" fontId="16" fillId="5" borderId="83" xfId="0" applyNumberFormat="1" applyFont="1" applyFill="1" applyBorder="1" applyAlignment="1">
      <alignment horizontal="center"/>
    </xf>
    <xf numFmtId="0" fontId="18" fillId="4" borderId="17" xfId="1" applyFont="1" applyFill="1" applyBorder="1" applyAlignment="1">
      <alignment horizontal="left" vertical="center"/>
    </xf>
    <xf numFmtId="4" fontId="17" fillId="0" borderId="38" xfId="0" applyNumberFormat="1" applyFont="1" applyBorder="1" applyAlignment="1">
      <alignment horizontal="center"/>
    </xf>
    <xf numFmtId="4" fontId="17" fillId="0" borderId="84" xfId="0" applyNumberFormat="1" applyFont="1" applyBorder="1" applyAlignment="1">
      <alignment horizontal="center"/>
    </xf>
    <xf numFmtId="4" fontId="23" fillId="0" borderId="0" xfId="0" applyNumberFormat="1" applyFont="1" applyAlignment="1">
      <alignment horizontal="center"/>
    </xf>
    <xf numFmtId="0" fontId="8" fillId="0" borderId="65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24" fillId="0" borderId="87" xfId="0" applyFont="1" applyBorder="1" applyAlignment="1">
      <alignment horizontal="justify" wrapText="1"/>
    </xf>
    <xf numFmtId="0" fontId="16" fillId="0" borderId="47" xfId="0" applyFont="1" applyBorder="1" applyAlignment="1">
      <alignment horizontal="center" vertical="center" wrapText="1"/>
    </xf>
    <xf numFmtId="0" fontId="16" fillId="0" borderId="88" xfId="0" applyFont="1" applyBorder="1" applyAlignment="1">
      <alignment horizontal="center" vertical="center" wrapText="1"/>
    </xf>
    <xf numFmtId="0" fontId="25" fillId="4" borderId="20" xfId="1" applyFont="1" applyFill="1" applyBorder="1" applyAlignment="1">
      <alignment vertical="center"/>
    </xf>
    <xf numFmtId="166" fontId="13" fillId="0" borderId="0" xfId="0" applyNumberFormat="1" applyFont="1" applyAlignment="1">
      <alignment horizontal="center" vertical="center" wrapText="1"/>
    </xf>
    <xf numFmtId="166" fontId="13" fillId="0" borderId="43" xfId="0" applyNumberFormat="1" applyFont="1" applyBorder="1" applyAlignment="1">
      <alignment horizontal="center" vertical="center" wrapText="1"/>
    </xf>
    <xf numFmtId="166" fontId="13" fillId="0" borderId="81" xfId="0" applyNumberFormat="1" applyFont="1" applyBorder="1" applyAlignment="1">
      <alignment horizontal="center" vertical="center" wrapText="1"/>
    </xf>
    <xf numFmtId="166" fontId="13" fillId="0" borderId="65" xfId="0" applyNumberFormat="1" applyFont="1" applyBorder="1" applyAlignment="1">
      <alignment horizontal="center" vertical="center" wrapText="1"/>
    </xf>
    <xf numFmtId="166" fontId="13" fillId="0" borderId="87" xfId="0" applyNumberFormat="1" applyFont="1" applyBorder="1" applyAlignment="1">
      <alignment horizontal="center" vertical="center" wrapText="1"/>
    </xf>
    <xf numFmtId="0" fontId="9" fillId="4" borderId="89" xfId="1" applyFont="1" applyFill="1" applyBorder="1" applyAlignment="1">
      <alignment horizontal="left" vertical="center" wrapText="1"/>
    </xf>
    <xf numFmtId="166" fontId="16" fillId="5" borderId="71" xfId="0" applyNumberFormat="1" applyFont="1" applyFill="1" applyBorder="1" applyAlignment="1">
      <alignment horizontal="center" wrapText="1"/>
    </xf>
    <xf numFmtId="166" fontId="16" fillId="5" borderId="42" xfId="0" applyNumberFormat="1" applyFont="1" applyFill="1" applyBorder="1" applyAlignment="1">
      <alignment horizontal="center" wrapText="1"/>
    </xf>
    <xf numFmtId="0" fontId="25" fillId="4" borderId="22" xfId="1" applyFont="1" applyFill="1" applyBorder="1"/>
    <xf numFmtId="0" fontId="13" fillId="0" borderId="47" xfId="0" applyFont="1" applyBorder="1" applyAlignment="1">
      <alignment horizontal="center" vertical="center" wrapText="1"/>
    </xf>
    <xf numFmtId="0" fontId="0" fillId="0" borderId="77" xfId="0" applyBorder="1"/>
    <xf numFmtId="0" fontId="11" fillId="0" borderId="6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5" fillId="4" borderId="41" xfId="1" applyFont="1" applyFill="1" applyBorder="1" applyAlignment="1">
      <alignment vertical="center"/>
    </xf>
    <xf numFmtId="3" fontId="13" fillId="0" borderId="80" xfId="0" applyNumberFormat="1" applyFont="1" applyBorder="1" applyAlignment="1">
      <alignment vertical="center"/>
    </xf>
    <xf numFmtId="3" fontId="13" fillId="0" borderId="81" xfId="0" applyNumberFormat="1" applyFont="1" applyBorder="1" applyAlignment="1">
      <alignment vertical="center"/>
    </xf>
    <xf numFmtId="3" fontId="13" fillId="0" borderId="88" xfId="0" applyNumberFormat="1" applyFont="1" applyBorder="1" applyAlignment="1">
      <alignment vertical="center"/>
    </xf>
    <xf numFmtId="0" fontId="9" fillId="4" borderId="91" xfId="1" applyFont="1" applyFill="1" applyBorder="1" applyAlignment="1">
      <alignment vertical="center"/>
    </xf>
    <xf numFmtId="3" fontId="16" fillId="5" borderId="42" xfId="0" applyNumberFormat="1" applyFont="1" applyFill="1" applyBorder="1" applyAlignment="1">
      <alignment vertical="center"/>
    </xf>
    <xf numFmtId="0" fontId="11" fillId="0" borderId="64" xfId="0" applyFont="1" applyBorder="1" applyAlignment="1">
      <alignment horizontal="left" vertical="center" wrapText="1"/>
    </xf>
    <xf numFmtId="165" fontId="0" fillId="0" borderId="80" xfId="0" applyNumberFormat="1" applyBorder="1" applyAlignment="1">
      <alignment vertical="center"/>
    </xf>
    <xf numFmtId="165" fontId="13" fillId="0" borderId="81" xfId="0" applyNumberFormat="1" applyFont="1" applyBorder="1" applyAlignment="1">
      <alignment horizontal="right" vertical="center"/>
    </xf>
    <xf numFmtId="165" fontId="13" fillId="0" borderId="81" xfId="0" applyNumberFormat="1" applyFont="1" applyBorder="1" applyAlignment="1">
      <alignment vertical="center"/>
    </xf>
    <xf numFmtId="165" fontId="16" fillId="5" borderId="42" xfId="0" applyNumberFormat="1" applyFont="1" applyFill="1" applyBorder="1" applyAlignment="1">
      <alignment vertical="center"/>
    </xf>
    <xf numFmtId="0" fontId="26" fillId="0" borderId="23" xfId="0" applyFont="1" applyBorder="1" applyAlignment="1">
      <alignment vertical="top" wrapText="1"/>
    </xf>
    <xf numFmtId="165" fontId="27" fillId="0" borderId="0" xfId="0" applyNumberFormat="1" applyFont="1"/>
    <xf numFmtId="0" fontId="0" fillId="0" borderId="0" xfId="0" applyAlignment="1">
      <alignment vertical="top"/>
    </xf>
    <xf numFmtId="3" fontId="0" fillId="0" borderId="0" xfId="0" applyNumberFormat="1"/>
    <xf numFmtId="0" fontId="8" fillId="4" borderId="65" xfId="1" applyFont="1" applyFill="1" applyBorder="1" applyAlignment="1" applyProtection="1">
      <alignment vertical="center"/>
    </xf>
    <xf numFmtId="0" fontId="8" fillId="4" borderId="0" xfId="1" applyFont="1" applyFill="1" applyAlignment="1" applyProtection="1">
      <alignment vertical="center"/>
    </xf>
    <xf numFmtId="0" fontId="9" fillId="4" borderId="78" xfId="1" applyFont="1" applyFill="1" applyBorder="1" applyAlignment="1" applyProtection="1">
      <alignment horizontal="center" vertical="center"/>
    </xf>
    <xf numFmtId="0" fontId="9" fillId="4" borderId="92" xfId="1" applyFont="1" applyFill="1" applyBorder="1" applyAlignment="1" applyProtection="1">
      <alignment horizontal="center" vertical="center"/>
    </xf>
    <xf numFmtId="0" fontId="9" fillId="4" borderId="0" xfId="1" applyFont="1" applyFill="1" applyAlignment="1" applyProtection="1">
      <alignment horizontal="center" vertical="center"/>
    </xf>
    <xf numFmtId="0" fontId="11" fillId="0" borderId="65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25" fillId="4" borderId="20" xfId="1" applyFont="1" applyFill="1" applyBorder="1" applyAlignment="1" applyProtection="1">
      <alignment horizontal="left" vertical="center"/>
    </xf>
    <xf numFmtId="3" fontId="13" fillId="0" borderId="80" xfId="0" applyNumberFormat="1" applyFont="1" applyBorder="1" applyAlignment="1" applyProtection="1">
      <alignment vertical="center"/>
    </xf>
    <xf numFmtId="3" fontId="13" fillId="0" borderId="81" xfId="0" applyNumberFormat="1" applyFont="1" applyBorder="1" applyAlignment="1" applyProtection="1">
      <alignment vertical="center"/>
    </xf>
    <xf numFmtId="0" fontId="9" fillId="4" borderId="91" xfId="1" applyFont="1" applyFill="1" applyBorder="1" applyAlignment="1" applyProtection="1">
      <alignment horizontal="left" vertical="center"/>
    </xf>
    <xf numFmtId="3" fontId="16" fillId="5" borderId="42" xfId="0" applyNumberFormat="1" applyFont="1" applyFill="1" applyBorder="1" applyAlignment="1" applyProtection="1">
      <alignment vertical="center"/>
    </xf>
    <xf numFmtId="0" fontId="11" fillId="0" borderId="43" xfId="0" applyFont="1" applyBorder="1" applyAlignment="1" applyProtection="1">
      <alignment horizontal="left" vertical="center"/>
    </xf>
    <xf numFmtId="0" fontId="25" fillId="4" borderId="20" xfId="1" applyFont="1" applyFill="1" applyBorder="1" applyAlignment="1" applyProtection="1">
      <alignment vertical="center"/>
    </xf>
    <xf numFmtId="165" fontId="13" fillId="0" borderId="80" xfId="0" applyNumberFormat="1" applyFont="1" applyBorder="1" applyAlignment="1" applyProtection="1">
      <alignment vertical="center"/>
    </xf>
    <xf numFmtId="4" fontId="13" fillId="0" borderId="81" xfId="0" applyNumberFormat="1" applyFont="1" applyBorder="1" applyAlignment="1" applyProtection="1">
      <alignment horizontal="right" vertical="center"/>
    </xf>
    <xf numFmtId="165" fontId="13" fillId="0" borderId="81" xfId="0" applyNumberFormat="1" applyFont="1" applyBorder="1" applyAlignment="1" applyProtection="1">
      <alignment horizontal="right" vertical="center"/>
    </xf>
    <xf numFmtId="165" fontId="13" fillId="0" borderId="81" xfId="0" applyNumberFormat="1" applyFont="1" applyBorder="1" applyAlignment="1" applyProtection="1">
      <alignment vertical="center"/>
    </xf>
    <xf numFmtId="0" fontId="9" fillId="4" borderId="91" xfId="1" applyFont="1" applyFill="1" applyBorder="1" applyAlignment="1" applyProtection="1">
      <alignment vertical="center"/>
    </xf>
    <xf numFmtId="165" fontId="16" fillId="5" borderId="26" xfId="0" applyNumberFormat="1" applyFont="1" applyFill="1" applyBorder="1" applyAlignment="1" applyProtection="1">
      <alignment vertical="center"/>
    </xf>
    <xf numFmtId="165" fontId="16" fillId="5" borderId="42" xfId="0" applyNumberFormat="1" applyFont="1" applyFill="1" applyBorder="1" applyAlignment="1" applyProtection="1">
      <alignment vertical="center"/>
    </xf>
    <xf numFmtId="0" fontId="19" fillId="4" borderId="10" xfId="1" applyFont="1" applyFill="1" applyBorder="1" applyAlignment="1">
      <alignment horizontal="center" vertical="center"/>
    </xf>
    <xf numFmtId="0" fontId="19" fillId="4" borderId="60" xfId="1" applyFont="1" applyFill="1" applyBorder="1" applyAlignment="1">
      <alignment horizontal="center" vertical="center"/>
    </xf>
    <xf numFmtId="3" fontId="13" fillId="0" borderId="23" xfId="0" applyNumberFormat="1" applyFont="1" applyBorder="1" applyAlignment="1">
      <alignment horizontal="center"/>
    </xf>
    <xf numFmtId="3" fontId="13" fillId="0" borderId="80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3" fontId="13" fillId="0" borderId="81" xfId="0" applyNumberFormat="1" applyFont="1" applyBorder="1" applyAlignment="1">
      <alignment horizontal="center"/>
    </xf>
    <xf numFmtId="3" fontId="13" fillId="0" borderId="52" xfId="0" applyNumberFormat="1" applyFont="1" applyBorder="1" applyAlignment="1">
      <alignment horizontal="center"/>
    </xf>
    <xf numFmtId="3" fontId="13" fillId="0" borderId="82" xfId="0" applyNumberFormat="1" applyFont="1" applyBorder="1" applyAlignment="1">
      <alignment horizontal="center"/>
    </xf>
    <xf numFmtId="3" fontId="21" fillId="5" borderId="32" xfId="0" applyNumberFormat="1" applyFont="1" applyFill="1" applyBorder="1" applyAlignment="1">
      <alignment horizontal="center" vertical="center"/>
    </xf>
    <xf numFmtId="3" fontId="13" fillId="0" borderId="23" xfId="0" applyNumberFormat="1" applyFont="1" applyBorder="1" applyAlignment="1">
      <alignment horizontal="center" vertical="center"/>
    </xf>
    <xf numFmtId="3" fontId="13" fillId="0" borderId="80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0" borderId="81" xfId="0" applyNumberFormat="1" applyFont="1" applyBorder="1" applyAlignment="1">
      <alignment horizontal="center" vertical="center"/>
    </xf>
    <xf numFmtId="3" fontId="16" fillId="5" borderId="32" xfId="0" applyNumberFormat="1" applyFont="1" applyFill="1" applyBorder="1" applyAlignment="1">
      <alignment horizontal="center" vertical="center"/>
    </xf>
    <xf numFmtId="3" fontId="13" fillId="0" borderId="71" xfId="0" applyNumberFormat="1" applyFont="1" applyBorder="1" applyAlignment="1">
      <alignment horizontal="center"/>
    </xf>
    <xf numFmtId="3" fontId="13" fillId="0" borderId="42" xfId="0" applyNumberFormat="1" applyFont="1" applyBorder="1" applyAlignment="1">
      <alignment horizontal="center"/>
    </xf>
    <xf numFmtId="3" fontId="21" fillId="5" borderId="32" xfId="0" applyNumberFormat="1" applyFont="1" applyFill="1" applyBorder="1" applyAlignment="1">
      <alignment horizontal="center"/>
    </xf>
    <xf numFmtId="3" fontId="16" fillId="5" borderId="32" xfId="0" applyNumberFormat="1" applyFont="1" applyFill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17" fillId="0" borderId="84" xfId="0" applyNumberFormat="1" applyFont="1" applyBorder="1" applyAlignment="1">
      <alignment horizontal="center"/>
    </xf>
    <xf numFmtId="0" fontId="0" fillId="0" borderId="0" xfId="0" applyBorder="1"/>
    <xf numFmtId="4" fontId="13" fillId="0" borderId="0" xfId="0" applyNumberFormat="1" applyFont="1" applyBorder="1" applyAlignment="1">
      <alignment horizontal="center"/>
    </xf>
    <xf numFmtId="4" fontId="13" fillId="0" borderId="0" xfId="0" applyNumberFormat="1" applyFont="1" applyBorder="1" applyAlignment="1">
      <alignment horizontal="center" vertical="center"/>
    </xf>
    <xf numFmtId="0" fontId="17" fillId="0" borderId="0" xfId="0" applyFont="1" applyBorder="1"/>
    <xf numFmtId="0" fontId="17" fillId="0" borderId="81" xfId="0" applyFont="1" applyBorder="1"/>
    <xf numFmtId="0" fontId="9" fillId="4" borderId="63" xfId="1" applyFont="1" applyFill="1" applyBorder="1" applyAlignment="1">
      <alignment horizontal="center" vertical="center"/>
    </xf>
    <xf numFmtId="0" fontId="9" fillId="4" borderId="62" xfId="1" applyFont="1" applyFill="1" applyBorder="1" applyAlignment="1">
      <alignment horizontal="center" vertical="center"/>
    </xf>
    <xf numFmtId="0" fontId="8" fillId="0" borderId="0" xfId="1" applyFont="1" applyFill="1" applyAlignment="1" applyProtection="1">
      <alignment vertical="center"/>
    </xf>
    <xf numFmtId="0" fontId="9" fillId="4" borderId="63" xfId="1" applyFont="1" applyFill="1" applyBorder="1" applyAlignment="1">
      <alignment horizontal="center" vertical="center"/>
    </xf>
    <xf numFmtId="3" fontId="16" fillId="5" borderId="34" xfId="0" applyNumberFormat="1" applyFont="1" applyFill="1" applyBorder="1" applyAlignment="1">
      <alignment wrapText="1"/>
    </xf>
    <xf numFmtId="3" fontId="13" fillId="0" borderId="0" xfId="0" applyNumberFormat="1" applyFont="1" applyBorder="1" applyAlignment="1" applyProtection="1">
      <alignment vertical="center"/>
    </xf>
    <xf numFmtId="3" fontId="30" fillId="0" borderId="94" xfId="6" applyNumberFormat="1" applyFont="1" applyFill="1" applyBorder="1"/>
    <xf numFmtId="3" fontId="30" fillId="0" borderId="95" xfId="6" applyNumberFormat="1" applyFont="1" applyFill="1" applyBorder="1"/>
    <xf numFmtId="0" fontId="8" fillId="4" borderId="2" xfId="1" applyFont="1" applyFill="1" applyBorder="1" applyAlignment="1" applyProtection="1">
      <alignment vertical="center"/>
    </xf>
    <xf numFmtId="0" fontId="8" fillId="4" borderId="3" xfId="1" applyFont="1" applyFill="1" applyBorder="1" applyAlignment="1" applyProtection="1">
      <alignment vertical="center"/>
    </xf>
    <xf numFmtId="166" fontId="13" fillId="0" borderId="0" xfId="0" applyNumberFormat="1" applyFont="1" applyBorder="1" applyAlignment="1">
      <alignment horizontal="center" vertical="center" wrapText="1"/>
    </xf>
    <xf numFmtId="0" fontId="8" fillId="4" borderId="0" xfId="1" applyFont="1" applyFill="1" applyAlignment="1">
      <alignment vertical="center"/>
    </xf>
    <xf numFmtId="4" fontId="0" fillId="3" borderId="0" xfId="0" applyNumberFormat="1" applyFill="1"/>
    <xf numFmtId="167" fontId="0" fillId="3" borderId="0" xfId="0" applyNumberFormat="1" applyFill="1"/>
    <xf numFmtId="0" fontId="19" fillId="4" borderId="93" xfId="1" applyFont="1" applyFill="1" applyBorder="1" applyAlignment="1">
      <alignment horizontal="center" wrapText="1"/>
    </xf>
    <xf numFmtId="0" fontId="1" fillId="4" borderId="1" xfId="1" applyFont="1" applyFill="1" applyBorder="1" applyAlignment="1" applyProtection="1">
      <alignment horizontal="center"/>
    </xf>
    <xf numFmtId="0" fontId="1" fillId="4" borderId="7" xfId="1" applyFont="1" applyFill="1" applyBorder="1" applyAlignment="1" applyProtection="1">
      <alignment horizontal="center"/>
    </xf>
    <xf numFmtId="0" fontId="8" fillId="4" borderId="6" xfId="1" applyFont="1" applyFill="1" applyBorder="1" applyAlignment="1" applyProtection="1">
      <alignment horizontal="center" vertical="center" wrapText="1"/>
    </xf>
    <xf numFmtId="0" fontId="8" fillId="4" borderId="5" xfId="1" applyFont="1" applyFill="1" applyBorder="1" applyAlignment="1" applyProtection="1">
      <alignment horizontal="center" vertical="center" wrapText="1"/>
    </xf>
    <xf numFmtId="0" fontId="8" fillId="4" borderId="59" xfId="1" applyFont="1" applyFill="1" applyBorder="1" applyAlignment="1">
      <alignment horizontal="center"/>
    </xf>
    <xf numFmtId="0" fontId="8" fillId="4" borderId="61" xfId="1" applyFont="1" applyFill="1" applyBorder="1" applyAlignment="1">
      <alignment horizontal="center"/>
    </xf>
    <xf numFmtId="0" fontId="8" fillId="4" borderId="60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 wrapText="1"/>
    </xf>
    <xf numFmtId="0" fontId="19" fillId="4" borderId="60" xfId="1" applyFont="1" applyFill="1" applyBorder="1" applyAlignment="1">
      <alignment horizontal="center" wrapText="1"/>
    </xf>
    <xf numFmtId="0" fontId="19" fillId="4" borderId="5" xfId="1" applyFont="1" applyFill="1" applyBorder="1" applyAlignment="1">
      <alignment horizontal="center" wrapText="1"/>
    </xf>
    <xf numFmtId="0" fontId="19" fillId="4" borderId="76" xfId="1" applyFont="1" applyFill="1" applyBorder="1" applyAlignment="1">
      <alignment horizontal="center" vertical="center" wrapText="1"/>
    </xf>
    <xf numFmtId="0" fontId="19" fillId="4" borderId="60" xfId="1" applyFont="1" applyFill="1" applyBorder="1" applyAlignment="1">
      <alignment horizontal="center"/>
    </xf>
    <xf numFmtId="0" fontId="19" fillId="4" borderId="5" xfId="1" applyFont="1" applyFill="1" applyBorder="1" applyAlignment="1">
      <alignment horizontal="center"/>
    </xf>
    <xf numFmtId="0" fontId="19" fillId="4" borderId="4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4" borderId="10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 wrapText="1"/>
    </xf>
    <xf numFmtId="0" fontId="9" fillId="4" borderId="62" xfId="1" applyFont="1" applyFill="1" applyBorder="1" applyAlignment="1">
      <alignment horizontal="center" vertical="center"/>
    </xf>
    <xf numFmtId="0" fontId="9" fillId="4" borderId="63" xfId="1" applyFont="1" applyFill="1" applyBorder="1" applyAlignment="1">
      <alignment horizontal="center" vertical="center"/>
    </xf>
    <xf numFmtId="0" fontId="9" fillId="4" borderId="90" xfId="1" applyFont="1" applyFill="1" applyBorder="1" applyAlignment="1">
      <alignment horizontal="center" vertical="center"/>
    </xf>
    <xf numFmtId="0" fontId="19" fillId="4" borderId="85" xfId="1" applyFont="1" applyFill="1" applyBorder="1" applyAlignment="1">
      <alignment horizontal="center" wrapText="1"/>
    </xf>
    <xf numFmtId="0" fontId="19" fillId="4" borderId="86" xfId="1" applyFont="1" applyFill="1" applyBorder="1" applyAlignment="1">
      <alignment horizontal="center" wrapText="1"/>
    </xf>
    <xf numFmtId="0" fontId="19" fillId="4" borderId="61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justify" vertical="top" wrapText="1"/>
    </xf>
    <xf numFmtId="0" fontId="0" fillId="3" borderId="0" xfId="0" applyFill="1" applyAlignment="1">
      <alignment horizontal="justify" vertical="top"/>
    </xf>
    <xf numFmtId="0" fontId="19" fillId="4" borderId="59" xfId="1" applyFont="1" applyFill="1" applyBorder="1" applyAlignment="1" applyProtection="1">
      <alignment horizontal="center" vertical="center" wrapText="1"/>
    </xf>
    <xf numFmtId="0" fontId="19" fillId="4" borderId="76" xfId="1" applyFont="1" applyFill="1" applyBorder="1" applyAlignment="1" applyProtection="1">
      <alignment horizontal="center" vertical="center" wrapText="1"/>
    </xf>
    <xf numFmtId="0" fontId="9" fillId="4" borderId="60" xfId="1" applyFont="1" applyFill="1" applyBorder="1" applyAlignment="1" applyProtection="1">
      <alignment horizontal="center" vertical="center" wrapText="1"/>
    </xf>
    <xf numFmtId="0" fontId="9" fillId="4" borderId="5" xfId="1" applyFont="1" applyFill="1" applyBorder="1" applyAlignment="1" applyProtection="1">
      <alignment horizontal="center" vertical="center" wrapText="1"/>
    </xf>
    <xf numFmtId="0" fontId="9" fillId="4" borderId="5" xfId="1" applyFont="1" applyFill="1" applyBorder="1" applyAlignment="1" applyProtection="1">
      <alignment horizontal="center" vertical="center"/>
    </xf>
    <xf numFmtId="0" fontId="19" fillId="4" borderId="3" xfId="1" applyFont="1" applyFill="1" applyBorder="1" applyAlignment="1">
      <alignment horizontal="center"/>
    </xf>
    <xf numFmtId="0" fontId="19" fillId="4" borderId="93" xfId="1" applyFont="1" applyFill="1" applyBorder="1" applyAlignment="1">
      <alignment horizontal="center" wrapText="1"/>
    </xf>
    <xf numFmtId="0" fontId="19" fillId="4" borderId="3" xfId="1" applyFont="1" applyFill="1" applyBorder="1" applyAlignment="1">
      <alignment horizontal="center" wrapText="1"/>
    </xf>
    <xf numFmtId="0" fontId="19" fillId="4" borderId="60" xfId="1" applyFont="1" applyFill="1" applyBorder="1" applyAlignment="1">
      <alignment horizontal="center" vertical="center"/>
    </xf>
    <xf numFmtId="0" fontId="19" fillId="4" borderId="1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5">
    <cellStyle name="Акцент1" xfId="1" builtinId="29"/>
    <cellStyle name="Обычный" xfId="0" builtinId="0"/>
    <cellStyle name="Обычный 2" xfId="2"/>
    <cellStyle name="Обычный 2 2" xfId="3"/>
    <cellStyle name="Обычный 2 3" xfId="4"/>
    <cellStyle name="Обычный 2 3 2" xfId="5"/>
    <cellStyle name="Обычный 3" xfId="6"/>
    <cellStyle name="Обычный 3 2" xfId="7"/>
    <cellStyle name="Обычный 4" xfId="8"/>
    <cellStyle name="Обычный 4 2" xfId="9"/>
    <cellStyle name="Обычный 5" xfId="10"/>
    <cellStyle name="Обычный 5 2" xfId="11"/>
    <cellStyle name="Обычный 6" xfId="12"/>
    <cellStyle name="Обычный 6 2" xfId="13"/>
    <cellStyle name="Обычный 7" xfId="14"/>
    <cellStyle name="Обычный 7 2" xfId="15"/>
    <cellStyle name="Обычный 8" xfId="16"/>
    <cellStyle name="Обычный 9" xfId="17"/>
    <cellStyle name="Обычный_Лист1" xfId="18"/>
    <cellStyle name="Процентный" xfId="19" builtinId="5"/>
    <cellStyle name="Процентный 2" xfId="20"/>
    <cellStyle name="Процентный 2 2" xfId="21"/>
    <cellStyle name="Финансовый 2" xfId="22"/>
    <cellStyle name="Финансовый 3" xfId="23"/>
    <cellStyle name="Финансовый 3 2" xfId="2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DR/DKU/OAK/SCM/IR/IR%20&#1084;&#1072;&#1090;&#1077;&#1088;&#1080;&#1072;&#1083;&#1099;/2025/2%20&#1082;&#1074;&#1072;&#1088;&#1090;&#1072;&#1083;/&#1087;&#1088;&#1086;&#1080;&#1079;&#1074;&#1086;&#1076;&#1089;&#1090;&#1074;&#1086;/2.%20&#1086;&#1090;&#1074;&#1077;&#1090;/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6">
          <cell r="G26">
            <v>121677.675</v>
          </cell>
          <cell r="H26">
            <v>180082.99299999999</v>
          </cell>
        </row>
        <row r="27">
          <cell r="F27">
            <v>158334.88</v>
          </cell>
          <cell r="G27">
            <v>175899.96400000001</v>
          </cell>
          <cell r="H27">
            <v>241133.31899999999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ТГК-1">
      <a:dk1>
        <a:srgbClr val="000000"/>
      </a:dk1>
      <a:lt1>
        <a:srgbClr val="FFFFFF"/>
      </a:lt1>
      <a:dk2>
        <a:srgbClr val="000000"/>
      </a:dk2>
      <a:lt2>
        <a:srgbClr val="808080"/>
      </a:lt2>
      <a:accent1>
        <a:srgbClr val="0066CC"/>
      </a:accent1>
      <a:accent2>
        <a:srgbClr val="3399FF"/>
      </a:accent2>
      <a:accent3>
        <a:srgbClr val="C7C7C7"/>
      </a:accent3>
      <a:accent4>
        <a:srgbClr val="92D050"/>
      </a:accent4>
      <a:accent5>
        <a:srgbClr val="FF9900"/>
      </a:accent5>
      <a:accent6>
        <a:srgbClr val="003366"/>
      </a:accent6>
      <a:hlink>
        <a:srgbClr val="003366"/>
      </a:hlink>
      <a:folHlink>
        <a:srgbClr val="808080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40"/>
  <sheetViews>
    <sheetView zoomScale="70" zoomScaleNormal="70" workbookViewId="0">
      <pane xSplit="1" ySplit="2" topLeftCell="J3" activePane="bottomRight" state="frozen"/>
      <selection activeCell="BW5" sqref="BW5"/>
      <selection pane="topRight"/>
      <selection pane="bottomLeft"/>
      <selection pane="bottomRight" activeCell="S40" sqref="S40"/>
    </sheetView>
  </sheetViews>
  <sheetFormatPr defaultColWidth="9.140625" defaultRowHeight="15" x14ac:dyDescent="0.25"/>
  <cols>
    <col min="1" max="1" width="50.85546875" style="1" bestFit="1" customWidth="1"/>
    <col min="2" max="53" width="15.28515625" style="1" customWidth="1"/>
    <col min="54" max="54" width="12.85546875" style="1" bestFit="1" customWidth="1"/>
    <col min="55" max="56" width="11.85546875" style="1" bestFit="1" customWidth="1"/>
    <col min="57" max="57" width="11.7109375" style="1" customWidth="1"/>
    <col min="58" max="58" width="14.140625" style="1" bestFit="1" customWidth="1"/>
    <col min="59" max="59" width="16.28515625" style="1" customWidth="1"/>
    <col min="60" max="60" width="13.85546875" style="1" customWidth="1"/>
    <col min="61" max="61" width="13.5703125" style="1" customWidth="1"/>
    <col min="62" max="62" width="14.140625" style="1" customWidth="1"/>
    <col min="63" max="63" width="15.5703125" style="1" customWidth="1"/>
    <col min="64" max="64" width="12.85546875" style="1" customWidth="1"/>
    <col min="65" max="65" width="12.140625" style="1" customWidth="1"/>
    <col min="66" max="66" width="11.42578125" style="1" customWidth="1"/>
    <col min="67" max="67" width="13.85546875" style="1" customWidth="1"/>
    <col min="68" max="68" width="12.42578125" style="1" bestFit="1" customWidth="1"/>
    <col min="69" max="69" width="12.7109375" style="1" customWidth="1"/>
    <col min="70" max="70" width="12.42578125" style="1" bestFit="1" customWidth="1"/>
    <col min="71" max="71" width="12.85546875" style="1" customWidth="1"/>
    <col min="72" max="72" width="12.42578125" style="1" bestFit="1" customWidth="1"/>
    <col min="73" max="73" width="15.5703125" style="1" customWidth="1"/>
    <col min="74" max="74" width="14.28515625" style="1" bestFit="1"/>
    <col min="75" max="75" width="15.28515625" style="1" customWidth="1"/>
    <col min="76" max="76" width="9.140625" style="1"/>
    <col min="77" max="77" width="13.42578125" style="1" bestFit="1"/>
    <col min="78" max="78" width="9.140625" style="1"/>
    <col min="79" max="79" width="10.5703125" style="1" bestFit="1" customWidth="1"/>
    <col min="80" max="80" width="9.140625" style="1"/>
    <col min="81" max="81" width="12.28515625" style="1" customWidth="1"/>
    <col min="82" max="82" width="14.85546875" style="1" customWidth="1"/>
    <col min="83" max="83" width="11" style="1" customWidth="1"/>
    <col min="84" max="84" width="9.140625" style="1"/>
    <col min="85" max="85" width="13" style="1" customWidth="1"/>
    <col min="86" max="86" width="13.7109375" style="1" customWidth="1"/>
    <col min="87" max="87" width="9.140625" style="1"/>
    <col min="88" max="88" width="12" style="1" customWidth="1"/>
    <col min="89" max="91" width="9.140625" style="1"/>
    <col min="92" max="92" width="11.7109375" style="1" customWidth="1"/>
    <col min="93" max="93" width="9.140625" style="1"/>
    <col min="94" max="94" width="13.28515625" style="1" customWidth="1"/>
    <col min="95" max="95" width="11.42578125" style="1" customWidth="1"/>
    <col min="96" max="96" width="13.5703125" style="1" customWidth="1"/>
    <col min="97" max="97" width="9.140625" style="1"/>
    <col min="98" max="98" width="11.42578125" style="1" customWidth="1"/>
    <col min="99" max="99" width="11.7109375" style="1" customWidth="1"/>
    <col min="100" max="100" width="10.5703125" style="1" customWidth="1"/>
    <col min="101" max="101" width="12" style="1" customWidth="1"/>
    <col min="102" max="103" width="9.140625" style="1"/>
    <col min="104" max="104" width="11" style="1" customWidth="1"/>
    <col min="105" max="105" width="9.140625" style="1"/>
    <col min="106" max="106" width="13.140625" style="1" customWidth="1"/>
    <col min="107" max="107" width="11" style="1" customWidth="1"/>
    <col min="108" max="109" width="11.85546875" style="1" customWidth="1"/>
    <col min="110" max="110" width="13.42578125" style="1" customWidth="1"/>
    <col min="111" max="111" width="9.140625" style="1"/>
    <col min="112" max="112" width="12" style="1" customWidth="1"/>
    <col min="113" max="113" width="10.42578125" style="1" customWidth="1"/>
    <col min="114" max="114" width="12.5703125" style="1" customWidth="1"/>
    <col min="115" max="115" width="11.28515625" style="1" customWidth="1"/>
    <col min="116" max="16384" width="9.140625" style="1"/>
  </cols>
  <sheetData>
    <row r="1" spans="1:138" ht="21" x14ac:dyDescent="0.25">
      <c r="A1" s="2" t="s">
        <v>0</v>
      </c>
      <c r="B1" s="251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DK1" s="245"/>
      <c r="DL1" s="245"/>
      <c r="DM1" s="245"/>
      <c r="DN1" s="245"/>
      <c r="DO1" s="245"/>
      <c r="DP1" s="245"/>
      <c r="DQ1" s="245"/>
      <c r="DR1" s="245"/>
      <c r="DS1" s="245"/>
      <c r="DT1" s="245"/>
      <c r="DU1" s="245"/>
      <c r="DV1" s="245"/>
      <c r="DW1" s="245"/>
      <c r="DX1" s="245"/>
      <c r="DY1" s="245"/>
      <c r="DZ1" s="245"/>
      <c r="EA1" s="245"/>
      <c r="EB1" s="245"/>
      <c r="EC1" s="245"/>
      <c r="ED1" s="245"/>
      <c r="EE1" s="245"/>
      <c r="EF1" s="245"/>
      <c r="EG1" s="245"/>
      <c r="EH1" s="245"/>
    </row>
    <row r="2" spans="1:138" ht="21" x14ac:dyDescent="0.25">
      <c r="A2" s="258"/>
      <c r="B2" s="260">
        <v>2025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>
        <v>2026</v>
      </c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</row>
    <row r="3" spans="1:138" ht="15.75" x14ac:dyDescent="0.25">
      <c r="A3" s="259"/>
      <c r="B3" s="7" t="s">
        <v>1</v>
      </c>
      <c r="C3" s="7" t="s">
        <v>2</v>
      </c>
      <c r="D3" s="7" t="s">
        <v>15</v>
      </c>
      <c r="E3" s="7" t="s">
        <v>16</v>
      </c>
      <c r="F3" s="3" t="s">
        <v>4</v>
      </c>
      <c r="G3" s="4" t="s">
        <v>5</v>
      </c>
      <c r="H3" s="4" t="s">
        <v>6</v>
      </c>
      <c r="I3" s="5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6" t="s">
        <v>13</v>
      </c>
      <c r="P3" s="7" t="s">
        <v>1</v>
      </c>
      <c r="Q3" s="7" t="s">
        <v>2</v>
      </c>
      <c r="R3" s="7" t="s">
        <v>15</v>
      </c>
      <c r="S3" s="7" t="s">
        <v>16</v>
      </c>
      <c r="T3" s="3" t="s">
        <v>4</v>
      </c>
      <c r="U3" s="4" t="s">
        <v>5</v>
      </c>
      <c r="V3" s="4" t="s">
        <v>6</v>
      </c>
      <c r="W3" s="5" t="s">
        <v>7</v>
      </c>
      <c r="X3" s="4" t="s">
        <v>8</v>
      </c>
      <c r="Y3" s="4" t="s">
        <v>9</v>
      </c>
      <c r="Z3" s="4" t="s">
        <v>10</v>
      </c>
      <c r="AA3" s="4" t="s">
        <v>11</v>
      </c>
      <c r="AB3" s="4" t="s">
        <v>12</v>
      </c>
      <c r="AC3" s="6" t="s">
        <v>13</v>
      </c>
    </row>
    <row r="4" spans="1:138" ht="19.5" thickBot="1" x14ac:dyDescent="0.3">
      <c r="A4" s="8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138" ht="15.75" x14ac:dyDescent="0.25">
      <c r="A5" s="10" t="s">
        <v>18</v>
      </c>
      <c r="B5" s="13">
        <v>71767.731</v>
      </c>
      <c r="C5" s="14">
        <v>80333.725999999995</v>
      </c>
      <c r="D5" s="14">
        <v>84514.45</v>
      </c>
      <c r="E5" s="12">
        <f t="shared" ref="E5:E16" si="0">SUM(B5:D5)</f>
        <v>236615.90700000001</v>
      </c>
      <c r="F5" s="13">
        <v>76281.097999999998</v>
      </c>
      <c r="G5" s="14">
        <v>35295.112000000001</v>
      </c>
      <c r="H5" s="14">
        <v>0</v>
      </c>
      <c r="I5" s="12">
        <f t="shared" ref="I5:I15" si="1">SUM(F5:H5)</f>
        <v>111576.20999999999</v>
      </c>
      <c r="J5" s="11">
        <f t="shared" ref="J5:J16" si="2">I5+E5</f>
        <v>348192.11699999997</v>
      </c>
      <c r="K5" s="13">
        <v>0</v>
      </c>
      <c r="L5" s="14">
        <v>39.476999999999997</v>
      </c>
      <c r="M5" s="14">
        <v>6531.8639999999996</v>
      </c>
      <c r="N5" s="12">
        <f t="shared" ref="N5:N9" si="3">SUM(K5:M5)</f>
        <v>6571.3409999999994</v>
      </c>
      <c r="O5" s="11">
        <f t="shared" ref="O5:O15" si="4">N5+J5</f>
        <v>354763.45799999998</v>
      </c>
      <c r="P5" s="13">
        <v>69255.505999999994</v>
      </c>
      <c r="Q5" s="14">
        <v>62536.108</v>
      </c>
      <c r="R5" s="14">
        <v>58239.521999999997</v>
      </c>
      <c r="S5" s="12">
        <f>SUM(P5:R5)</f>
        <v>190031.136</v>
      </c>
      <c r="T5" s="13">
        <v>31891.624</v>
      </c>
      <c r="U5" s="14">
        <v>11215.638000000001</v>
      </c>
      <c r="V5" s="14">
        <v>0</v>
      </c>
      <c r="W5" s="12">
        <f>SUM(T5:V5)</f>
        <v>43107.262000000002</v>
      </c>
      <c r="X5" s="11">
        <f>SUM(S5+W5)</f>
        <v>233138.39799999999</v>
      </c>
      <c r="Y5" s="13">
        <v>0</v>
      </c>
      <c r="Z5" s="14">
        <v>0</v>
      </c>
      <c r="AA5" s="14">
        <v>332.75799999999998</v>
      </c>
      <c r="AB5" s="12">
        <f>SUM(Y5:AA5)</f>
        <v>332.75799999999998</v>
      </c>
      <c r="AC5" s="11">
        <f>SUM(AB5,X5)</f>
        <v>233471.15599999999</v>
      </c>
    </row>
    <row r="6" spans="1:138" ht="15.75" x14ac:dyDescent="0.25">
      <c r="A6" s="15" t="s">
        <v>19</v>
      </c>
      <c r="B6" s="18">
        <v>319445.23200000002</v>
      </c>
      <c r="C6" s="19">
        <v>326048.12300000002</v>
      </c>
      <c r="D6" s="19">
        <v>347590.277</v>
      </c>
      <c r="E6" s="17">
        <f t="shared" si="0"/>
        <v>993083.63199999998</v>
      </c>
      <c r="F6" s="18">
        <v>285074.701</v>
      </c>
      <c r="G6" s="19">
        <v>270819.51699999999</v>
      </c>
      <c r="H6" s="19">
        <v>126293.484</v>
      </c>
      <c r="I6" s="17">
        <f t="shared" si="1"/>
        <v>682187.70200000005</v>
      </c>
      <c r="J6" s="16">
        <f t="shared" si="2"/>
        <v>1675271.334</v>
      </c>
      <c r="K6" s="18">
        <v>257336.4</v>
      </c>
      <c r="L6" s="19">
        <v>103675.462</v>
      </c>
      <c r="M6" s="19">
        <v>22458.208999999999</v>
      </c>
      <c r="N6" s="17">
        <f t="shared" si="3"/>
        <v>383470.07099999994</v>
      </c>
      <c r="O6" s="16">
        <f t="shared" si="4"/>
        <v>2058741.405</v>
      </c>
      <c r="P6" s="18">
        <v>389484.72700000001</v>
      </c>
      <c r="Q6" s="19">
        <v>312437.88400000002</v>
      </c>
      <c r="R6" s="19">
        <v>286492.92599999998</v>
      </c>
      <c r="S6" s="17">
        <f t="shared" ref="S6:S33" si="5">SUM(P6:R6)</f>
        <v>988415.53700000001</v>
      </c>
      <c r="T6" s="18">
        <v>282318.64</v>
      </c>
      <c r="U6" s="19">
        <v>119045.713</v>
      </c>
      <c r="V6" s="19">
        <v>814.18100000000004</v>
      </c>
      <c r="W6" s="17">
        <f t="shared" ref="W6:W16" si="6">SUM(T6:V6)</f>
        <v>402178.53399999999</v>
      </c>
      <c r="X6" s="16">
        <f t="shared" ref="X6:X16" si="7">SUM(S6+W6)</f>
        <v>1390594.071</v>
      </c>
      <c r="Y6" s="18">
        <v>83893.619000000006</v>
      </c>
      <c r="Z6" s="19">
        <v>46707.695</v>
      </c>
      <c r="AA6" s="19">
        <v>190690.55799999999</v>
      </c>
      <c r="AB6" s="17">
        <f t="shared" ref="AB6:AB15" si="8">SUM(Y6:AA6)</f>
        <v>321291.87199999997</v>
      </c>
      <c r="AC6" s="16">
        <f t="shared" ref="AC6:AC15" si="9">SUM(AB6,X6)</f>
        <v>1711885.943</v>
      </c>
    </row>
    <row r="7" spans="1:138" ht="15.75" x14ac:dyDescent="0.25">
      <c r="A7" s="15" t="s">
        <v>20</v>
      </c>
      <c r="B7" s="20">
        <v>99236.445000000007</v>
      </c>
      <c r="C7" s="21">
        <v>87797.604999999996</v>
      </c>
      <c r="D7" s="21">
        <v>87608.103000000003</v>
      </c>
      <c r="E7" s="17">
        <f t="shared" si="0"/>
        <v>274642.15299999999</v>
      </c>
      <c r="F7" s="20">
        <v>71425.976999999999</v>
      </c>
      <c r="G7" s="21">
        <v>44119.86</v>
      </c>
      <c r="H7" s="21">
        <v>26359.655999999999</v>
      </c>
      <c r="I7" s="17">
        <f t="shared" si="1"/>
        <v>141905.49299999999</v>
      </c>
      <c r="J7" s="16">
        <f t="shared" si="2"/>
        <v>416547.64599999995</v>
      </c>
      <c r="K7" s="20">
        <v>10487.273999999999</v>
      </c>
      <c r="L7" s="21">
        <v>16894.606</v>
      </c>
      <c r="M7" s="21">
        <v>32762.789000000001</v>
      </c>
      <c r="N7" s="17">
        <f t="shared" si="3"/>
        <v>60144.668999999994</v>
      </c>
      <c r="O7" s="16">
        <f t="shared" si="4"/>
        <v>476692.31499999994</v>
      </c>
      <c r="P7" s="20">
        <v>76737.279999999999</v>
      </c>
      <c r="Q7" s="21">
        <v>70941.013999999996</v>
      </c>
      <c r="R7" s="21">
        <v>78652.319000000003</v>
      </c>
      <c r="S7" s="17">
        <f t="shared" si="5"/>
        <v>226330.61300000001</v>
      </c>
      <c r="T7" s="20">
        <v>70902.637000000002</v>
      </c>
      <c r="U7" s="21">
        <v>40297.678</v>
      </c>
      <c r="V7" s="21">
        <v>9014.9570000000003</v>
      </c>
      <c r="W7" s="17">
        <f t="shared" si="6"/>
        <v>120215.272</v>
      </c>
      <c r="X7" s="16">
        <f t="shared" si="7"/>
        <v>346545.88500000001</v>
      </c>
      <c r="Y7" s="20">
        <v>17429.814999999999</v>
      </c>
      <c r="Z7" s="21">
        <v>17661.137999999999</v>
      </c>
      <c r="AA7" s="21">
        <v>28060.272000000001</v>
      </c>
      <c r="AB7" s="17">
        <f t="shared" si="8"/>
        <v>63151.224999999991</v>
      </c>
      <c r="AC7" s="16">
        <f t="shared" si="9"/>
        <v>409697.11</v>
      </c>
    </row>
    <row r="8" spans="1:138" ht="15.75" x14ac:dyDescent="0.25">
      <c r="A8" s="15" t="s">
        <v>21</v>
      </c>
      <c r="B8" s="20">
        <v>229484.50700000001</v>
      </c>
      <c r="C8" s="21">
        <v>222755.07699999999</v>
      </c>
      <c r="D8" s="21">
        <v>217838.00899999999</v>
      </c>
      <c r="E8" s="17">
        <f t="shared" si="0"/>
        <v>670077.59299999999</v>
      </c>
      <c r="F8" s="20">
        <v>209782.87100000001</v>
      </c>
      <c r="G8" s="21">
        <v>182161.21400000001</v>
      </c>
      <c r="H8" s="21">
        <v>100042.639</v>
      </c>
      <c r="I8" s="17">
        <f t="shared" si="1"/>
        <v>491986.72400000005</v>
      </c>
      <c r="J8" s="16">
        <f t="shared" si="2"/>
        <v>1162064.317</v>
      </c>
      <c r="K8" s="20">
        <v>34933.697999999997</v>
      </c>
      <c r="L8" s="21">
        <v>124908.333</v>
      </c>
      <c r="M8" s="21">
        <v>121770.25</v>
      </c>
      <c r="N8" s="17">
        <f t="shared" si="3"/>
        <v>281612.28099999996</v>
      </c>
      <c r="O8" s="16">
        <f t="shared" si="4"/>
        <v>1443676.598</v>
      </c>
      <c r="P8" s="20">
        <v>183340.95199999999</v>
      </c>
      <c r="Q8" s="21">
        <v>208507.78599999999</v>
      </c>
      <c r="R8" s="21">
        <v>174531.772</v>
      </c>
      <c r="S8" s="17">
        <f t="shared" si="5"/>
        <v>566380.51</v>
      </c>
      <c r="T8" s="20">
        <v>135679.4</v>
      </c>
      <c r="U8" s="21">
        <v>97888.921000000002</v>
      </c>
      <c r="V8" s="21">
        <v>31140.008000000002</v>
      </c>
      <c r="W8" s="17">
        <f t="shared" si="6"/>
        <v>264708.32900000003</v>
      </c>
      <c r="X8" s="16">
        <f t="shared" si="7"/>
        <v>831088.83900000004</v>
      </c>
      <c r="Y8" s="20">
        <v>24511.922999999999</v>
      </c>
      <c r="Z8" s="21">
        <v>105327.68799999999</v>
      </c>
      <c r="AA8" s="21">
        <v>112537.565</v>
      </c>
      <c r="AB8" s="17">
        <f t="shared" si="8"/>
        <v>242377.17599999998</v>
      </c>
      <c r="AC8" s="16">
        <f t="shared" si="9"/>
        <v>1073466.0150000001</v>
      </c>
    </row>
    <row r="9" spans="1:138" ht="15.75" x14ac:dyDescent="0.25">
      <c r="A9" s="15" t="s">
        <v>22</v>
      </c>
      <c r="B9" s="20">
        <v>209274.76800000001</v>
      </c>
      <c r="C9" s="21">
        <v>188234.27</v>
      </c>
      <c r="D9" s="21">
        <v>162010.06</v>
      </c>
      <c r="E9" s="17">
        <f t="shared" si="0"/>
        <v>559519.098</v>
      </c>
      <c r="F9" s="20">
        <v>162620.70800000001</v>
      </c>
      <c r="G9" s="21">
        <v>110495.807</v>
      </c>
      <c r="H9" s="21">
        <v>22023.697</v>
      </c>
      <c r="I9" s="17">
        <f t="shared" si="1"/>
        <v>295140.212</v>
      </c>
      <c r="J9" s="16">
        <f t="shared" si="2"/>
        <v>854659.31</v>
      </c>
      <c r="K9" s="20">
        <v>36782.142999999996</v>
      </c>
      <c r="L9" s="21">
        <v>28118.489000000001</v>
      </c>
      <c r="M9" s="21">
        <v>51618.671000000002</v>
      </c>
      <c r="N9" s="17">
        <f t="shared" si="3"/>
        <v>116519.303</v>
      </c>
      <c r="O9" s="16">
        <f t="shared" si="4"/>
        <v>971178.61300000001</v>
      </c>
      <c r="P9" s="20">
        <v>168429.25</v>
      </c>
      <c r="Q9" s="21">
        <v>151801.81</v>
      </c>
      <c r="R9" s="21">
        <v>171179.58</v>
      </c>
      <c r="S9" s="17">
        <f t="shared" si="5"/>
        <v>491410.64</v>
      </c>
      <c r="T9" s="20">
        <v>162603.31</v>
      </c>
      <c r="U9" s="21">
        <v>81823.12</v>
      </c>
      <c r="V9" s="21">
        <v>21097.439999999999</v>
      </c>
      <c r="W9" s="17">
        <f t="shared" si="6"/>
        <v>265523.87</v>
      </c>
      <c r="X9" s="16">
        <f t="shared" si="7"/>
        <v>756934.51</v>
      </c>
      <c r="Y9" s="20">
        <v>61482.14</v>
      </c>
      <c r="Z9" s="21">
        <v>63488.593000000001</v>
      </c>
      <c r="AA9" s="21">
        <v>63618.777999999998</v>
      </c>
      <c r="AB9" s="17">
        <f t="shared" si="8"/>
        <v>188589.511</v>
      </c>
      <c r="AC9" s="16">
        <f t="shared" si="9"/>
        <v>945524.02099999995</v>
      </c>
    </row>
    <row r="10" spans="1:138" ht="15.75" x14ac:dyDescent="0.25">
      <c r="A10" s="15" t="s">
        <v>23</v>
      </c>
      <c r="B10" s="20">
        <v>89701.93</v>
      </c>
      <c r="C10" s="21">
        <v>82537.423999999999</v>
      </c>
      <c r="D10" s="21">
        <v>73650.33</v>
      </c>
      <c r="E10" s="17">
        <f t="shared" si="0"/>
        <v>245889.68400000001</v>
      </c>
      <c r="F10" s="20">
        <v>68171.98</v>
      </c>
      <c r="G10" s="21">
        <v>57674.764999999999</v>
      </c>
      <c r="H10" s="21">
        <v>38182.832999999999</v>
      </c>
      <c r="I10" s="17">
        <f t="shared" si="1"/>
        <v>164029.57799999998</v>
      </c>
      <c r="J10" s="16">
        <f t="shared" si="2"/>
        <v>409919.26199999999</v>
      </c>
      <c r="K10" s="20">
        <v>6889.86</v>
      </c>
      <c r="L10" s="21">
        <v>10761.902</v>
      </c>
      <c r="M10" s="21">
        <v>40567.845999999998</v>
      </c>
      <c r="N10" s="17">
        <f t="shared" ref="N10:N20" si="10">SUM(K10:M10)</f>
        <v>58219.607999999993</v>
      </c>
      <c r="O10" s="16">
        <f t="shared" si="4"/>
        <v>468138.87</v>
      </c>
      <c r="P10" s="20">
        <v>107001.928</v>
      </c>
      <c r="Q10" s="21">
        <v>99366.157999999996</v>
      </c>
      <c r="R10" s="21">
        <v>77700.180999999997</v>
      </c>
      <c r="S10" s="17">
        <f t="shared" si="5"/>
        <v>284068.26699999999</v>
      </c>
      <c r="T10" s="20">
        <v>68330.649999999994</v>
      </c>
      <c r="U10" s="21">
        <v>51330.701000000001</v>
      </c>
      <c r="V10" s="21">
        <v>44207.722999999998</v>
      </c>
      <c r="W10" s="17">
        <f t="shared" si="6"/>
        <v>163869.07399999999</v>
      </c>
      <c r="X10" s="16">
        <f t="shared" si="7"/>
        <v>447937.34100000001</v>
      </c>
      <c r="Y10" s="20">
        <v>16474.014999999999</v>
      </c>
      <c r="Z10" s="21">
        <v>10085.09</v>
      </c>
      <c r="AA10" s="21">
        <v>47581.116999999998</v>
      </c>
      <c r="AB10" s="17">
        <f t="shared" si="8"/>
        <v>74140.221999999994</v>
      </c>
      <c r="AC10" s="16">
        <f t="shared" si="9"/>
        <v>522077.56300000002</v>
      </c>
    </row>
    <row r="11" spans="1:138" ht="15.75" x14ac:dyDescent="0.25">
      <c r="A11" s="15" t="s">
        <v>24</v>
      </c>
      <c r="B11" s="20">
        <v>259459.08</v>
      </c>
      <c r="C11" s="21">
        <v>237289.18</v>
      </c>
      <c r="D11" s="21">
        <v>244593.32</v>
      </c>
      <c r="E11" s="17">
        <f t="shared" si="0"/>
        <v>741341.58000000007</v>
      </c>
      <c r="F11" s="20">
        <v>214078.26</v>
      </c>
      <c r="G11" s="21">
        <v>133998.44</v>
      </c>
      <c r="H11" s="21">
        <v>68368.28</v>
      </c>
      <c r="I11" s="17">
        <f t="shared" si="1"/>
        <v>416444.98</v>
      </c>
      <c r="J11" s="16">
        <f t="shared" si="2"/>
        <v>1157786.56</v>
      </c>
      <c r="K11" s="20">
        <v>34533.279999999999</v>
      </c>
      <c r="L11" s="21">
        <v>77898.320000000007</v>
      </c>
      <c r="M11" s="21">
        <v>84460.08</v>
      </c>
      <c r="N11" s="17">
        <f t="shared" si="10"/>
        <v>196891.68</v>
      </c>
      <c r="O11" s="16">
        <f t="shared" si="4"/>
        <v>1354678.24</v>
      </c>
      <c r="P11" s="20">
        <v>284394.02</v>
      </c>
      <c r="Q11" s="21">
        <v>263879.13699999999</v>
      </c>
      <c r="R11" s="21">
        <v>247386.32</v>
      </c>
      <c r="S11" s="17">
        <f t="shared" si="5"/>
        <v>795659.47699999996</v>
      </c>
      <c r="T11" s="20">
        <v>201881.8</v>
      </c>
      <c r="U11" s="21">
        <v>119813.2</v>
      </c>
      <c r="V11" s="21">
        <v>86617.44</v>
      </c>
      <c r="W11" s="17">
        <f t="shared" si="6"/>
        <v>408312.44</v>
      </c>
      <c r="X11" s="16">
        <f t="shared" si="7"/>
        <v>1203971.9169999999</v>
      </c>
      <c r="Y11" s="20">
        <v>41865.72</v>
      </c>
      <c r="Z11" s="21">
        <v>77340.36</v>
      </c>
      <c r="AA11" s="21">
        <v>83960</v>
      </c>
      <c r="AB11" s="17">
        <f t="shared" si="8"/>
        <v>203166.08000000002</v>
      </c>
      <c r="AC11" s="16">
        <f t="shared" si="9"/>
        <v>1407137.997</v>
      </c>
    </row>
    <row r="12" spans="1:138" ht="15.75" x14ac:dyDescent="0.25">
      <c r="A12" s="15" t="s">
        <v>25</v>
      </c>
      <c r="B12" s="20">
        <v>424155.21399999998</v>
      </c>
      <c r="C12" s="21">
        <v>590717.87199999997</v>
      </c>
      <c r="D12" s="21">
        <v>615966.94999999995</v>
      </c>
      <c r="E12" s="17">
        <f t="shared" si="0"/>
        <v>1630840.0359999998</v>
      </c>
      <c r="F12" s="20">
        <v>368406.94199999998</v>
      </c>
      <c r="G12" s="21">
        <v>369104.359</v>
      </c>
      <c r="H12" s="21">
        <v>182974.774</v>
      </c>
      <c r="I12" s="17">
        <f t="shared" si="1"/>
        <v>920486.07499999995</v>
      </c>
      <c r="J12" s="16">
        <f t="shared" si="2"/>
        <v>2551326.1109999996</v>
      </c>
      <c r="K12" s="20">
        <v>185351.38699999999</v>
      </c>
      <c r="L12" s="21">
        <v>270550.68</v>
      </c>
      <c r="M12" s="21">
        <v>235714.63</v>
      </c>
      <c r="N12" s="17">
        <f t="shared" si="10"/>
        <v>691616.69699999993</v>
      </c>
      <c r="O12" s="16">
        <f t="shared" si="4"/>
        <v>3242942.8079999993</v>
      </c>
      <c r="P12" s="20">
        <v>536873.25699999998</v>
      </c>
      <c r="Q12" s="21">
        <v>424073.26500000001</v>
      </c>
      <c r="R12" s="21">
        <v>397320.52399999998</v>
      </c>
      <c r="S12" s="17">
        <f t="shared" si="5"/>
        <v>1358267.0460000001</v>
      </c>
      <c r="T12" s="20">
        <v>286535.15999999997</v>
      </c>
      <c r="U12" s="21">
        <v>158524.935</v>
      </c>
      <c r="V12" s="21">
        <v>122254.273</v>
      </c>
      <c r="W12" s="17">
        <f t="shared" si="6"/>
        <v>567314.36800000002</v>
      </c>
      <c r="X12" s="16">
        <f t="shared" si="7"/>
        <v>1925581.4140000001</v>
      </c>
      <c r="Y12" s="20">
        <v>50555.519999999997</v>
      </c>
      <c r="Z12" s="21">
        <v>141006.28099999999</v>
      </c>
      <c r="AA12" s="21">
        <v>215931.035</v>
      </c>
      <c r="AB12" s="17">
        <f t="shared" si="8"/>
        <v>407492.83600000001</v>
      </c>
      <c r="AC12" s="16">
        <f t="shared" si="9"/>
        <v>2333074.25</v>
      </c>
    </row>
    <row r="13" spans="1:138" ht="15.75" x14ac:dyDescent="0.25">
      <c r="A13" s="15" t="s">
        <v>26</v>
      </c>
      <c r="B13" s="20">
        <v>67518.849000000002</v>
      </c>
      <c r="C13" s="21">
        <v>68719.008000000002</v>
      </c>
      <c r="D13" s="21">
        <v>72429.933000000005</v>
      </c>
      <c r="E13" s="17">
        <f t="shared" si="0"/>
        <v>208667.79000000004</v>
      </c>
      <c r="F13" s="20">
        <v>67253.801999999996</v>
      </c>
      <c r="G13" s="21">
        <v>67875.593999999997</v>
      </c>
      <c r="H13" s="21">
        <v>70140.320999999996</v>
      </c>
      <c r="I13" s="17">
        <f t="shared" si="1"/>
        <v>205269.717</v>
      </c>
      <c r="J13" s="16">
        <f t="shared" si="2"/>
        <v>413937.50700000004</v>
      </c>
      <c r="K13" s="20">
        <v>61017.807000000001</v>
      </c>
      <c r="L13" s="21">
        <v>61042.686000000002</v>
      </c>
      <c r="M13" s="21">
        <v>67966.803</v>
      </c>
      <c r="N13" s="17">
        <f t="shared" si="10"/>
        <v>190027.296</v>
      </c>
      <c r="O13" s="16">
        <f t="shared" si="4"/>
        <v>603964.80300000007</v>
      </c>
      <c r="P13" s="20">
        <v>49832.186999999998</v>
      </c>
      <c r="Q13" s="21">
        <v>42772.406999999999</v>
      </c>
      <c r="R13" s="21">
        <v>63187.682999999997</v>
      </c>
      <c r="S13" s="17">
        <f t="shared" si="5"/>
        <v>155792.277</v>
      </c>
      <c r="T13" s="20">
        <v>59589.951000000001</v>
      </c>
      <c r="U13" s="21">
        <v>59464.328999999998</v>
      </c>
      <c r="V13" s="21">
        <v>50255.870999999999</v>
      </c>
      <c r="W13" s="17">
        <f t="shared" si="6"/>
        <v>169310.15100000001</v>
      </c>
      <c r="X13" s="16">
        <f t="shared" si="7"/>
        <v>325102.42800000001</v>
      </c>
      <c r="Y13" s="20">
        <v>47542.934999999998</v>
      </c>
      <c r="Z13" s="21">
        <v>39592.154999999999</v>
      </c>
      <c r="AA13" s="21">
        <v>43542.108</v>
      </c>
      <c r="AB13" s="17">
        <f t="shared" si="8"/>
        <v>130677.198</v>
      </c>
      <c r="AC13" s="16">
        <f t="shared" si="9"/>
        <v>455779.62600000005</v>
      </c>
    </row>
    <row r="14" spans="1:138" ht="15.75" x14ac:dyDescent="0.25">
      <c r="A14" s="15" t="s">
        <v>27</v>
      </c>
      <c r="B14" s="20">
        <v>107275.649</v>
      </c>
      <c r="C14" s="21">
        <v>90257.569000000003</v>
      </c>
      <c r="D14" s="21">
        <v>103010.603</v>
      </c>
      <c r="E14" s="17">
        <f t="shared" si="0"/>
        <v>300543.821</v>
      </c>
      <c r="F14" s="20">
        <v>103866.851</v>
      </c>
      <c r="G14" s="21">
        <v>85939.326000000001</v>
      </c>
      <c r="H14" s="21">
        <v>87716.422999999995</v>
      </c>
      <c r="I14" s="17">
        <f t="shared" si="1"/>
        <v>277522.59999999998</v>
      </c>
      <c r="J14" s="16">
        <f t="shared" si="2"/>
        <v>578066.42099999997</v>
      </c>
      <c r="K14" s="20">
        <v>101294.879</v>
      </c>
      <c r="L14" s="21">
        <v>88045.452000000005</v>
      </c>
      <c r="M14" s="21">
        <v>78847.476999999999</v>
      </c>
      <c r="N14" s="17">
        <f t="shared" si="10"/>
        <v>268187.80800000002</v>
      </c>
      <c r="O14" s="16">
        <f t="shared" si="4"/>
        <v>846254.22900000005</v>
      </c>
      <c r="P14" s="20">
        <v>100560.424</v>
      </c>
      <c r="Q14" s="21">
        <v>89941.87</v>
      </c>
      <c r="R14" s="21">
        <v>93101.774000000005</v>
      </c>
      <c r="S14" s="17">
        <f t="shared" si="5"/>
        <v>283604.06799999997</v>
      </c>
      <c r="T14" s="20">
        <v>79555.122000000003</v>
      </c>
      <c r="U14" s="21">
        <v>62556.428999999996</v>
      </c>
      <c r="V14" s="21">
        <v>59246.601999999999</v>
      </c>
      <c r="W14" s="17">
        <f t="shared" si="6"/>
        <v>201358.15299999999</v>
      </c>
      <c r="X14" s="16">
        <f t="shared" si="7"/>
        <v>484962.22099999996</v>
      </c>
      <c r="Y14" s="20">
        <v>68379.407999999996</v>
      </c>
      <c r="Z14" s="21">
        <v>64836.455999999998</v>
      </c>
      <c r="AA14" s="21">
        <v>71615.957999999999</v>
      </c>
      <c r="AB14" s="17">
        <f t="shared" si="8"/>
        <v>204831.82199999999</v>
      </c>
      <c r="AC14" s="16">
        <f t="shared" si="9"/>
        <v>689794.04299999995</v>
      </c>
    </row>
    <row r="15" spans="1:138" ht="16.5" thickBot="1" x14ac:dyDescent="0.3">
      <c r="A15" s="22" t="s">
        <v>28</v>
      </c>
      <c r="B15" s="23">
        <v>105192.124</v>
      </c>
      <c r="C15" s="24">
        <v>117177.77800000001</v>
      </c>
      <c r="D15" s="24">
        <v>155951.46599999999</v>
      </c>
      <c r="E15" s="17">
        <f t="shared" si="0"/>
        <v>378321.36800000002</v>
      </c>
      <c r="F15" s="23">
        <v>163829.65700000001</v>
      </c>
      <c r="G15" s="24">
        <v>151587.995</v>
      </c>
      <c r="H15" s="24">
        <v>160173.554</v>
      </c>
      <c r="I15" s="17">
        <f t="shared" si="1"/>
        <v>475591.20600000001</v>
      </c>
      <c r="J15" s="16">
        <f t="shared" si="2"/>
        <v>853912.57400000002</v>
      </c>
      <c r="K15" s="23">
        <v>125473.64</v>
      </c>
      <c r="L15" s="24">
        <v>109962.239</v>
      </c>
      <c r="M15" s="24">
        <v>96050.766000000003</v>
      </c>
      <c r="N15" s="17">
        <f t="shared" si="10"/>
        <v>331486.64500000002</v>
      </c>
      <c r="O15" s="16">
        <f t="shared" si="4"/>
        <v>1185399.219</v>
      </c>
      <c r="P15" s="23">
        <f>P16-(SUM(P5:P14))</f>
        <v>86495.02099999995</v>
      </c>
      <c r="Q15" s="24">
        <f t="shared" ref="Q15:S15" si="11">Q16-(SUM(Q5:Q14))</f>
        <v>73455.205000000307</v>
      </c>
      <c r="R15" s="24">
        <f t="shared" si="11"/>
        <v>99666.156000000192</v>
      </c>
      <c r="S15" s="17">
        <f t="shared" si="11"/>
        <v>259616.38200000022</v>
      </c>
      <c r="T15" s="23">
        <f>T16-(SUM(T5:T14))</f>
        <v>114729.99500000034</v>
      </c>
      <c r="U15" s="24">
        <f>U16-(SUM(U5:U14))</f>
        <v>104087.90000000002</v>
      </c>
      <c r="V15" s="24">
        <f>V16-(SUM(V5:V14))</f>
        <v>92596.644000000029</v>
      </c>
      <c r="W15" s="17">
        <f t="shared" si="6"/>
        <v>311414.5390000004</v>
      </c>
      <c r="X15" s="16">
        <f t="shared" si="7"/>
        <v>571030.92100000056</v>
      </c>
      <c r="Y15" s="23">
        <v>90654.381999999998</v>
      </c>
      <c r="Z15" s="24">
        <v>85159.247000000003</v>
      </c>
      <c r="AA15" s="24">
        <v>93722.508000000002</v>
      </c>
      <c r="AB15" s="17">
        <f t="shared" si="8"/>
        <v>269536.13699999999</v>
      </c>
      <c r="AC15" s="16">
        <f t="shared" si="9"/>
        <v>840567.05800000054</v>
      </c>
    </row>
    <row r="16" spans="1:138" ht="16.5" thickBot="1" x14ac:dyDescent="0.3">
      <c r="A16" s="25" t="s">
        <v>29</v>
      </c>
      <c r="B16" s="26">
        <f>SUM(B5:B15)</f>
        <v>1982511.5290000001</v>
      </c>
      <c r="C16" s="27">
        <f>SUM(C5:C15)</f>
        <v>2091867.6319999998</v>
      </c>
      <c r="D16" s="27">
        <f>SUM(D5:D15)</f>
        <v>2165163.5009999997</v>
      </c>
      <c r="E16" s="29">
        <f t="shared" si="0"/>
        <v>6239542.6619999995</v>
      </c>
      <c r="F16" s="26">
        <f>SUM(F5:F15)</f>
        <v>1790792.8470000001</v>
      </c>
      <c r="G16" s="27">
        <f t="shared" ref="G16:H16" si="12">SUM(G5:G15)</f>
        <v>1509071.9890000001</v>
      </c>
      <c r="H16" s="27">
        <f t="shared" si="12"/>
        <v>882275.66099999985</v>
      </c>
      <c r="I16" s="29">
        <f t="shared" ref="I16:I30" si="13">SUM(F16:H16)</f>
        <v>4182140.497</v>
      </c>
      <c r="J16" s="28">
        <f t="shared" si="2"/>
        <v>10421683.159</v>
      </c>
      <c r="K16" s="26">
        <f>SUM(K5:K15)</f>
        <v>854100.3679999999</v>
      </c>
      <c r="L16" s="27">
        <f>SUM(L5:L15)</f>
        <v>891897.64599999995</v>
      </c>
      <c r="M16" s="27">
        <f>SUM(M5:M15)</f>
        <v>838749.38500000001</v>
      </c>
      <c r="N16" s="29">
        <f t="shared" si="10"/>
        <v>2584747.3990000002</v>
      </c>
      <c r="O16" s="28">
        <f>SUM(N16+J16)</f>
        <v>13006430.558</v>
      </c>
      <c r="P16" s="26">
        <v>2052404.5519999999</v>
      </c>
      <c r="Q16" s="27">
        <v>1799712.6440000001</v>
      </c>
      <c r="R16" s="27">
        <v>1747458.757</v>
      </c>
      <c r="S16" s="29">
        <f t="shared" si="5"/>
        <v>5599575.9529999997</v>
      </c>
      <c r="T16" s="26">
        <v>1494018.2890000001</v>
      </c>
      <c r="U16" s="27">
        <v>906048.56400000001</v>
      </c>
      <c r="V16" s="27">
        <v>517245.13900000002</v>
      </c>
      <c r="W16" s="29">
        <f t="shared" si="6"/>
        <v>2917311.9920000001</v>
      </c>
      <c r="X16" s="28">
        <f t="shared" si="7"/>
        <v>8516887.9450000003</v>
      </c>
      <c r="Y16" s="26">
        <f>SUM(Y5:Y15)</f>
        <v>502789.47699999996</v>
      </c>
      <c r="Z16" s="27">
        <f t="shared" ref="Z16:AA16" si="14">SUM(Z5:Z15)</f>
        <v>651204.70299999998</v>
      </c>
      <c r="AA16" s="27">
        <f t="shared" si="14"/>
        <v>951592.65700000001</v>
      </c>
      <c r="AB16" s="29">
        <f>SUM(AB5:AB15)</f>
        <v>2105586.8369999998</v>
      </c>
      <c r="AC16" s="28">
        <f>SUM(AC5:AC15)</f>
        <v>10622474.782</v>
      </c>
    </row>
    <row r="17" spans="1:29" ht="18.75" x14ac:dyDescent="0.25">
      <c r="A17" s="30" t="s">
        <v>30</v>
      </c>
      <c r="B17" s="31"/>
      <c r="C17" s="32"/>
      <c r="D17" s="32"/>
      <c r="E17" s="32"/>
      <c r="F17" s="31"/>
      <c r="G17" s="32"/>
      <c r="H17" s="32"/>
      <c r="I17" s="32"/>
      <c r="J17" s="33"/>
      <c r="K17" s="31"/>
      <c r="L17" s="32"/>
      <c r="M17" s="32"/>
      <c r="N17" s="32"/>
      <c r="O17" s="33"/>
      <c r="P17" s="31"/>
      <c r="Q17" s="32"/>
      <c r="R17" s="32"/>
      <c r="S17" s="32"/>
      <c r="T17" s="31"/>
      <c r="U17" s="32"/>
      <c r="V17" s="32"/>
      <c r="W17" s="32"/>
      <c r="X17" s="33"/>
      <c r="Y17" s="31"/>
      <c r="Z17" s="32"/>
      <c r="AA17" s="32"/>
      <c r="AB17" s="32"/>
      <c r="AC17" s="33"/>
    </row>
    <row r="18" spans="1:29" ht="15.75" x14ac:dyDescent="0.25">
      <c r="A18" s="10" t="s">
        <v>31</v>
      </c>
      <c r="B18" s="18">
        <v>160298.74299999999</v>
      </c>
      <c r="C18" s="21">
        <v>154007.71799999999</v>
      </c>
      <c r="D18" s="37">
        <v>155354.11199999999</v>
      </c>
      <c r="E18" s="36">
        <f t="shared" ref="E18:E21" si="15">SUM(B18:D18)</f>
        <v>469660.57299999997</v>
      </c>
      <c r="F18" s="18">
        <v>122901.69899999999</v>
      </c>
      <c r="G18" s="21">
        <v>94013.524999999994</v>
      </c>
      <c r="H18" s="37">
        <v>56818.303</v>
      </c>
      <c r="I18" s="36">
        <f t="shared" si="13"/>
        <v>273733.527</v>
      </c>
      <c r="J18" s="38">
        <f t="shared" ref="J18:J30" si="16">I18+E18</f>
        <v>743394.1</v>
      </c>
      <c r="K18" s="18">
        <v>59641.32</v>
      </c>
      <c r="L18" s="21">
        <v>81798.607999999993</v>
      </c>
      <c r="M18" s="37">
        <v>97751.353000000003</v>
      </c>
      <c r="N18" s="36">
        <f t="shared" si="10"/>
        <v>239191.28099999999</v>
      </c>
      <c r="O18" s="35">
        <f>SUM(N18,J18)</f>
        <v>982585.38099999994</v>
      </c>
      <c r="P18" s="18">
        <v>158597.90700000001</v>
      </c>
      <c r="Q18" s="21">
        <v>143708.76500000001</v>
      </c>
      <c r="R18" s="37">
        <v>126643.079</v>
      </c>
      <c r="S18" s="36">
        <f t="shared" si="5"/>
        <v>428949.75100000005</v>
      </c>
      <c r="T18" s="18">
        <v>102561.742</v>
      </c>
      <c r="U18" s="21">
        <v>82611.33</v>
      </c>
      <c r="V18" s="37">
        <v>78996.084000000003</v>
      </c>
      <c r="W18" s="36">
        <f>SUM(T18:V18)</f>
        <v>264169.15599999996</v>
      </c>
      <c r="X18" s="38">
        <f>S18+W18</f>
        <v>693118.90700000001</v>
      </c>
      <c r="Y18" s="18">
        <v>50782.356</v>
      </c>
      <c r="Z18" s="21">
        <v>75494.411999999997</v>
      </c>
      <c r="AA18" s="37">
        <v>82474.801999999996</v>
      </c>
      <c r="AB18" s="36">
        <f>SUM(Y18:AA18)</f>
        <v>208751.57</v>
      </c>
      <c r="AC18" s="35">
        <f t="shared" ref="AC18:AC20" si="17">SUM(AB18,X18)</f>
        <v>901870.47699999996</v>
      </c>
    </row>
    <row r="19" spans="1:29" ht="15.75" x14ac:dyDescent="0.25">
      <c r="A19" s="15" t="s">
        <v>32</v>
      </c>
      <c r="B19" s="20">
        <v>77690.350000000006</v>
      </c>
      <c r="C19" s="21">
        <v>69715.747000000003</v>
      </c>
      <c r="D19" s="21">
        <v>72375.922000000006</v>
      </c>
      <c r="E19" s="17">
        <f t="shared" si="15"/>
        <v>219782.01900000003</v>
      </c>
      <c r="F19" s="20">
        <v>91129.32</v>
      </c>
      <c r="G19" s="21">
        <v>76503.403999999995</v>
      </c>
      <c r="H19" s="21">
        <v>71944.904999999999</v>
      </c>
      <c r="I19" s="17">
        <f t="shared" si="13"/>
        <v>239577.62899999999</v>
      </c>
      <c r="J19" s="16">
        <f t="shared" si="16"/>
        <v>459359.64800000004</v>
      </c>
      <c r="K19" s="20">
        <v>68121.554000000004</v>
      </c>
      <c r="L19" s="21">
        <v>59285.438000000002</v>
      </c>
      <c r="M19" s="21">
        <v>53349.192999999999</v>
      </c>
      <c r="N19" s="17">
        <f t="shared" si="10"/>
        <v>180756.185</v>
      </c>
      <c r="O19" s="16">
        <f>SUM(N19,J19)</f>
        <v>640115.8330000001</v>
      </c>
      <c r="P19" s="20">
        <v>73923.77</v>
      </c>
      <c r="Q19" s="21">
        <v>57318.063999999998</v>
      </c>
      <c r="R19" s="21">
        <v>62173.726999999999</v>
      </c>
      <c r="S19" s="17">
        <f t="shared" si="5"/>
        <v>193415.56099999999</v>
      </c>
      <c r="T19" s="20">
        <v>59053.000999999997</v>
      </c>
      <c r="U19" s="21">
        <v>44719.207000000002</v>
      </c>
      <c r="V19" s="21">
        <v>70864.043999999994</v>
      </c>
      <c r="W19" s="17">
        <f t="shared" ref="W19:W22" si="18">SUM(T19:V19)</f>
        <v>174636.25199999998</v>
      </c>
      <c r="X19" s="16">
        <f t="shared" ref="X19:X22" si="19">S19+W19</f>
        <v>368051.81299999997</v>
      </c>
      <c r="Y19" s="20">
        <v>60022.402999999998</v>
      </c>
      <c r="Z19" s="21">
        <v>51257.53</v>
      </c>
      <c r="AA19" s="21">
        <v>56254.298000000003</v>
      </c>
      <c r="AB19" s="17">
        <f t="shared" ref="AB19:AB20" si="20">SUM(Y19:AA19)</f>
        <v>167534.231</v>
      </c>
      <c r="AC19" s="16">
        <f t="shared" si="17"/>
        <v>535586.04399999999</v>
      </c>
    </row>
    <row r="20" spans="1:29" ht="15.75" x14ac:dyDescent="0.25">
      <c r="A20" s="15" t="s">
        <v>33</v>
      </c>
      <c r="B20" s="20">
        <v>63394.563000000002</v>
      </c>
      <c r="C20" s="21">
        <v>66279.328999999998</v>
      </c>
      <c r="D20" s="21">
        <v>77236.84</v>
      </c>
      <c r="E20" s="17">
        <f t="shared" si="15"/>
        <v>206910.73199999999</v>
      </c>
      <c r="F20" s="20">
        <v>90355.832999999999</v>
      </c>
      <c r="G20" s="21">
        <v>96805.759000000005</v>
      </c>
      <c r="H20" s="21">
        <v>87850.417000000001</v>
      </c>
      <c r="I20" s="17">
        <f t="shared" si="13"/>
        <v>275012.00900000002</v>
      </c>
      <c r="J20" s="16">
        <f t="shared" si="16"/>
        <v>481922.74100000004</v>
      </c>
      <c r="K20" s="20">
        <v>104760.198</v>
      </c>
      <c r="L20" s="21">
        <v>93214.495999999999</v>
      </c>
      <c r="M20" s="21">
        <v>67908.361000000004</v>
      </c>
      <c r="N20" s="17">
        <f t="shared" si="10"/>
        <v>265883.05500000005</v>
      </c>
      <c r="O20" s="16">
        <f>SUM(N20,J20)</f>
        <v>747805.79600000009</v>
      </c>
      <c r="P20" s="20">
        <v>76397.08</v>
      </c>
      <c r="Q20" s="21">
        <v>79560.471999999994</v>
      </c>
      <c r="R20" s="21">
        <v>95837.418000000005</v>
      </c>
      <c r="S20" s="17">
        <f t="shared" si="5"/>
        <v>251794.97</v>
      </c>
      <c r="T20" s="20">
        <v>87973.396999999997</v>
      </c>
      <c r="U20" s="21">
        <v>102947.954</v>
      </c>
      <c r="V20" s="21">
        <v>124646.431</v>
      </c>
      <c r="W20" s="17">
        <f t="shared" si="18"/>
        <v>315567.78200000001</v>
      </c>
      <c r="X20" s="16">
        <f t="shared" si="19"/>
        <v>567362.75199999998</v>
      </c>
      <c r="Y20" s="20">
        <v>126280.54300000001</v>
      </c>
      <c r="Z20" s="21">
        <v>125074.302</v>
      </c>
      <c r="AA20" s="21">
        <v>137125.36499999999</v>
      </c>
      <c r="AB20" s="17">
        <f t="shared" si="20"/>
        <v>388480.20999999996</v>
      </c>
      <c r="AC20" s="16">
        <f t="shared" si="17"/>
        <v>955842.96199999994</v>
      </c>
    </row>
    <row r="21" spans="1:29" ht="16.5" thickBot="1" x14ac:dyDescent="0.3">
      <c r="A21" s="15" t="s">
        <v>34</v>
      </c>
      <c r="B21" s="20">
        <f>13605.975+5565.495</f>
        <v>19171.47</v>
      </c>
      <c r="C21" s="21">
        <f>16624.81+5003.077</f>
        <v>21627.887000000002</v>
      </c>
      <c r="D21" s="21">
        <f>15646.794+5103.026</f>
        <v>20749.82</v>
      </c>
      <c r="E21" s="17">
        <f t="shared" si="15"/>
        <v>61549.177000000003</v>
      </c>
      <c r="F21" s="20">
        <f>17191.895+6663.09</f>
        <v>23854.985000000001</v>
      </c>
      <c r="G21" s="21">
        <f>22941.741+7497.82</f>
        <v>30439.561000000002</v>
      </c>
      <c r="H21" s="21">
        <f>23505.523+6040.66</f>
        <v>29546.183000000001</v>
      </c>
      <c r="I21" s="17">
        <f t="shared" si="13"/>
        <v>83840.729000000007</v>
      </c>
      <c r="J21" s="16">
        <f t="shared" si="16"/>
        <v>145389.90600000002</v>
      </c>
      <c r="K21" s="20">
        <v>27961.041000000001</v>
      </c>
      <c r="L21" s="21">
        <v>14380.312</v>
      </c>
      <c r="M21" s="21">
        <v>8702.3700000000008</v>
      </c>
      <c r="N21" s="17">
        <v>51043.722999999998</v>
      </c>
      <c r="O21" s="16">
        <v>196433.62599999999</v>
      </c>
      <c r="P21" s="20">
        <v>14192.626</v>
      </c>
      <c r="Q21" s="21">
        <v>11768.145</v>
      </c>
      <c r="R21" s="21">
        <v>19310.93</v>
      </c>
      <c r="S21" s="17">
        <f t="shared" si="5"/>
        <v>45271.701000000001</v>
      </c>
      <c r="T21" s="20">
        <v>17558.954000000002</v>
      </c>
      <c r="U21" s="21">
        <v>17503.138999999999</v>
      </c>
      <c r="V21" s="21">
        <v>19721.521000000001</v>
      </c>
      <c r="W21" s="17">
        <f t="shared" si="18"/>
        <v>54783.614000000001</v>
      </c>
      <c r="X21" s="16">
        <f t="shared" si="19"/>
        <v>100055.315</v>
      </c>
      <c r="Y21" s="20">
        <f>17350.1+5391.1</f>
        <v>22741.199999999997</v>
      </c>
      <c r="Z21" s="21">
        <f>18163.9+3533.1</f>
        <v>21697</v>
      </c>
      <c r="AA21" s="21">
        <f>19918.7+4501.2</f>
        <v>24419.9</v>
      </c>
      <c r="AB21" s="17">
        <f>SUM(Y21:AA21)</f>
        <v>68858.100000000006</v>
      </c>
      <c r="AC21" s="16">
        <f>AB21+X21</f>
        <v>168913.41500000001</v>
      </c>
    </row>
    <row r="22" spans="1:29" ht="16.5" thickBot="1" x14ac:dyDescent="0.3">
      <c r="A22" s="25" t="s">
        <v>35</v>
      </c>
      <c r="B22" s="26">
        <f>SUM(B18:B21)</f>
        <v>320555.12600000005</v>
      </c>
      <c r="C22" s="27">
        <f t="shared" ref="C22:E22" si="21">SUM(C18:C21)</f>
        <v>311630.68099999998</v>
      </c>
      <c r="D22" s="27">
        <f t="shared" si="21"/>
        <v>325716.69399999996</v>
      </c>
      <c r="E22" s="39">
        <f t="shared" si="21"/>
        <v>957902.50099999993</v>
      </c>
      <c r="F22" s="26">
        <f>SUM(F18:F21)</f>
        <v>328241.837</v>
      </c>
      <c r="G22" s="27">
        <f t="shared" ref="G22:H22" si="22">SUM(G18:G21)</f>
        <v>297762.24900000001</v>
      </c>
      <c r="H22" s="27">
        <f t="shared" si="22"/>
        <v>246159.80799999999</v>
      </c>
      <c r="I22" s="39">
        <f t="shared" si="13"/>
        <v>872163.89399999997</v>
      </c>
      <c r="J22" s="28">
        <f t="shared" si="16"/>
        <v>1830066.395</v>
      </c>
      <c r="K22" s="26">
        <f t="shared" ref="K22:O22" si="23">SUM(K18:K21)</f>
        <v>260484.11300000001</v>
      </c>
      <c r="L22" s="27">
        <f t="shared" si="23"/>
        <v>248678.85400000002</v>
      </c>
      <c r="M22" s="27">
        <f t="shared" si="23"/>
        <v>227711.277</v>
      </c>
      <c r="N22" s="39">
        <f t="shared" si="23"/>
        <v>736874.24400000006</v>
      </c>
      <c r="O22" s="28">
        <f t="shared" si="23"/>
        <v>2566940.6360000004</v>
      </c>
      <c r="P22" s="26">
        <v>323111.38299999997</v>
      </c>
      <c r="Q22" s="27">
        <v>292355.446</v>
      </c>
      <c r="R22" s="27">
        <v>303965.15399999998</v>
      </c>
      <c r="S22" s="39">
        <f t="shared" si="5"/>
        <v>919431.98299999989</v>
      </c>
      <c r="T22" s="26">
        <f>SUM(T18:T21)</f>
        <v>267147.09399999998</v>
      </c>
      <c r="U22" s="27">
        <f>SUM(U18:U21)</f>
        <v>247781.63</v>
      </c>
      <c r="V22" s="27">
        <f>SUM(V18:V21)</f>
        <v>294228.08</v>
      </c>
      <c r="W22" s="39">
        <f t="shared" si="18"/>
        <v>809156.804</v>
      </c>
      <c r="X22" s="28">
        <f t="shared" si="19"/>
        <v>1728588.787</v>
      </c>
      <c r="Y22" s="26">
        <f>SUM(Y18:Y21)</f>
        <v>259826.50199999998</v>
      </c>
      <c r="Z22" s="27">
        <f t="shared" ref="Z22:AB22" si="24">SUM(Z18:Z21)</f>
        <v>273523.24400000001</v>
      </c>
      <c r="AA22" s="27">
        <f t="shared" si="24"/>
        <v>300274.36499999999</v>
      </c>
      <c r="AB22" s="39">
        <f t="shared" si="24"/>
        <v>833624.11099999992</v>
      </c>
      <c r="AC22" s="28">
        <f>SUM(AC18:AC21)</f>
        <v>2562212.898</v>
      </c>
    </row>
    <row r="23" spans="1:29" ht="18.75" x14ac:dyDescent="0.3">
      <c r="A23" s="40" t="s">
        <v>36</v>
      </c>
      <c r="B23" s="42"/>
      <c r="C23" s="43"/>
      <c r="D23" s="43"/>
      <c r="E23" s="43"/>
      <c r="F23" s="42"/>
      <c r="G23" s="43"/>
      <c r="H23" s="43"/>
      <c r="I23" s="43"/>
      <c r="J23" s="41"/>
      <c r="K23" s="42"/>
      <c r="L23" s="43"/>
      <c r="M23" s="43"/>
      <c r="N23" s="43"/>
      <c r="O23" s="41"/>
      <c r="P23" s="42"/>
      <c r="Q23" s="43"/>
      <c r="R23" s="43"/>
      <c r="S23" s="43"/>
      <c r="T23" s="42"/>
      <c r="U23" s="43"/>
      <c r="V23" s="43"/>
      <c r="W23" s="43"/>
      <c r="X23" s="41"/>
      <c r="Y23" s="42"/>
      <c r="Z23" s="43"/>
      <c r="AA23" s="43"/>
      <c r="AB23" s="43"/>
      <c r="AC23" s="41"/>
    </row>
    <row r="24" spans="1:29" ht="15.75" x14ac:dyDescent="0.25">
      <c r="A24" s="10" t="s">
        <v>37</v>
      </c>
      <c r="B24" s="18">
        <v>66632.917000000001</v>
      </c>
      <c r="C24" s="21">
        <v>54389.998</v>
      </c>
      <c r="D24" s="37">
        <v>60021.790999999997</v>
      </c>
      <c r="E24" s="36">
        <f t="shared" ref="E24:E27" si="25">SUM(B24:D24)</f>
        <v>181044.70600000001</v>
      </c>
      <c r="F24" s="18">
        <v>58192.491999999998</v>
      </c>
      <c r="G24" s="21">
        <v>39316.133000000002</v>
      </c>
      <c r="H24" s="37">
        <v>13392.55</v>
      </c>
      <c r="I24" s="36">
        <f t="shared" si="13"/>
        <v>110901.175</v>
      </c>
      <c r="J24" s="38">
        <f t="shared" si="16"/>
        <v>291945.88099999999</v>
      </c>
      <c r="K24" s="18">
        <v>11678.21</v>
      </c>
      <c r="L24" s="21">
        <v>10765.78</v>
      </c>
      <c r="M24" s="37">
        <v>17314.111000000001</v>
      </c>
      <c r="N24" s="36">
        <f t="shared" ref="N24:N27" si="26">SUM(K24:M24)</f>
        <v>39758.100999999995</v>
      </c>
      <c r="O24" s="35">
        <f>SUM(N24+J24)</f>
        <v>331703.98199999996</v>
      </c>
      <c r="P24" s="18">
        <v>62552.690999999999</v>
      </c>
      <c r="Q24" s="21">
        <v>61091.523999999998</v>
      </c>
      <c r="R24" s="37">
        <v>65645.736000000004</v>
      </c>
      <c r="S24" s="36">
        <f t="shared" si="5"/>
        <v>189289.951</v>
      </c>
      <c r="T24" s="18">
        <v>48336.008999999998</v>
      </c>
      <c r="U24" s="21">
        <v>33455.517999999996</v>
      </c>
      <c r="V24" s="37">
        <v>11198.03</v>
      </c>
      <c r="W24" s="36">
        <f>SUM(T24:V24)</f>
        <v>92989.557000000001</v>
      </c>
      <c r="X24" s="38">
        <f>S24+W24</f>
        <v>282279.50800000003</v>
      </c>
      <c r="Y24" s="18">
        <v>10062.24</v>
      </c>
      <c r="Z24" s="21">
        <v>11176.59</v>
      </c>
      <c r="AA24" s="37">
        <v>20174.060000000001</v>
      </c>
      <c r="AB24" s="36">
        <f>SUM(Y24:AA24)</f>
        <v>41412.89</v>
      </c>
      <c r="AC24" s="35">
        <f t="shared" ref="AC24:AC26" si="27">SUM(AB24,X24)</f>
        <v>323692.39800000004</v>
      </c>
    </row>
    <row r="25" spans="1:29" ht="15.75" x14ac:dyDescent="0.25">
      <c r="A25" s="15" t="s">
        <v>38</v>
      </c>
      <c r="B25" s="20">
        <v>274494.79599999997</v>
      </c>
      <c r="C25" s="21">
        <v>226655.35399999999</v>
      </c>
      <c r="D25" s="21">
        <v>305248.10700000002</v>
      </c>
      <c r="E25" s="17">
        <f t="shared" si="25"/>
        <v>806398.25699999998</v>
      </c>
      <c r="F25" s="20">
        <v>279548.66499999998</v>
      </c>
      <c r="G25" s="21">
        <v>305681.84999999998</v>
      </c>
      <c r="H25" s="21">
        <v>314156.75699999998</v>
      </c>
      <c r="I25" s="17">
        <f t="shared" si="13"/>
        <v>899387.27199999988</v>
      </c>
      <c r="J25" s="16">
        <f t="shared" si="16"/>
        <v>1705785.5289999999</v>
      </c>
      <c r="K25" s="20">
        <v>236790.91699999999</v>
      </c>
      <c r="L25" s="21">
        <v>223312.61</v>
      </c>
      <c r="M25" s="21">
        <v>238892.88</v>
      </c>
      <c r="N25" s="17">
        <f t="shared" si="26"/>
        <v>698996.40700000001</v>
      </c>
      <c r="O25" s="16">
        <f>SUM(N25+J25)</f>
        <v>2404781.9359999998</v>
      </c>
      <c r="P25" s="20">
        <v>336731.26299999998</v>
      </c>
      <c r="Q25" s="21">
        <v>250339.66399999999</v>
      </c>
      <c r="R25" s="21">
        <v>307153.728</v>
      </c>
      <c r="S25" s="17">
        <f t="shared" si="5"/>
        <v>894224.65499999991</v>
      </c>
      <c r="T25" s="20">
        <v>288936.06900000002</v>
      </c>
      <c r="U25" s="21">
        <v>295501.03700000001</v>
      </c>
      <c r="V25" s="21">
        <v>263251.80800000002</v>
      </c>
      <c r="W25" s="17">
        <f t="shared" ref="W25:W30" si="28">SUM(T25:V25)</f>
        <v>847688.91400000011</v>
      </c>
      <c r="X25" s="16">
        <f t="shared" ref="X25:X30" si="29">S25+W25</f>
        <v>1741913.5690000001</v>
      </c>
      <c r="Y25" s="20">
        <v>341945.57400000002</v>
      </c>
      <c r="Z25" s="21">
        <v>300709.27100000001</v>
      </c>
      <c r="AA25" s="21">
        <v>289179.18199999997</v>
      </c>
      <c r="AB25" s="17">
        <f t="shared" ref="AB25:AB26" si="30">SUM(Y25:AA25)</f>
        <v>931834.027</v>
      </c>
      <c r="AC25" s="16">
        <f t="shared" si="27"/>
        <v>2673747.5959999999</v>
      </c>
    </row>
    <row r="26" spans="1:29" ht="15.75" x14ac:dyDescent="0.25">
      <c r="A26" s="15" t="s">
        <v>39</v>
      </c>
      <c r="B26" s="20">
        <v>87927.407000000007</v>
      </c>
      <c r="C26" s="21">
        <v>85133.267000000007</v>
      </c>
      <c r="D26" s="21">
        <v>94792.45</v>
      </c>
      <c r="E26" s="17">
        <f t="shared" si="25"/>
        <v>267853.12400000001</v>
      </c>
      <c r="F26" s="20">
        <v>84957.172000000006</v>
      </c>
      <c r="G26" s="21">
        <v>86834.543999999994</v>
      </c>
      <c r="H26" s="21">
        <v>87806.96</v>
      </c>
      <c r="I26" s="17">
        <f t="shared" si="13"/>
        <v>259598.67600000004</v>
      </c>
      <c r="J26" s="16">
        <f t="shared" si="16"/>
        <v>527451.80000000005</v>
      </c>
      <c r="K26" s="20">
        <v>93994.357000000004</v>
      </c>
      <c r="L26" s="21">
        <v>90031.146999999997</v>
      </c>
      <c r="M26" s="21">
        <v>93170.343999999997</v>
      </c>
      <c r="N26" s="17">
        <f t="shared" si="26"/>
        <v>277195.848</v>
      </c>
      <c r="O26" s="16">
        <f>SUM(N26+J26)</f>
        <v>804647.64800000004</v>
      </c>
      <c r="P26" s="20">
        <v>94868.865000000005</v>
      </c>
      <c r="Q26" s="21">
        <v>88022.763999999996</v>
      </c>
      <c r="R26" s="21">
        <v>97003.754000000001</v>
      </c>
      <c r="S26" s="17">
        <f t="shared" si="5"/>
        <v>279895.38300000003</v>
      </c>
      <c r="T26" s="20">
        <v>94612.581000000006</v>
      </c>
      <c r="U26" s="21">
        <v>79408.441000000006</v>
      </c>
      <c r="V26" s="21">
        <v>63439.366000000002</v>
      </c>
      <c r="W26" s="17">
        <f t="shared" si="28"/>
        <v>237460.38800000001</v>
      </c>
      <c r="X26" s="16">
        <f t="shared" si="29"/>
        <v>517355.77100000007</v>
      </c>
      <c r="Y26" s="20">
        <v>94934.459000000003</v>
      </c>
      <c r="Z26" s="21">
        <v>92345.004000000001</v>
      </c>
      <c r="AA26" s="21">
        <v>94664.926000000007</v>
      </c>
      <c r="AB26" s="17">
        <f t="shared" si="30"/>
        <v>281944.38899999997</v>
      </c>
      <c r="AC26" s="16">
        <f t="shared" si="27"/>
        <v>799300.16</v>
      </c>
    </row>
    <row r="27" spans="1:29" ht="16.5" thickBot="1" x14ac:dyDescent="0.3">
      <c r="A27" s="15" t="s">
        <v>40</v>
      </c>
      <c r="B27" s="20">
        <f>89598.482+78841.985</f>
        <v>168440.467</v>
      </c>
      <c r="C27" s="21">
        <f>80503.553+111787.134</f>
        <v>192290.68700000001</v>
      </c>
      <c r="D27" s="21">
        <f>124440.044+149331.743</f>
        <v>273771.78700000001</v>
      </c>
      <c r="E27" s="17">
        <f t="shared" si="25"/>
        <v>634502.94099999999</v>
      </c>
      <c r="F27" s="20">
        <f>110916.894+[1]Лист1!$F$27</f>
        <v>269251.77399999998</v>
      </c>
      <c r="G27" s="21">
        <f>[1]Лист1!$G$26+[1]Лист1!$G$27</f>
        <v>297577.63900000002</v>
      </c>
      <c r="H27" s="21">
        <f>[1]Лист1!$H$26+[1]Лист1!$H$27</f>
        <v>421216.31199999998</v>
      </c>
      <c r="I27" s="17">
        <f t="shared" si="13"/>
        <v>988045.72499999986</v>
      </c>
      <c r="J27" s="16">
        <f t="shared" si="16"/>
        <v>1622548.6659999997</v>
      </c>
      <c r="K27" s="20">
        <v>301644.29399999999</v>
      </c>
      <c r="L27" s="21">
        <v>231898.25599999999</v>
      </c>
      <c r="M27" s="21">
        <v>225933.78700000001</v>
      </c>
      <c r="N27" s="17">
        <f t="shared" si="26"/>
        <v>759476.33700000006</v>
      </c>
      <c r="O27" s="16">
        <f>SUM(N27+J27)</f>
        <v>2382025.0029999996</v>
      </c>
      <c r="P27" s="20">
        <f>SUM(118783.341+150007.391)</f>
        <v>268790.73200000002</v>
      </c>
      <c r="Q27" s="21">
        <f>SUM(123613.888+101384.134)</f>
        <v>224998.022</v>
      </c>
      <c r="R27" s="21">
        <f>SUM(164809.687+104262.451)</f>
        <v>269072.13800000004</v>
      </c>
      <c r="S27" s="17">
        <f t="shared" si="5"/>
        <v>762860.89199999999</v>
      </c>
      <c r="T27" s="20">
        <f>173661.981+122948.948</f>
        <v>296610.929</v>
      </c>
      <c r="U27" s="21">
        <f>242001.774+84663.616</f>
        <v>326665.39</v>
      </c>
      <c r="V27" s="21">
        <f>222997.164+118127.38</f>
        <v>341124.54399999999</v>
      </c>
      <c r="W27" s="17">
        <f t="shared" si="28"/>
        <v>964400.86300000001</v>
      </c>
      <c r="X27" s="16">
        <f t="shared" si="29"/>
        <v>1727261.7549999999</v>
      </c>
      <c r="Y27" s="20">
        <f>123133.63+135420.7</f>
        <v>258554.33000000002</v>
      </c>
      <c r="Z27" s="21">
        <f>118064.578+115231.3</f>
        <v>233295.878</v>
      </c>
      <c r="AA27" s="21">
        <f>108296.585+70758.8</f>
        <v>179055.38500000001</v>
      </c>
      <c r="AB27" s="17">
        <f>SUM(Y27:AA27)</f>
        <v>670905.59299999999</v>
      </c>
      <c r="AC27" s="16">
        <f>X27+AB27</f>
        <v>2398167.3479999998</v>
      </c>
    </row>
    <row r="28" spans="1:29" ht="16.5" thickBot="1" x14ac:dyDescent="0.3">
      <c r="A28" s="25" t="s">
        <v>41</v>
      </c>
      <c r="B28" s="26">
        <f>SUM(B24:B27)</f>
        <v>597495.58700000006</v>
      </c>
      <c r="C28" s="27">
        <f t="shared" ref="C28:E28" si="31">SUM(C24:C27)</f>
        <v>558469.30599999998</v>
      </c>
      <c r="D28" s="27">
        <f t="shared" si="31"/>
        <v>733834.13500000001</v>
      </c>
      <c r="E28" s="29">
        <f t="shared" si="31"/>
        <v>1889799.0279999999</v>
      </c>
      <c r="F28" s="26">
        <f>SUM(F24:F27)</f>
        <v>691950.103</v>
      </c>
      <c r="G28" s="27">
        <f t="shared" ref="G28:H28" si="32">SUM(G24:G27)</f>
        <v>729410.16599999997</v>
      </c>
      <c r="H28" s="27">
        <f t="shared" si="32"/>
        <v>836572.57899999991</v>
      </c>
      <c r="I28" s="29">
        <f t="shared" si="13"/>
        <v>2257932.8479999998</v>
      </c>
      <c r="J28" s="44">
        <f t="shared" si="16"/>
        <v>4147731.8759999997</v>
      </c>
      <c r="K28" s="26">
        <f>SUM(K24:K27)</f>
        <v>644107.77799999993</v>
      </c>
      <c r="L28" s="27">
        <f>SUM(L24:L27)</f>
        <v>556007.79300000006</v>
      </c>
      <c r="M28" s="27">
        <f>SUM(M24:M27)</f>
        <v>575311.12199999997</v>
      </c>
      <c r="N28" s="29">
        <f>SUM(N24:N27)</f>
        <v>1775426.693</v>
      </c>
      <c r="O28" s="44">
        <f>SUM(N28+J28)</f>
        <v>5923158.5690000001</v>
      </c>
      <c r="P28" s="26">
        <v>762943.55099999998</v>
      </c>
      <c r="Q28" s="27">
        <v>624451.97400000005</v>
      </c>
      <c r="R28" s="27">
        <v>738875.35600000003</v>
      </c>
      <c r="S28" s="29">
        <f t="shared" si="5"/>
        <v>2126270.8810000001</v>
      </c>
      <c r="T28" s="26">
        <f>SUM(T24:T27)</f>
        <v>728495.58799999999</v>
      </c>
      <c r="U28" s="27">
        <f>SUM(U24:U27)</f>
        <v>735030.38599999994</v>
      </c>
      <c r="V28" s="27">
        <f>SUM(V24:V27)</f>
        <v>679013.74800000002</v>
      </c>
      <c r="W28" s="29">
        <f t="shared" si="28"/>
        <v>2142539.7220000001</v>
      </c>
      <c r="X28" s="44">
        <f t="shared" si="29"/>
        <v>4268810.6030000001</v>
      </c>
      <c r="Y28" s="26">
        <f>SUM(Y24:Y27)</f>
        <v>705496.60300000012</v>
      </c>
      <c r="Z28" s="27">
        <f t="shared" ref="Z28:AB28" si="33">SUM(Z24:Z27)</f>
        <v>637526.74300000002</v>
      </c>
      <c r="AA28" s="27">
        <f t="shared" si="33"/>
        <v>583073.55299999996</v>
      </c>
      <c r="AB28" s="29">
        <f t="shared" si="33"/>
        <v>1926096.8989999997</v>
      </c>
      <c r="AC28" s="44">
        <f>SUM(AC24:AC27)</f>
        <v>6194907.5020000003</v>
      </c>
    </row>
    <row r="29" spans="1:29" ht="15.75" thickBot="1" x14ac:dyDescent="0.3">
      <c r="A29" s="45"/>
      <c r="B29" s="49"/>
      <c r="C29" s="50"/>
      <c r="D29" s="50"/>
      <c r="E29" s="50"/>
      <c r="F29" s="49"/>
      <c r="G29" s="50"/>
      <c r="H29" s="50"/>
      <c r="I29" s="50"/>
      <c r="J29" s="48"/>
      <c r="K29" s="49"/>
      <c r="L29" s="50"/>
      <c r="M29" s="50"/>
      <c r="N29" s="50"/>
      <c r="O29" s="48"/>
      <c r="P29" s="49"/>
      <c r="Q29" s="50"/>
      <c r="R29" s="50"/>
      <c r="S29" s="50"/>
      <c r="T29" s="49"/>
      <c r="U29" s="50"/>
      <c r="V29" s="50"/>
      <c r="W29" s="50"/>
      <c r="X29" s="48"/>
      <c r="Y29" s="49"/>
      <c r="Z29" s="50"/>
      <c r="AA29" s="50"/>
      <c r="AB29" s="50"/>
      <c r="AC29" s="48"/>
    </row>
    <row r="30" spans="1:29" ht="16.5" thickBot="1" x14ac:dyDescent="0.3">
      <c r="A30" s="51" t="s">
        <v>42</v>
      </c>
      <c r="B30" s="52">
        <v>2436.2280000000001</v>
      </c>
      <c r="C30" s="53">
        <v>2138.4749999999999</v>
      </c>
      <c r="D30" s="53">
        <v>2411.2410000000004</v>
      </c>
      <c r="E30" s="29">
        <f>SUM(B30:D30)</f>
        <v>6985.9439999999995</v>
      </c>
      <c r="F30" s="52">
        <v>2300.6950000000002</v>
      </c>
      <c r="G30" s="53">
        <v>0</v>
      </c>
      <c r="H30" s="53">
        <v>0</v>
      </c>
      <c r="I30" s="29">
        <f t="shared" si="13"/>
        <v>2300.6950000000002</v>
      </c>
      <c r="J30" s="28">
        <f t="shared" si="16"/>
        <v>9286.6389999999992</v>
      </c>
      <c r="K30" s="52">
        <v>0</v>
      </c>
      <c r="L30" s="53">
        <v>0</v>
      </c>
      <c r="M30" s="53">
        <v>0</v>
      </c>
      <c r="N30" s="29">
        <f>SUM(K30:M30)</f>
        <v>0</v>
      </c>
      <c r="O30" s="28">
        <f>SUM(N30+J30)</f>
        <v>9286.6389999999992</v>
      </c>
      <c r="P30" s="52">
        <v>2634.1930000000002</v>
      </c>
      <c r="Q30" s="53">
        <v>2416.1930000000002</v>
      </c>
      <c r="R30" s="53">
        <v>2119.2060000000001</v>
      </c>
      <c r="S30" s="29">
        <f t="shared" si="5"/>
        <v>7169.5920000000006</v>
      </c>
      <c r="T30" s="52">
        <v>2277.5239999999999</v>
      </c>
      <c r="U30" s="53">
        <v>0</v>
      </c>
      <c r="V30" s="53">
        <v>0</v>
      </c>
      <c r="W30" s="29">
        <f t="shared" si="28"/>
        <v>2277.5239999999999</v>
      </c>
      <c r="X30" s="28">
        <f t="shared" si="29"/>
        <v>9447.116</v>
      </c>
      <c r="Y30" s="52">
        <v>0</v>
      </c>
      <c r="Z30" s="53">
        <v>0</v>
      </c>
      <c r="AA30" s="53">
        <v>0</v>
      </c>
      <c r="AB30" s="29">
        <f t="shared" ref="AB30" si="34">SUM(Y30:AA30)</f>
        <v>0</v>
      </c>
      <c r="AC30" s="28">
        <f>X30+AB30</f>
        <v>9447.116</v>
      </c>
    </row>
    <row r="31" spans="1:29" ht="15.75" thickBot="1" x14ac:dyDescent="0.3">
      <c r="A31" s="45"/>
      <c r="B31" s="46"/>
      <c r="C31" s="47"/>
      <c r="D31" s="47"/>
      <c r="E31" s="47"/>
      <c r="F31" s="46"/>
      <c r="G31" s="47"/>
      <c r="H31" s="47"/>
      <c r="I31" s="47"/>
      <c r="J31" s="48"/>
      <c r="K31" s="46"/>
      <c r="L31" s="47"/>
      <c r="M31" s="47"/>
      <c r="N31" s="47"/>
      <c r="O31" s="48"/>
      <c r="P31" s="46"/>
      <c r="Q31" s="47"/>
      <c r="R31" s="47"/>
      <c r="S31" s="47"/>
      <c r="T31" s="46"/>
      <c r="U31" s="47"/>
      <c r="V31" s="47"/>
      <c r="W31" s="47"/>
      <c r="X31" s="48"/>
      <c r="Y31" s="46"/>
      <c r="Z31" s="47"/>
      <c r="AA31" s="47"/>
      <c r="AB31" s="47"/>
      <c r="AC31" s="48"/>
    </row>
    <row r="32" spans="1:29" ht="16.5" thickBot="1" x14ac:dyDescent="0.3">
      <c r="A32" s="54" t="s">
        <v>43</v>
      </c>
      <c r="B32" s="55">
        <f t="shared" ref="B32:D32" si="35">SUM(B16,B22,B28)</f>
        <v>2900562.2420000006</v>
      </c>
      <c r="C32" s="56">
        <f t="shared" si="35"/>
        <v>2961967.6189999995</v>
      </c>
      <c r="D32" s="56">
        <f t="shared" si="35"/>
        <v>3224714.33</v>
      </c>
      <c r="E32" s="58">
        <f>SUM(E16,E22,E28)</f>
        <v>9087244.1909999996</v>
      </c>
      <c r="F32" s="55">
        <f t="shared" ref="F32:J32" si="36">SUM(F16,F22,F28)</f>
        <v>2810984.787</v>
      </c>
      <c r="G32" s="56">
        <f t="shared" si="36"/>
        <v>2536244.4040000001</v>
      </c>
      <c r="H32" s="56">
        <f t="shared" si="36"/>
        <v>1965008.0479999997</v>
      </c>
      <c r="I32" s="58">
        <f t="shared" si="36"/>
        <v>7312237.2390000001</v>
      </c>
      <c r="J32" s="57">
        <f t="shared" si="36"/>
        <v>16399481.43</v>
      </c>
      <c r="K32" s="55">
        <f t="shared" ref="K32:O32" si="37">SUM(K16+K22+K28)</f>
        <v>1758692.2589999998</v>
      </c>
      <c r="L32" s="56">
        <f t="shared" si="37"/>
        <v>1696584.2930000001</v>
      </c>
      <c r="M32" s="56">
        <f t="shared" si="37"/>
        <v>1641771.784</v>
      </c>
      <c r="N32" s="58">
        <f t="shared" si="37"/>
        <v>5097048.3360000001</v>
      </c>
      <c r="O32" s="57">
        <f t="shared" si="37"/>
        <v>21496529.763</v>
      </c>
      <c r="P32" s="55">
        <f t="shared" ref="P32:R32" si="38">SUM(P16+P22+P28)</f>
        <v>3138459.486</v>
      </c>
      <c r="Q32" s="56">
        <f t="shared" si="38"/>
        <v>2716520.0640000002</v>
      </c>
      <c r="R32" s="56">
        <f t="shared" si="38"/>
        <v>2790299.267</v>
      </c>
      <c r="S32" s="58">
        <f t="shared" si="5"/>
        <v>8645278.8170000017</v>
      </c>
      <c r="T32" s="55">
        <f>SUM(T16+T22+T28)</f>
        <v>2489660.9709999999</v>
      </c>
      <c r="U32" s="56">
        <f t="shared" ref="U32:V32" si="39">SUM(U16+U22+U28)</f>
        <v>1888860.58</v>
      </c>
      <c r="V32" s="56">
        <f t="shared" si="39"/>
        <v>1490486.9670000002</v>
      </c>
      <c r="W32" s="58">
        <f>SUM(T32:V32)</f>
        <v>5869008.5180000002</v>
      </c>
      <c r="X32" s="57">
        <f>W32+S32</f>
        <v>14514287.335000001</v>
      </c>
      <c r="Y32" s="55">
        <f>Y28+Y22+Y16</f>
        <v>1468112.5819999999</v>
      </c>
      <c r="Z32" s="56">
        <f t="shared" ref="Z32:AB32" si="40">Z28+Z22+Z16</f>
        <v>1562254.69</v>
      </c>
      <c r="AA32" s="56">
        <f t="shared" si="40"/>
        <v>1834940.575</v>
      </c>
      <c r="AB32" s="58">
        <f t="shared" si="40"/>
        <v>4865307.8469999991</v>
      </c>
      <c r="AC32" s="57">
        <f>AC28+AC22+AC16</f>
        <v>19379595.182</v>
      </c>
    </row>
    <row r="33" spans="1:62" ht="16.5" thickBot="1" x14ac:dyDescent="0.3">
      <c r="A33" s="54" t="s">
        <v>44</v>
      </c>
      <c r="B33" s="59">
        <f t="shared" ref="B33:D33" si="41">SUM(B16,B22,B28,B30)</f>
        <v>2902998.4700000007</v>
      </c>
      <c r="C33" s="60">
        <f t="shared" si="41"/>
        <v>2964106.0939999996</v>
      </c>
      <c r="D33" s="60">
        <f t="shared" si="41"/>
        <v>3227125.571</v>
      </c>
      <c r="E33" s="58">
        <f>SUM(E16,E22,E28,E30)</f>
        <v>9094230.1349999998</v>
      </c>
      <c r="F33" s="59">
        <f t="shared" ref="F33:J33" si="42">SUM(F16,F22,F28,F30)</f>
        <v>2813285.4819999998</v>
      </c>
      <c r="G33" s="60">
        <f t="shared" si="42"/>
        <v>2536244.4040000001</v>
      </c>
      <c r="H33" s="60">
        <f t="shared" si="42"/>
        <v>1965008.0479999997</v>
      </c>
      <c r="I33" s="58">
        <f t="shared" si="42"/>
        <v>7314537.9340000004</v>
      </c>
      <c r="J33" s="57">
        <f t="shared" si="42"/>
        <v>16408768.069</v>
      </c>
      <c r="K33" s="59">
        <f>SUM(K16+K22+K28+K30)</f>
        <v>1758692.2589999998</v>
      </c>
      <c r="L33" s="60">
        <f>SUM(L16+L22+L28+L30)</f>
        <v>1696584.2930000001</v>
      </c>
      <c r="M33" s="60">
        <f>SUM(M16+M22+M28+M30)</f>
        <v>1641771.784</v>
      </c>
      <c r="N33" s="58">
        <f>SUM(N16+N22+N28+N30)</f>
        <v>5097048.3360000001</v>
      </c>
      <c r="O33" s="57">
        <f>SUM(O16+O22+O30+O28)</f>
        <v>21505816.402000003</v>
      </c>
      <c r="P33" s="59">
        <f t="shared" ref="P33:R33" si="43">SUM(P16+P22+P28+P30)</f>
        <v>3141093.679</v>
      </c>
      <c r="Q33" s="60">
        <f t="shared" si="43"/>
        <v>2718936.2570000002</v>
      </c>
      <c r="R33" s="60">
        <f t="shared" si="43"/>
        <v>2792418.4729999998</v>
      </c>
      <c r="S33" s="58">
        <f t="shared" si="5"/>
        <v>8652448.409</v>
      </c>
      <c r="T33" s="59">
        <f>SUM(T16+T22+T28+T30)</f>
        <v>2491938.4950000001</v>
      </c>
      <c r="U33" s="60">
        <f t="shared" ref="U33:V33" si="44">SUM(U16+U22+U28+U30)</f>
        <v>1888860.58</v>
      </c>
      <c r="V33" s="60">
        <f t="shared" si="44"/>
        <v>1490486.9670000002</v>
      </c>
      <c r="W33" s="58">
        <f>SUM(T33:V33)</f>
        <v>5871286.0420000004</v>
      </c>
      <c r="X33" s="57">
        <f>W33+S33</f>
        <v>14523734.451000001</v>
      </c>
      <c r="Y33" s="59">
        <f>Y28+Y22+Y16+Y30</f>
        <v>1468112.5819999999</v>
      </c>
      <c r="Z33" s="60">
        <f t="shared" ref="Z33:AA33" si="45">Z28+Z22+Z16+Z30</f>
        <v>1562254.69</v>
      </c>
      <c r="AA33" s="60">
        <f t="shared" si="45"/>
        <v>1834940.575</v>
      </c>
      <c r="AB33" s="58">
        <f>AB28+AB22+AB16+AB30</f>
        <v>4865307.8469999991</v>
      </c>
      <c r="AC33" s="57">
        <f>AB33+X33</f>
        <v>19389042.298</v>
      </c>
      <c r="AD33" s="256"/>
    </row>
    <row r="34" spans="1:62" ht="15.75" x14ac:dyDescent="0.25">
      <c r="A34" s="61"/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4"/>
      <c r="P34" s="62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4"/>
    </row>
    <row r="35" spans="1:62" ht="15.75" x14ac:dyDescent="0.25">
      <c r="A35" s="65" t="s">
        <v>45</v>
      </c>
      <c r="B35" s="66">
        <f>SUM(B5:B12)+B18+B24+B30</f>
        <v>1931892.7949999999</v>
      </c>
      <c r="C35" s="67">
        <f t="shared" ref="C35:I35" si="46">SUM(C5:C12)+C18+C24+C30</f>
        <v>2026249.4680000001</v>
      </c>
      <c r="D35" s="67">
        <f t="shared" si="46"/>
        <v>2051558.6429999997</v>
      </c>
      <c r="E35" s="67">
        <f t="shared" si="46"/>
        <v>6009700.9059999995</v>
      </c>
      <c r="F35" s="66">
        <f t="shared" si="46"/>
        <v>1639237.4230000002</v>
      </c>
      <c r="G35" s="67">
        <f t="shared" si="46"/>
        <v>1336998.7319999998</v>
      </c>
      <c r="H35" s="67">
        <f t="shared" si="46"/>
        <v>634456.2159999999</v>
      </c>
      <c r="I35" s="67">
        <f t="shared" si="46"/>
        <v>3610692.3709999998</v>
      </c>
      <c r="J35" s="68">
        <f>SUM(J5:J12)+J18+J24+J30</f>
        <v>9620393.2769999988</v>
      </c>
      <c r="K35" s="66">
        <f>SUM(K5:K12)+K18+K24+K30</f>
        <v>637633.57199999981</v>
      </c>
      <c r="L35" s="67">
        <f t="shared" ref="L35:O35" si="47">SUM(L5:L12)+L18+L24+L30</f>
        <v>725411.65700000001</v>
      </c>
      <c r="M35" s="67">
        <f t="shared" si="47"/>
        <v>710949.80300000007</v>
      </c>
      <c r="N35" s="67">
        <f t="shared" si="47"/>
        <v>2073995.0319999999</v>
      </c>
      <c r="O35" s="68">
        <f t="shared" si="47"/>
        <v>11694388.309</v>
      </c>
      <c r="P35" s="66">
        <f t="shared" ref="P35:W35" si="48">SUM(P5:P12)+P18+P24+P30</f>
        <v>2039301.7110000001</v>
      </c>
      <c r="Q35" s="67">
        <f t="shared" si="48"/>
        <v>1800759.6440000001</v>
      </c>
      <c r="R35" s="67">
        <f t="shared" si="48"/>
        <v>1685911.1649999998</v>
      </c>
      <c r="S35" s="67">
        <f t="shared" si="48"/>
        <v>5525972.5200000005</v>
      </c>
      <c r="T35" s="66">
        <f t="shared" si="48"/>
        <v>1393318.496</v>
      </c>
      <c r="U35" s="67">
        <f t="shared" si="48"/>
        <v>796006.75399999996</v>
      </c>
      <c r="V35" s="67">
        <f t="shared" si="48"/>
        <v>405340.13600000006</v>
      </c>
      <c r="W35" s="67">
        <f t="shared" si="48"/>
        <v>2594665.3860000004</v>
      </c>
      <c r="X35" s="68">
        <f>SUM(X5:X12)+X18+X24+X30</f>
        <v>8120637.9059999995</v>
      </c>
      <c r="Y35" s="66">
        <f t="shared" ref="Y35:AB35" si="49">SUM(Y5:Y12)+Y18+Y24+Y30</f>
        <v>357057.348</v>
      </c>
      <c r="Z35" s="67">
        <f t="shared" si="49"/>
        <v>548287.84699999995</v>
      </c>
      <c r="AA35" s="67">
        <f t="shared" si="49"/>
        <v>845360.94500000007</v>
      </c>
      <c r="AB35" s="67">
        <f t="shared" si="49"/>
        <v>1750706.1399999997</v>
      </c>
      <c r="AC35" s="68">
        <f>SUM(AC5:AC12)+AC18+AC24+AC30</f>
        <v>9871344.0460000001</v>
      </c>
      <c r="AD35" s="255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</row>
    <row r="36" spans="1:62" ht="16.5" thickBot="1" x14ac:dyDescent="0.3">
      <c r="A36" s="69" t="s">
        <v>46</v>
      </c>
      <c r="B36" s="70">
        <f>B13+B14+B15+B19+B20+B21+B25+B26+B27</f>
        <v>971105.67500000005</v>
      </c>
      <c r="C36" s="71">
        <f t="shared" ref="C36:I36" si="50">C13+C14+C15+C19+C20+C21+C25+C26+C27</f>
        <v>937856.62600000005</v>
      </c>
      <c r="D36" s="71">
        <f t="shared" si="50"/>
        <v>1175566.9279999998</v>
      </c>
      <c r="E36" s="71">
        <f t="shared" si="50"/>
        <v>3084529.2289999998</v>
      </c>
      <c r="F36" s="70">
        <f t="shared" si="50"/>
        <v>1174048.0589999999</v>
      </c>
      <c r="G36" s="71">
        <f t="shared" si="50"/>
        <v>1199245.672</v>
      </c>
      <c r="H36" s="71">
        <f t="shared" si="50"/>
        <v>1330551.8319999999</v>
      </c>
      <c r="I36" s="71">
        <f t="shared" si="50"/>
        <v>3703845.5630000001</v>
      </c>
      <c r="J36" s="72">
        <f t="shared" ref="J36:O36" si="51">J13+J14+J15+J19+J20+J21+J25+J26+J27</f>
        <v>6788374.7919999994</v>
      </c>
      <c r="K36" s="72">
        <f t="shared" si="51"/>
        <v>1121058.6869999999</v>
      </c>
      <c r="L36" s="72">
        <f t="shared" si="51"/>
        <v>971172.63599999994</v>
      </c>
      <c r="M36" s="72">
        <f t="shared" si="51"/>
        <v>930821.98100000003</v>
      </c>
      <c r="N36" s="72">
        <f t="shared" si="51"/>
        <v>3023053.3040000005</v>
      </c>
      <c r="O36" s="72">
        <f t="shared" si="51"/>
        <v>9811428.0929999985</v>
      </c>
      <c r="P36" s="70">
        <f t="shared" ref="P36:AC36" si="52">P13+P14+P15+P19+P20+P21+P25+P26+P27</f>
        <v>1101791.9679999999</v>
      </c>
      <c r="Q36" s="71">
        <f t="shared" si="52"/>
        <v>918176.61300000024</v>
      </c>
      <c r="R36" s="71">
        <f t="shared" si="52"/>
        <v>1106507.3080000002</v>
      </c>
      <c r="S36" s="71">
        <f t="shared" si="52"/>
        <v>3126475.889</v>
      </c>
      <c r="T36" s="70">
        <f t="shared" si="52"/>
        <v>1098619.9990000003</v>
      </c>
      <c r="U36" s="71">
        <f t="shared" si="52"/>
        <v>1092853.8260000001</v>
      </c>
      <c r="V36" s="71">
        <f t="shared" si="52"/>
        <v>1085146.8310000002</v>
      </c>
      <c r="W36" s="71">
        <f t="shared" si="52"/>
        <v>3276620.6560000004</v>
      </c>
      <c r="X36" s="72">
        <f t="shared" si="52"/>
        <v>6403096.5449999999</v>
      </c>
      <c r="Y36" s="72">
        <f t="shared" si="52"/>
        <v>1111055.2340000002</v>
      </c>
      <c r="Z36" s="72">
        <f t="shared" si="52"/>
        <v>1013966.843</v>
      </c>
      <c r="AA36" s="72">
        <f t="shared" si="52"/>
        <v>989579.62999999989</v>
      </c>
      <c r="AB36" s="72">
        <f t="shared" si="52"/>
        <v>3114601.7069999999</v>
      </c>
      <c r="AC36" s="72">
        <f t="shared" si="52"/>
        <v>9517698.2520000003</v>
      </c>
    </row>
    <row r="37" spans="1:62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BJ37" s="1" t="s">
        <v>98</v>
      </c>
    </row>
    <row r="40" spans="1:62" x14ac:dyDescent="0.25">
      <c r="E40" s="34"/>
      <c r="F40" s="34"/>
      <c r="G40" s="34"/>
      <c r="H40" s="34"/>
      <c r="I40" s="34"/>
    </row>
  </sheetData>
  <protectedRanges>
    <protectedRange sqref="V1 A1:A36 B1 B35:AC36" name="Диапазон1_3"/>
    <protectedRange sqref="T17:V28 T32:X32 W33:X33 Y16:AC16 X18:X22 W17:W30 X24:X30 B5:J5 J6:J15 N5:O15 J16:O17 J18:J20 J24:J26 N24:O26 J27:O29 J30 O30 I17:I30 B6:I16 B17:H28 X23:AC23 J21:O23 Y27:AC29 Y21:AC22 P5:X5 AB5:AC15 X17:AC17 AB24:AC26 AC30 P16:R28 S16:S33 T6:X16 P6:S15" name="Диапазон1_2_1"/>
  </protectedRanges>
  <mergeCells count="3">
    <mergeCell ref="A2:A3"/>
    <mergeCell ref="B2:O2"/>
    <mergeCell ref="P2:AC2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1"/>
  <sheetViews>
    <sheetView showGridLines="0" zoomScale="70" zoomScaleNormal="70" workbookViewId="0">
      <pane xSplit="1" ySplit="3" topLeftCell="B4" activePane="bottomRight" state="frozen"/>
      <selection activeCell="B4" sqref="B4"/>
      <selection pane="topRight"/>
      <selection pane="bottomLeft"/>
      <selection pane="bottomRight" activeCell="P2" sqref="P2:AC2"/>
    </sheetView>
  </sheetViews>
  <sheetFormatPr defaultRowHeight="15" x14ac:dyDescent="0.25"/>
  <cols>
    <col min="1" max="1" width="50.28515625" customWidth="1"/>
    <col min="2" max="28" width="10.7109375" style="74" customWidth="1"/>
    <col min="29" max="29" width="11.7109375" style="74" bestFit="1" customWidth="1"/>
    <col min="30" max="42" width="10.7109375" style="74" customWidth="1"/>
    <col min="43" max="43" width="11.7109375" style="74" bestFit="1" customWidth="1"/>
    <col min="44" max="53" width="11.7109375" style="74" customWidth="1"/>
    <col min="54" max="54" width="12.85546875" style="74" bestFit="1" customWidth="1"/>
    <col min="55" max="55" width="10.140625" style="74" customWidth="1"/>
    <col min="56" max="56" width="11" customWidth="1"/>
    <col min="58" max="58" width="10.7109375" customWidth="1"/>
    <col min="59" max="59" width="10.5703125" customWidth="1"/>
    <col min="60" max="60" width="11.5703125" customWidth="1"/>
    <col min="61" max="61" width="10.28515625" customWidth="1"/>
    <col min="62" max="62" width="11.42578125" customWidth="1"/>
    <col min="63" max="63" width="10.28515625" customWidth="1"/>
    <col min="64" max="64" width="10" customWidth="1"/>
    <col min="67" max="67" width="10.7109375" customWidth="1"/>
    <col min="68" max="68" width="11.5703125" bestFit="1" customWidth="1"/>
    <col min="69" max="69" width="9.28515625" bestFit="1" customWidth="1"/>
    <col min="70" max="70" width="10.42578125" bestFit="1" customWidth="1"/>
    <col min="71" max="71" width="9.42578125" bestFit="1" customWidth="1"/>
    <col min="72" max="72" width="11.5703125" bestFit="1" customWidth="1"/>
    <col min="73" max="73" width="11.7109375" customWidth="1"/>
    <col min="74" max="74" width="10.28515625" bestFit="1" customWidth="1"/>
    <col min="75" max="75" width="10" customWidth="1"/>
    <col min="76" max="76" width="11.28515625" bestFit="1" customWidth="1"/>
    <col min="77" max="77" width="12.140625" customWidth="1"/>
    <col min="81" max="81" width="10.85546875" customWidth="1"/>
    <col min="83" max="83" width="10.28515625" customWidth="1"/>
    <col min="84" max="84" width="10.85546875" customWidth="1"/>
    <col min="85" max="85" width="11.140625" customWidth="1"/>
    <col min="92" max="92" width="13.28515625" customWidth="1"/>
    <col min="93" max="93" width="13.140625" customWidth="1"/>
    <col min="94" max="94" width="12.5703125" customWidth="1"/>
    <col min="96" max="96" width="13.7109375" customWidth="1"/>
    <col min="97" max="97" width="12.5703125" customWidth="1"/>
    <col min="100" max="100" width="11.7109375" customWidth="1"/>
    <col min="101" max="101" width="10.7109375" customWidth="1"/>
    <col min="106" max="106" width="14.28515625" customWidth="1"/>
    <col min="108" max="108" width="12" customWidth="1"/>
    <col min="114" max="114" width="9.5703125" bestFit="1" customWidth="1"/>
    <col min="201" max="201" width="40.28515625" bestFit="1" customWidth="1"/>
    <col min="202" max="240" width="10.7109375" customWidth="1"/>
    <col min="241" max="241" width="11.42578125" bestFit="1" customWidth="1"/>
    <col min="242" max="242" width="9.5703125" bestFit="1" customWidth="1"/>
    <col min="243" max="243" width="12" bestFit="1" customWidth="1"/>
    <col min="457" max="457" width="40.28515625" bestFit="1" customWidth="1"/>
    <col min="458" max="496" width="10.7109375" customWidth="1"/>
    <col min="497" max="497" width="11.42578125" bestFit="1" customWidth="1"/>
    <col min="498" max="498" width="9.5703125" bestFit="1" customWidth="1"/>
    <col min="499" max="499" width="12" bestFit="1" customWidth="1"/>
    <col min="713" max="713" width="40.28515625" bestFit="1" customWidth="1"/>
    <col min="714" max="752" width="10.7109375" customWidth="1"/>
    <col min="753" max="753" width="11.42578125" bestFit="1" customWidth="1"/>
    <col min="754" max="754" width="9.5703125" bestFit="1" customWidth="1"/>
    <col min="755" max="755" width="12" bestFit="1" customWidth="1"/>
    <col min="969" max="969" width="40.28515625" bestFit="1" customWidth="1"/>
    <col min="970" max="1008" width="10.7109375" customWidth="1"/>
    <col min="1009" max="1009" width="11.42578125" bestFit="1" customWidth="1"/>
    <col min="1010" max="1010" width="9.5703125" bestFit="1" customWidth="1"/>
    <col min="1011" max="1011" width="12" bestFit="1" customWidth="1"/>
    <col min="1225" max="1225" width="40.28515625" bestFit="1" customWidth="1"/>
    <col min="1226" max="1264" width="10.7109375" customWidth="1"/>
    <col min="1265" max="1265" width="11.42578125" bestFit="1" customWidth="1"/>
    <col min="1266" max="1266" width="9.5703125" bestFit="1" customWidth="1"/>
    <col min="1267" max="1267" width="12" bestFit="1" customWidth="1"/>
    <col min="1481" max="1481" width="40.28515625" bestFit="1" customWidth="1"/>
    <col min="1482" max="1520" width="10.7109375" customWidth="1"/>
    <col min="1521" max="1521" width="11.42578125" bestFit="1" customWidth="1"/>
    <col min="1522" max="1522" width="9.5703125" bestFit="1" customWidth="1"/>
    <col min="1523" max="1523" width="12" bestFit="1" customWidth="1"/>
    <col min="1737" max="1737" width="40.28515625" bestFit="1" customWidth="1"/>
    <col min="1738" max="1776" width="10.7109375" customWidth="1"/>
    <col min="1777" max="1777" width="11.42578125" bestFit="1" customWidth="1"/>
    <col min="1778" max="1778" width="9.5703125" bestFit="1" customWidth="1"/>
    <col min="1779" max="1779" width="12" bestFit="1" customWidth="1"/>
    <col min="1993" max="1993" width="40.28515625" bestFit="1" customWidth="1"/>
    <col min="1994" max="2032" width="10.7109375" customWidth="1"/>
    <col min="2033" max="2033" width="11.42578125" bestFit="1" customWidth="1"/>
    <col min="2034" max="2034" width="9.5703125" bestFit="1" customWidth="1"/>
    <col min="2035" max="2035" width="12" bestFit="1" customWidth="1"/>
    <col min="2249" max="2249" width="40.28515625" bestFit="1" customWidth="1"/>
    <col min="2250" max="2288" width="10.7109375" customWidth="1"/>
    <col min="2289" max="2289" width="11.42578125" bestFit="1" customWidth="1"/>
    <col min="2290" max="2290" width="9.5703125" bestFit="1" customWidth="1"/>
    <col min="2291" max="2291" width="12" bestFit="1" customWidth="1"/>
    <col min="2505" max="2505" width="40.28515625" bestFit="1" customWidth="1"/>
    <col min="2506" max="2544" width="10.7109375" customWidth="1"/>
    <col min="2545" max="2545" width="11.42578125" bestFit="1" customWidth="1"/>
    <col min="2546" max="2546" width="9.5703125" bestFit="1" customWidth="1"/>
    <col min="2547" max="2547" width="12" bestFit="1" customWidth="1"/>
    <col min="2761" max="2761" width="40.28515625" bestFit="1" customWidth="1"/>
    <col min="2762" max="2800" width="10.7109375" customWidth="1"/>
    <col min="2801" max="2801" width="11.42578125" bestFit="1" customWidth="1"/>
    <col min="2802" max="2802" width="9.5703125" bestFit="1" customWidth="1"/>
    <col min="2803" max="2803" width="12" bestFit="1" customWidth="1"/>
    <col min="3017" max="3017" width="40.28515625" bestFit="1" customWidth="1"/>
    <col min="3018" max="3056" width="10.7109375" customWidth="1"/>
    <col min="3057" max="3057" width="11.42578125" bestFit="1" customWidth="1"/>
    <col min="3058" max="3058" width="9.5703125" bestFit="1" customWidth="1"/>
    <col min="3059" max="3059" width="12" bestFit="1" customWidth="1"/>
    <col min="3273" max="3273" width="40.28515625" bestFit="1" customWidth="1"/>
    <col min="3274" max="3312" width="10.7109375" customWidth="1"/>
    <col min="3313" max="3313" width="11.42578125" bestFit="1" customWidth="1"/>
    <col min="3314" max="3314" width="9.5703125" bestFit="1" customWidth="1"/>
    <col min="3315" max="3315" width="12" bestFit="1" customWidth="1"/>
    <col min="3529" max="3529" width="40.28515625" bestFit="1" customWidth="1"/>
    <col min="3530" max="3568" width="10.7109375" customWidth="1"/>
    <col min="3569" max="3569" width="11.42578125" bestFit="1" customWidth="1"/>
    <col min="3570" max="3570" width="9.5703125" bestFit="1" customWidth="1"/>
    <col min="3571" max="3571" width="12" bestFit="1" customWidth="1"/>
    <col min="3785" max="3785" width="40.28515625" bestFit="1" customWidth="1"/>
    <col min="3786" max="3824" width="10.7109375" customWidth="1"/>
    <col min="3825" max="3825" width="11.42578125" bestFit="1" customWidth="1"/>
    <col min="3826" max="3826" width="9.5703125" bestFit="1" customWidth="1"/>
    <col min="3827" max="3827" width="12" bestFit="1" customWidth="1"/>
    <col min="4041" max="4041" width="40.28515625" bestFit="1" customWidth="1"/>
    <col min="4042" max="4080" width="10.7109375" customWidth="1"/>
    <col min="4081" max="4081" width="11.42578125" bestFit="1" customWidth="1"/>
    <col min="4082" max="4082" width="9.5703125" bestFit="1" customWidth="1"/>
    <col min="4083" max="4083" width="12" bestFit="1" customWidth="1"/>
    <col min="4297" max="4297" width="40.28515625" bestFit="1" customWidth="1"/>
    <col min="4298" max="4336" width="10.7109375" customWidth="1"/>
    <col min="4337" max="4337" width="11.42578125" bestFit="1" customWidth="1"/>
    <col min="4338" max="4338" width="9.5703125" bestFit="1" customWidth="1"/>
    <col min="4339" max="4339" width="12" bestFit="1" customWidth="1"/>
    <col min="4553" max="4553" width="40.28515625" bestFit="1" customWidth="1"/>
    <col min="4554" max="4592" width="10.7109375" customWidth="1"/>
    <col min="4593" max="4593" width="11.42578125" bestFit="1" customWidth="1"/>
    <col min="4594" max="4594" width="9.5703125" bestFit="1" customWidth="1"/>
    <col min="4595" max="4595" width="12" bestFit="1" customWidth="1"/>
    <col min="4809" max="4809" width="40.28515625" bestFit="1" customWidth="1"/>
    <col min="4810" max="4848" width="10.7109375" customWidth="1"/>
    <col min="4849" max="4849" width="11.42578125" bestFit="1" customWidth="1"/>
    <col min="4850" max="4850" width="9.5703125" bestFit="1" customWidth="1"/>
    <col min="4851" max="4851" width="12" bestFit="1" customWidth="1"/>
    <col min="5065" max="5065" width="40.28515625" bestFit="1" customWidth="1"/>
    <col min="5066" max="5104" width="10.7109375" customWidth="1"/>
    <col min="5105" max="5105" width="11.42578125" bestFit="1" customWidth="1"/>
    <col min="5106" max="5106" width="9.5703125" bestFit="1" customWidth="1"/>
    <col min="5107" max="5107" width="12" bestFit="1" customWidth="1"/>
    <col min="5321" max="5321" width="40.28515625" bestFit="1" customWidth="1"/>
    <col min="5322" max="5360" width="10.7109375" customWidth="1"/>
    <col min="5361" max="5361" width="11.42578125" bestFit="1" customWidth="1"/>
    <col min="5362" max="5362" width="9.5703125" bestFit="1" customWidth="1"/>
    <col min="5363" max="5363" width="12" bestFit="1" customWidth="1"/>
    <col min="5577" max="5577" width="40.28515625" bestFit="1" customWidth="1"/>
    <col min="5578" max="5616" width="10.7109375" customWidth="1"/>
    <col min="5617" max="5617" width="11.42578125" bestFit="1" customWidth="1"/>
    <col min="5618" max="5618" width="9.5703125" bestFit="1" customWidth="1"/>
    <col min="5619" max="5619" width="12" bestFit="1" customWidth="1"/>
    <col min="5833" max="5833" width="40.28515625" bestFit="1" customWidth="1"/>
    <col min="5834" max="5872" width="10.7109375" customWidth="1"/>
    <col min="5873" max="5873" width="11.42578125" bestFit="1" customWidth="1"/>
    <col min="5874" max="5874" width="9.5703125" bestFit="1" customWidth="1"/>
    <col min="5875" max="5875" width="12" bestFit="1" customWidth="1"/>
    <col min="6089" max="6089" width="40.28515625" bestFit="1" customWidth="1"/>
    <col min="6090" max="6128" width="10.7109375" customWidth="1"/>
    <col min="6129" max="6129" width="11.42578125" bestFit="1" customWidth="1"/>
    <col min="6130" max="6130" width="9.5703125" bestFit="1" customWidth="1"/>
    <col min="6131" max="6131" width="12" bestFit="1" customWidth="1"/>
    <col min="6345" max="6345" width="40.28515625" bestFit="1" customWidth="1"/>
    <col min="6346" max="6384" width="10.7109375" customWidth="1"/>
    <col min="6385" max="6385" width="11.42578125" bestFit="1" customWidth="1"/>
    <col min="6386" max="6386" width="9.5703125" bestFit="1" customWidth="1"/>
    <col min="6387" max="6387" width="12" bestFit="1" customWidth="1"/>
    <col min="6601" max="6601" width="40.28515625" bestFit="1" customWidth="1"/>
    <col min="6602" max="6640" width="10.7109375" customWidth="1"/>
    <col min="6641" max="6641" width="11.42578125" bestFit="1" customWidth="1"/>
    <col min="6642" max="6642" width="9.5703125" bestFit="1" customWidth="1"/>
    <col min="6643" max="6643" width="12" bestFit="1" customWidth="1"/>
    <col min="6857" max="6857" width="40.28515625" bestFit="1" customWidth="1"/>
    <col min="6858" max="6896" width="10.7109375" customWidth="1"/>
    <col min="6897" max="6897" width="11.42578125" bestFit="1" customWidth="1"/>
    <col min="6898" max="6898" width="9.5703125" bestFit="1" customWidth="1"/>
    <col min="6899" max="6899" width="12" bestFit="1" customWidth="1"/>
    <col min="7113" max="7113" width="40.28515625" bestFit="1" customWidth="1"/>
    <col min="7114" max="7152" width="10.7109375" customWidth="1"/>
    <col min="7153" max="7153" width="11.42578125" bestFit="1" customWidth="1"/>
    <col min="7154" max="7154" width="9.5703125" bestFit="1" customWidth="1"/>
    <col min="7155" max="7155" width="12" bestFit="1" customWidth="1"/>
    <col min="7369" max="7369" width="40.28515625" bestFit="1" customWidth="1"/>
    <col min="7370" max="7408" width="10.7109375" customWidth="1"/>
    <col min="7409" max="7409" width="11.42578125" bestFit="1" customWidth="1"/>
    <col min="7410" max="7410" width="9.5703125" bestFit="1" customWidth="1"/>
    <col min="7411" max="7411" width="12" bestFit="1" customWidth="1"/>
    <col min="7625" max="7625" width="40.28515625" bestFit="1" customWidth="1"/>
    <col min="7626" max="7664" width="10.7109375" customWidth="1"/>
    <col min="7665" max="7665" width="11.42578125" bestFit="1" customWidth="1"/>
    <col min="7666" max="7666" width="9.5703125" bestFit="1" customWidth="1"/>
    <col min="7667" max="7667" width="12" bestFit="1" customWidth="1"/>
    <col min="7881" max="7881" width="40.28515625" bestFit="1" customWidth="1"/>
    <col min="7882" max="7920" width="10.7109375" customWidth="1"/>
    <col min="7921" max="7921" width="11.42578125" bestFit="1" customWidth="1"/>
    <col min="7922" max="7922" width="9.5703125" bestFit="1" customWidth="1"/>
    <col min="7923" max="7923" width="12" bestFit="1" customWidth="1"/>
    <col min="8137" max="8137" width="40.28515625" bestFit="1" customWidth="1"/>
    <col min="8138" max="8176" width="10.7109375" customWidth="1"/>
    <col min="8177" max="8177" width="11.42578125" bestFit="1" customWidth="1"/>
    <col min="8178" max="8178" width="9.5703125" bestFit="1" customWidth="1"/>
    <col min="8179" max="8179" width="12" bestFit="1" customWidth="1"/>
    <col min="8393" max="8393" width="40.28515625" bestFit="1" customWidth="1"/>
    <col min="8394" max="8432" width="10.7109375" customWidth="1"/>
    <col min="8433" max="8433" width="11.42578125" bestFit="1" customWidth="1"/>
    <col min="8434" max="8434" width="9.5703125" bestFit="1" customWidth="1"/>
    <col min="8435" max="8435" width="12" bestFit="1" customWidth="1"/>
    <col min="8649" max="8649" width="40.28515625" bestFit="1" customWidth="1"/>
    <col min="8650" max="8688" width="10.7109375" customWidth="1"/>
    <col min="8689" max="8689" width="11.42578125" bestFit="1" customWidth="1"/>
    <col min="8690" max="8690" width="9.5703125" bestFit="1" customWidth="1"/>
    <col min="8691" max="8691" width="12" bestFit="1" customWidth="1"/>
    <col min="8905" max="8905" width="40.28515625" bestFit="1" customWidth="1"/>
    <col min="8906" max="8944" width="10.7109375" customWidth="1"/>
    <col min="8945" max="8945" width="11.42578125" bestFit="1" customWidth="1"/>
    <col min="8946" max="8946" width="9.5703125" bestFit="1" customWidth="1"/>
    <col min="8947" max="8947" width="12" bestFit="1" customWidth="1"/>
    <col min="9161" max="9161" width="40.28515625" bestFit="1" customWidth="1"/>
    <col min="9162" max="9200" width="10.7109375" customWidth="1"/>
    <col min="9201" max="9201" width="11.42578125" bestFit="1" customWidth="1"/>
    <col min="9202" max="9202" width="9.5703125" bestFit="1" customWidth="1"/>
    <col min="9203" max="9203" width="12" bestFit="1" customWidth="1"/>
    <col min="9417" max="9417" width="40.28515625" bestFit="1" customWidth="1"/>
    <col min="9418" max="9456" width="10.7109375" customWidth="1"/>
    <col min="9457" max="9457" width="11.42578125" bestFit="1" customWidth="1"/>
    <col min="9458" max="9458" width="9.5703125" bestFit="1" customWidth="1"/>
    <col min="9459" max="9459" width="12" bestFit="1" customWidth="1"/>
    <col min="9673" max="9673" width="40.28515625" bestFit="1" customWidth="1"/>
    <col min="9674" max="9712" width="10.7109375" customWidth="1"/>
    <col min="9713" max="9713" width="11.42578125" bestFit="1" customWidth="1"/>
    <col min="9714" max="9714" width="9.5703125" bestFit="1" customWidth="1"/>
    <col min="9715" max="9715" width="12" bestFit="1" customWidth="1"/>
    <col min="9929" max="9929" width="40.28515625" bestFit="1" customWidth="1"/>
    <col min="9930" max="9968" width="10.7109375" customWidth="1"/>
    <col min="9969" max="9969" width="11.42578125" bestFit="1" customWidth="1"/>
    <col min="9970" max="9970" width="9.5703125" bestFit="1" customWidth="1"/>
    <col min="9971" max="9971" width="12" bestFit="1" customWidth="1"/>
    <col min="10185" max="10185" width="40.28515625" bestFit="1" customWidth="1"/>
    <col min="10186" max="10224" width="10.7109375" customWidth="1"/>
    <col min="10225" max="10225" width="11.42578125" bestFit="1" customWidth="1"/>
    <col min="10226" max="10226" width="9.5703125" bestFit="1" customWidth="1"/>
    <col min="10227" max="10227" width="12" bestFit="1" customWidth="1"/>
    <col min="10441" max="10441" width="40.28515625" bestFit="1" customWidth="1"/>
    <col min="10442" max="10480" width="10.7109375" customWidth="1"/>
    <col min="10481" max="10481" width="11.42578125" bestFit="1" customWidth="1"/>
    <col min="10482" max="10482" width="9.5703125" bestFit="1" customWidth="1"/>
    <col min="10483" max="10483" width="12" bestFit="1" customWidth="1"/>
    <col min="10697" max="10697" width="40.28515625" bestFit="1" customWidth="1"/>
    <col min="10698" max="10736" width="10.7109375" customWidth="1"/>
    <col min="10737" max="10737" width="11.42578125" bestFit="1" customWidth="1"/>
    <col min="10738" max="10738" width="9.5703125" bestFit="1" customWidth="1"/>
    <col min="10739" max="10739" width="12" bestFit="1" customWidth="1"/>
    <col min="10953" max="10953" width="40.28515625" bestFit="1" customWidth="1"/>
    <col min="10954" max="10992" width="10.7109375" customWidth="1"/>
    <col min="10993" max="10993" width="11.42578125" bestFit="1" customWidth="1"/>
    <col min="10994" max="10994" width="9.5703125" bestFit="1" customWidth="1"/>
    <col min="10995" max="10995" width="12" bestFit="1" customWidth="1"/>
    <col min="11209" max="11209" width="40.28515625" bestFit="1" customWidth="1"/>
    <col min="11210" max="11248" width="10.7109375" customWidth="1"/>
    <col min="11249" max="11249" width="11.42578125" bestFit="1" customWidth="1"/>
    <col min="11250" max="11250" width="9.5703125" bestFit="1" customWidth="1"/>
    <col min="11251" max="11251" width="12" bestFit="1" customWidth="1"/>
    <col min="11465" max="11465" width="40.28515625" bestFit="1" customWidth="1"/>
    <col min="11466" max="11504" width="10.7109375" customWidth="1"/>
    <col min="11505" max="11505" width="11.42578125" bestFit="1" customWidth="1"/>
    <col min="11506" max="11506" width="9.5703125" bestFit="1" customWidth="1"/>
    <col min="11507" max="11507" width="12" bestFit="1" customWidth="1"/>
    <col min="11721" max="11721" width="40.28515625" bestFit="1" customWidth="1"/>
    <col min="11722" max="11760" width="10.7109375" customWidth="1"/>
    <col min="11761" max="11761" width="11.42578125" bestFit="1" customWidth="1"/>
    <col min="11762" max="11762" width="9.5703125" bestFit="1" customWidth="1"/>
    <col min="11763" max="11763" width="12" bestFit="1" customWidth="1"/>
    <col min="11977" max="11977" width="40.28515625" bestFit="1" customWidth="1"/>
    <col min="11978" max="12016" width="10.7109375" customWidth="1"/>
    <col min="12017" max="12017" width="11.42578125" bestFit="1" customWidth="1"/>
    <col min="12018" max="12018" width="9.5703125" bestFit="1" customWidth="1"/>
    <col min="12019" max="12019" width="12" bestFit="1" customWidth="1"/>
    <col min="12233" max="12233" width="40.28515625" bestFit="1" customWidth="1"/>
    <col min="12234" max="12272" width="10.7109375" customWidth="1"/>
    <col min="12273" max="12273" width="11.42578125" bestFit="1" customWidth="1"/>
    <col min="12274" max="12274" width="9.5703125" bestFit="1" customWidth="1"/>
    <col min="12275" max="12275" width="12" bestFit="1" customWidth="1"/>
    <col min="12489" max="12489" width="40.28515625" bestFit="1" customWidth="1"/>
    <col min="12490" max="12528" width="10.7109375" customWidth="1"/>
    <col min="12529" max="12529" width="11.42578125" bestFit="1" customWidth="1"/>
    <col min="12530" max="12530" width="9.5703125" bestFit="1" customWidth="1"/>
    <col min="12531" max="12531" width="12" bestFit="1" customWidth="1"/>
    <col min="12745" max="12745" width="40.28515625" bestFit="1" customWidth="1"/>
    <col min="12746" max="12784" width="10.7109375" customWidth="1"/>
    <col min="12785" max="12785" width="11.42578125" bestFit="1" customWidth="1"/>
    <col min="12786" max="12786" width="9.5703125" bestFit="1" customWidth="1"/>
    <col min="12787" max="12787" width="12" bestFit="1" customWidth="1"/>
    <col min="13001" max="13001" width="40.28515625" bestFit="1" customWidth="1"/>
    <col min="13002" max="13040" width="10.7109375" customWidth="1"/>
    <col min="13041" max="13041" width="11.42578125" bestFit="1" customWidth="1"/>
    <col min="13042" max="13042" width="9.5703125" bestFit="1" customWidth="1"/>
    <col min="13043" max="13043" width="12" bestFit="1" customWidth="1"/>
    <col min="13257" max="13257" width="40.28515625" bestFit="1" customWidth="1"/>
    <col min="13258" max="13296" width="10.7109375" customWidth="1"/>
    <col min="13297" max="13297" width="11.42578125" bestFit="1" customWidth="1"/>
    <col min="13298" max="13298" width="9.5703125" bestFit="1" customWidth="1"/>
    <col min="13299" max="13299" width="12" bestFit="1" customWidth="1"/>
    <col min="13513" max="13513" width="40.28515625" bestFit="1" customWidth="1"/>
    <col min="13514" max="13552" width="10.7109375" customWidth="1"/>
    <col min="13553" max="13553" width="11.42578125" bestFit="1" customWidth="1"/>
    <col min="13554" max="13554" width="9.5703125" bestFit="1" customWidth="1"/>
    <col min="13555" max="13555" width="12" bestFit="1" customWidth="1"/>
    <col min="13769" max="13769" width="40.28515625" bestFit="1" customWidth="1"/>
    <col min="13770" max="13808" width="10.7109375" customWidth="1"/>
    <col min="13809" max="13809" width="11.42578125" bestFit="1" customWidth="1"/>
    <col min="13810" max="13810" width="9.5703125" bestFit="1" customWidth="1"/>
    <col min="13811" max="13811" width="12" bestFit="1" customWidth="1"/>
    <col min="14025" max="14025" width="40.28515625" bestFit="1" customWidth="1"/>
    <col min="14026" max="14064" width="10.7109375" customWidth="1"/>
    <col min="14065" max="14065" width="11.42578125" bestFit="1" customWidth="1"/>
    <col min="14066" max="14066" width="9.5703125" bestFit="1" customWidth="1"/>
    <col min="14067" max="14067" width="12" bestFit="1" customWidth="1"/>
    <col min="14281" max="14281" width="40.28515625" bestFit="1" customWidth="1"/>
    <col min="14282" max="14320" width="10.7109375" customWidth="1"/>
    <col min="14321" max="14321" width="11.42578125" bestFit="1" customWidth="1"/>
    <col min="14322" max="14322" width="9.5703125" bestFit="1" customWidth="1"/>
    <col min="14323" max="14323" width="12" bestFit="1" customWidth="1"/>
    <col min="14537" max="14537" width="40.28515625" bestFit="1" customWidth="1"/>
    <col min="14538" max="14576" width="10.7109375" customWidth="1"/>
    <col min="14577" max="14577" width="11.42578125" bestFit="1" customWidth="1"/>
    <col min="14578" max="14578" width="9.5703125" bestFit="1" customWidth="1"/>
    <col min="14579" max="14579" width="12" bestFit="1" customWidth="1"/>
    <col min="14793" max="14793" width="40.28515625" bestFit="1" customWidth="1"/>
    <col min="14794" max="14832" width="10.7109375" customWidth="1"/>
    <col min="14833" max="14833" width="11.42578125" bestFit="1" customWidth="1"/>
    <col min="14834" max="14834" width="9.5703125" bestFit="1" customWidth="1"/>
    <col min="14835" max="14835" width="12" bestFit="1" customWidth="1"/>
    <col min="15049" max="15049" width="40.28515625" bestFit="1" customWidth="1"/>
    <col min="15050" max="15088" width="10.7109375" customWidth="1"/>
    <col min="15089" max="15089" width="11.42578125" bestFit="1" customWidth="1"/>
    <col min="15090" max="15090" width="9.5703125" bestFit="1" customWidth="1"/>
    <col min="15091" max="15091" width="12" bestFit="1" customWidth="1"/>
    <col min="15305" max="15305" width="40.28515625" bestFit="1" customWidth="1"/>
    <col min="15306" max="15344" width="10.7109375" customWidth="1"/>
    <col min="15345" max="15345" width="11.42578125" bestFit="1" customWidth="1"/>
    <col min="15346" max="15346" width="9.5703125" bestFit="1" customWidth="1"/>
    <col min="15347" max="15347" width="12" bestFit="1" customWidth="1"/>
    <col min="15561" max="15561" width="40.28515625" bestFit="1" customWidth="1"/>
    <col min="15562" max="15600" width="10.7109375" customWidth="1"/>
    <col min="15601" max="15601" width="11.42578125" bestFit="1" customWidth="1"/>
    <col min="15602" max="15602" width="9.5703125" bestFit="1" customWidth="1"/>
    <col min="15603" max="15603" width="12" bestFit="1" customWidth="1"/>
    <col min="15817" max="15817" width="40.28515625" bestFit="1" customWidth="1"/>
    <col min="15818" max="15856" width="10.7109375" customWidth="1"/>
    <col min="15857" max="15857" width="11.42578125" bestFit="1" customWidth="1"/>
    <col min="15858" max="15858" width="9.5703125" bestFit="1" customWidth="1"/>
    <col min="15859" max="15859" width="12" bestFit="1" customWidth="1"/>
    <col min="16073" max="16073" width="40.28515625" bestFit="1" customWidth="1"/>
    <col min="16074" max="16112" width="10.7109375" customWidth="1"/>
    <col min="16113" max="16113" width="11.42578125" bestFit="1" customWidth="1"/>
    <col min="16114" max="16114" width="9.5703125" bestFit="1" customWidth="1"/>
    <col min="16115" max="16115" width="12" bestFit="1" customWidth="1"/>
  </cols>
  <sheetData>
    <row r="1" spans="1:55" ht="21" x14ac:dyDescent="0.25">
      <c r="A1" s="75" t="s">
        <v>47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55" ht="21" x14ac:dyDescent="0.25">
      <c r="A2" s="262"/>
      <c r="B2" s="264">
        <v>2025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6">
        <v>2026</v>
      </c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</row>
    <row r="3" spans="1:55" ht="15.75" customHeight="1" x14ac:dyDescent="0.25">
      <c r="A3" s="263"/>
      <c r="B3" s="79" t="s">
        <v>1</v>
      </c>
      <c r="C3" s="79" t="s">
        <v>14</v>
      </c>
      <c r="D3" s="79" t="s">
        <v>15</v>
      </c>
      <c r="E3" s="79" t="s">
        <v>3</v>
      </c>
      <c r="F3" s="77" t="s">
        <v>4</v>
      </c>
      <c r="G3" s="77" t="s">
        <v>5</v>
      </c>
      <c r="H3" s="77" t="s">
        <v>6</v>
      </c>
      <c r="I3" s="77" t="s">
        <v>7</v>
      </c>
      <c r="J3" s="78" t="s">
        <v>48</v>
      </c>
      <c r="K3" s="78" t="s">
        <v>9</v>
      </c>
      <c r="L3" s="78" t="s">
        <v>10</v>
      </c>
      <c r="M3" s="78" t="s">
        <v>11</v>
      </c>
      <c r="N3" s="78" t="s">
        <v>12</v>
      </c>
      <c r="O3" s="78" t="s">
        <v>13</v>
      </c>
      <c r="P3" s="79" t="s">
        <v>1</v>
      </c>
      <c r="Q3" s="79" t="s">
        <v>14</v>
      </c>
      <c r="R3" s="79" t="s">
        <v>15</v>
      </c>
      <c r="S3" s="79" t="s">
        <v>3</v>
      </c>
      <c r="T3" s="244" t="s">
        <v>4</v>
      </c>
      <c r="U3" s="244" t="s">
        <v>5</v>
      </c>
      <c r="V3" s="244" t="s">
        <v>6</v>
      </c>
      <c r="W3" s="244" t="s">
        <v>7</v>
      </c>
      <c r="X3" s="243" t="s">
        <v>48</v>
      </c>
      <c r="Y3" s="243" t="s">
        <v>9</v>
      </c>
      <c r="Z3" s="243" t="s">
        <v>10</v>
      </c>
      <c r="AA3" s="243" t="s">
        <v>11</v>
      </c>
      <c r="AB3" s="243" t="s">
        <v>12</v>
      </c>
      <c r="AC3" s="243" t="s">
        <v>13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 ht="19.5" thickBot="1" x14ac:dyDescent="0.35">
      <c r="A4" s="80" t="s">
        <v>17</v>
      </c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 ht="15.75" x14ac:dyDescent="0.25">
      <c r="A5" s="82" t="s">
        <v>18</v>
      </c>
      <c r="B5" s="84">
        <v>335444</v>
      </c>
      <c r="C5" s="83">
        <v>338481</v>
      </c>
      <c r="D5" s="84">
        <v>281348</v>
      </c>
      <c r="E5" s="85">
        <f t="shared" ref="E5:E13" si="0">SUM(B5:D5)</f>
        <v>955273</v>
      </c>
      <c r="F5" s="84">
        <v>243215</v>
      </c>
      <c r="G5" s="83">
        <v>150053</v>
      </c>
      <c r="H5" s="84">
        <v>44824</v>
      </c>
      <c r="I5" s="85">
        <f t="shared" ref="I5:I28" si="1">SUM(F5:H5)</f>
        <v>438092</v>
      </c>
      <c r="J5" s="85">
        <f t="shared" ref="J5:J28" si="2">I5+E5</f>
        <v>1393365</v>
      </c>
      <c r="K5" s="84">
        <v>29050</v>
      </c>
      <c r="L5" s="83">
        <v>38051</v>
      </c>
      <c r="M5" s="84">
        <v>50695</v>
      </c>
      <c r="N5" s="85">
        <f t="shared" ref="N5:N13" si="3">SUM(K5:M5)</f>
        <v>117796</v>
      </c>
      <c r="O5" s="85">
        <f t="shared" ref="O5:O13" si="4">J5+N5</f>
        <v>1511161</v>
      </c>
      <c r="P5" s="84">
        <v>440016</v>
      </c>
      <c r="Q5" s="83">
        <v>407443</v>
      </c>
      <c r="R5" s="84">
        <v>272526</v>
      </c>
      <c r="S5" s="85">
        <f>SUM(P5:R5)</f>
        <v>1119985</v>
      </c>
      <c r="T5" s="84">
        <v>221436</v>
      </c>
      <c r="U5" s="83">
        <v>113308</v>
      </c>
      <c r="V5" s="84">
        <v>34942</v>
      </c>
      <c r="W5" s="85">
        <f>SUM(T5:V5)</f>
        <v>369686</v>
      </c>
      <c r="X5" s="85">
        <f>W5+S5</f>
        <v>1489671</v>
      </c>
      <c r="Y5" s="84">
        <v>39949</v>
      </c>
      <c r="Z5" s="83">
        <v>46545</v>
      </c>
      <c r="AA5" s="84">
        <v>41648</v>
      </c>
      <c r="AB5" s="85">
        <f>SUM(Y5:AA5)</f>
        <v>128142</v>
      </c>
      <c r="AC5" s="85">
        <f>AB5+X5</f>
        <v>1617813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 ht="15.75" x14ac:dyDescent="0.25">
      <c r="A6" s="86" t="s">
        <v>19</v>
      </c>
      <c r="B6" s="87">
        <v>342953</v>
      </c>
      <c r="C6" s="87">
        <v>342619</v>
      </c>
      <c r="D6" s="87">
        <v>289116</v>
      </c>
      <c r="E6" s="88">
        <f t="shared" si="0"/>
        <v>974688</v>
      </c>
      <c r="F6" s="87">
        <v>249074</v>
      </c>
      <c r="G6" s="87">
        <v>167626</v>
      </c>
      <c r="H6" s="87">
        <v>36412</v>
      </c>
      <c r="I6" s="88">
        <f t="shared" si="1"/>
        <v>453112</v>
      </c>
      <c r="J6" s="88">
        <f t="shared" si="2"/>
        <v>1427800</v>
      </c>
      <c r="K6" s="87">
        <v>59035</v>
      </c>
      <c r="L6" s="87">
        <v>58803</v>
      </c>
      <c r="M6" s="87">
        <v>73149</v>
      </c>
      <c r="N6" s="88">
        <f t="shared" si="3"/>
        <v>190987</v>
      </c>
      <c r="O6" s="88">
        <f t="shared" si="4"/>
        <v>1618787</v>
      </c>
      <c r="P6" s="87">
        <v>402509</v>
      </c>
      <c r="Q6" s="87">
        <v>377288</v>
      </c>
      <c r="R6" s="87">
        <v>265514</v>
      </c>
      <c r="S6" s="88">
        <f t="shared" ref="S6:S27" si="5">SUM(P6:R6)</f>
        <v>1045311</v>
      </c>
      <c r="T6" s="87">
        <v>234883</v>
      </c>
      <c r="U6" s="87">
        <v>95774</v>
      </c>
      <c r="V6" s="87">
        <v>66766</v>
      </c>
      <c r="W6" s="88">
        <f t="shared" ref="W6:W13" si="6">SUM(T6:V6)</f>
        <v>397423</v>
      </c>
      <c r="X6" s="88">
        <f t="shared" ref="X6:X13" si="7">W6+S6</f>
        <v>1442734</v>
      </c>
      <c r="Y6" s="87">
        <v>58685</v>
      </c>
      <c r="Z6" s="87">
        <v>62045</v>
      </c>
      <c r="AA6" s="87">
        <v>67767</v>
      </c>
      <c r="AB6" s="88">
        <f t="shared" ref="AB6:AB13" si="8">SUM(Y6:AA6)</f>
        <v>188497</v>
      </c>
      <c r="AC6" s="88">
        <f t="shared" ref="AC6:AC13" si="9">AB6+X6</f>
        <v>1631231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 ht="15.75" x14ac:dyDescent="0.25">
      <c r="A7" s="86" t="s">
        <v>20</v>
      </c>
      <c r="B7" s="89">
        <v>262163</v>
      </c>
      <c r="C7" s="87">
        <v>266839</v>
      </c>
      <c r="D7" s="89">
        <v>222608</v>
      </c>
      <c r="E7" s="88">
        <f t="shared" si="0"/>
        <v>751610</v>
      </c>
      <c r="F7" s="89">
        <v>184036</v>
      </c>
      <c r="G7" s="87">
        <v>120303</v>
      </c>
      <c r="H7" s="89">
        <v>41201</v>
      </c>
      <c r="I7" s="88">
        <f t="shared" si="1"/>
        <v>345540</v>
      </c>
      <c r="J7" s="88">
        <f t="shared" si="2"/>
        <v>1097150</v>
      </c>
      <c r="K7" s="89">
        <v>21104</v>
      </c>
      <c r="L7" s="87">
        <v>35588</v>
      </c>
      <c r="M7" s="89">
        <v>51057</v>
      </c>
      <c r="N7" s="88">
        <f t="shared" si="3"/>
        <v>107749</v>
      </c>
      <c r="O7" s="88">
        <f t="shared" si="4"/>
        <v>1204899</v>
      </c>
      <c r="P7" s="89">
        <v>337722</v>
      </c>
      <c r="Q7" s="87">
        <v>2297</v>
      </c>
      <c r="R7" s="89">
        <v>214120</v>
      </c>
      <c r="S7" s="88">
        <f t="shared" si="5"/>
        <v>554139</v>
      </c>
      <c r="T7" s="89">
        <v>184156</v>
      </c>
      <c r="U7" s="87">
        <v>94353</v>
      </c>
      <c r="V7" s="89">
        <v>21348</v>
      </c>
      <c r="W7" s="88">
        <f t="shared" si="6"/>
        <v>299857</v>
      </c>
      <c r="X7" s="88">
        <f t="shared" si="7"/>
        <v>853996</v>
      </c>
      <c r="Y7" s="89">
        <v>34898</v>
      </c>
      <c r="Z7" s="87">
        <v>34212</v>
      </c>
      <c r="AA7" s="89">
        <v>44138</v>
      </c>
      <c r="AB7" s="88">
        <f t="shared" si="8"/>
        <v>113248</v>
      </c>
      <c r="AC7" s="88">
        <v>1278087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 ht="15.75" x14ac:dyDescent="0.25">
      <c r="A8" s="86" t="s">
        <v>21</v>
      </c>
      <c r="B8" s="89">
        <v>232682</v>
      </c>
      <c r="C8" s="87">
        <v>227267</v>
      </c>
      <c r="D8" s="89">
        <v>196685</v>
      </c>
      <c r="E8" s="88">
        <f t="shared" si="0"/>
        <v>656634</v>
      </c>
      <c r="F8" s="89">
        <v>136664</v>
      </c>
      <c r="G8" s="87">
        <v>92247</v>
      </c>
      <c r="H8" s="89">
        <v>36406</v>
      </c>
      <c r="I8" s="88">
        <f t="shared" si="1"/>
        <v>265317</v>
      </c>
      <c r="J8" s="88">
        <f t="shared" si="2"/>
        <v>921951</v>
      </c>
      <c r="K8" s="89">
        <v>2433</v>
      </c>
      <c r="L8" s="87">
        <v>10590</v>
      </c>
      <c r="M8" s="89">
        <v>25168</v>
      </c>
      <c r="N8" s="88">
        <f t="shared" si="3"/>
        <v>38191</v>
      </c>
      <c r="O8" s="88">
        <f t="shared" si="4"/>
        <v>960142</v>
      </c>
      <c r="P8" s="89">
        <v>319324</v>
      </c>
      <c r="Q8" s="87">
        <v>3757.6849999999999</v>
      </c>
      <c r="R8" s="89">
        <v>205781</v>
      </c>
      <c r="S8" s="88">
        <f t="shared" si="5"/>
        <v>528862.68500000006</v>
      </c>
      <c r="T8" s="89">
        <v>163527</v>
      </c>
      <c r="U8" s="87">
        <v>83431</v>
      </c>
      <c r="V8" s="89">
        <v>57710</v>
      </c>
      <c r="W8" s="88">
        <f t="shared" si="6"/>
        <v>304668</v>
      </c>
      <c r="X8" s="88">
        <f t="shared" si="7"/>
        <v>833530.68500000006</v>
      </c>
      <c r="Y8" s="89">
        <v>17117</v>
      </c>
      <c r="Z8" s="87">
        <v>31991</v>
      </c>
      <c r="AA8" s="89">
        <v>41189</v>
      </c>
      <c r="AB8" s="88">
        <f t="shared" si="8"/>
        <v>90297</v>
      </c>
      <c r="AC8" s="88">
        <v>1216772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 ht="15.75" x14ac:dyDescent="0.25">
      <c r="A9" s="86" t="s">
        <v>22</v>
      </c>
      <c r="B9" s="89">
        <v>426589</v>
      </c>
      <c r="C9" s="87">
        <v>474914</v>
      </c>
      <c r="D9" s="89">
        <v>360433</v>
      </c>
      <c r="E9" s="88">
        <f t="shared" si="0"/>
        <v>1261936</v>
      </c>
      <c r="F9" s="89">
        <v>327456</v>
      </c>
      <c r="G9" s="87">
        <v>210718</v>
      </c>
      <c r="H9" s="89">
        <v>67519</v>
      </c>
      <c r="I9" s="88">
        <f t="shared" si="1"/>
        <v>605693</v>
      </c>
      <c r="J9" s="88">
        <f t="shared" si="2"/>
        <v>1867629</v>
      </c>
      <c r="K9" s="89">
        <v>111169</v>
      </c>
      <c r="L9" s="87">
        <v>84263</v>
      </c>
      <c r="M9" s="89">
        <v>128667</v>
      </c>
      <c r="N9" s="88">
        <f t="shared" si="3"/>
        <v>324099</v>
      </c>
      <c r="O9" s="88">
        <f t="shared" si="4"/>
        <v>2191728</v>
      </c>
      <c r="P9" s="89">
        <v>467835</v>
      </c>
      <c r="Q9" s="87">
        <v>5523.6790000000001</v>
      </c>
      <c r="R9" s="89">
        <v>314788</v>
      </c>
      <c r="S9" s="88">
        <f t="shared" si="5"/>
        <v>788146.679</v>
      </c>
      <c r="T9" s="89">
        <v>293211</v>
      </c>
      <c r="U9" s="87">
        <v>137920</v>
      </c>
      <c r="V9" s="89">
        <v>35014</v>
      </c>
      <c r="W9" s="88">
        <f t="shared" si="6"/>
        <v>466145</v>
      </c>
      <c r="X9" s="88">
        <f t="shared" si="7"/>
        <v>1254291.679</v>
      </c>
      <c r="Y9" s="89">
        <v>97287</v>
      </c>
      <c r="Z9" s="87">
        <v>95612</v>
      </c>
      <c r="AA9" s="89">
        <v>94690</v>
      </c>
      <c r="AB9" s="88">
        <f t="shared" si="8"/>
        <v>287589</v>
      </c>
      <c r="AC9" s="88">
        <v>2000537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 ht="15.75" x14ac:dyDescent="0.25">
      <c r="A10" s="86" t="s">
        <v>23</v>
      </c>
      <c r="B10" s="89">
        <v>164620</v>
      </c>
      <c r="C10" s="87">
        <v>167391</v>
      </c>
      <c r="D10" s="89">
        <v>137598</v>
      </c>
      <c r="E10" s="88">
        <f t="shared" si="0"/>
        <v>469609</v>
      </c>
      <c r="F10" s="89">
        <v>109912</v>
      </c>
      <c r="G10" s="87">
        <v>76407</v>
      </c>
      <c r="H10" s="89">
        <v>29527</v>
      </c>
      <c r="I10" s="88">
        <f t="shared" si="1"/>
        <v>215846</v>
      </c>
      <c r="J10" s="88">
        <f t="shared" si="2"/>
        <v>685455</v>
      </c>
      <c r="K10" s="89">
        <v>17922</v>
      </c>
      <c r="L10" s="87">
        <v>29110</v>
      </c>
      <c r="M10" s="89">
        <v>37736</v>
      </c>
      <c r="N10" s="88">
        <f t="shared" si="3"/>
        <v>84768</v>
      </c>
      <c r="O10" s="88">
        <f t="shared" si="4"/>
        <v>770223</v>
      </c>
      <c r="P10" s="89">
        <v>210092</v>
      </c>
      <c r="Q10" s="87">
        <v>4587.8</v>
      </c>
      <c r="R10" s="89">
        <v>133205</v>
      </c>
      <c r="S10" s="88">
        <f t="shared" si="5"/>
        <v>347884.79999999999</v>
      </c>
      <c r="T10" s="89">
        <v>109833</v>
      </c>
      <c r="U10" s="87">
        <v>60266</v>
      </c>
      <c r="V10" s="89">
        <v>28910</v>
      </c>
      <c r="W10" s="88">
        <f t="shared" si="6"/>
        <v>199009</v>
      </c>
      <c r="X10" s="88">
        <f t="shared" si="7"/>
        <v>546893.80000000005</v>
      </c>
      <c r="Y10" s="89">
        <v>16481</v>
      </c>
      <c r="Z10" s="87">
        <v>30305</v>
      </c>
      <c r="AA10" s="89">
        <v>33185</v>
      </c>
      <c r="AB10" s="88">
        <f t="shared" si="8"/>
        <v>79971</v>
      </c>
      <c r="AC10" s="88">
        <v>818723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 ht="15.75" x14ac:dyDescent="0.25">
      <c r="A11" s="86" t="s">
        <v>24</v>
      </c>
      <c r="B11" s="89">
        <v>434918</v>
      </c>
      <c r="C11" s="87">
        <v>405185</v>
      </c>
      <c r="D11" s="89">
        <v>411624</v>
      </c>
      <c r="E11" s="88">
        <f t="shared" si="0"/>
        <v>1251727</v>
      </c>
      <c r="F11" s="89">
        <v>338170</v>
      </c>
      <c r="G11" s="87">
        <v>236843</v>
      </c>
      <c r="H11" s="89">
        <v>94025</v>
      </c>
      <c r="I11" s="88">
        <f t="shared" si="1"/>
        <v>669038</v>
      </c>
      <c r="J11" s="88">
        <f t="shared" si="2"/>
        <v>1920765</v>
      </c>
      <c r="K11" s="89">
        <v>44055</v>
      </c>
      <c r="L11" s="87">
        <v>88583</v>
      </c>
      <c r="M11" s="89">
        <v>113951</v>
      </c>
      <c r="N11" s="88">
        <f t="shared" si="3"/>
        <v>246589</v>
      </c>
      <c r="O11" s="88">
        <f t="shared" si="4"/>
        <v>2167354</v>
      </c>
      <c r="P11" s="89">
        <v>485584</v>
      </c>
      <c r="Q11" s="87">
        <v>7917</v>
      </c>
      <c r="R11" s="89">
        <v>417338</v>
      </c>
      <c r="S11" s="88">
        <f t="shared" si="5"/>
        <v>910839</v>
      </c>
      <c r="T11" s="89">
        <v>335082</v>
      </c>
      <c r="U11" s="87">
        <v>204175</v>
      </c>
      <c r="V11" s="89">
        <v>130935</v>
      </c>
      <c r="W11" s="88">
        <f t="shared" si="6"/>
        <v>670192</v>
      </c>
      <c r="X11" s="88">
        <f t="shared" si="7"/>
        <v>1581031</v>
      </c>
      <c r="Y11" s="89">
        <v>59506</v>
      </c>
      <c r="Z11" s="87">
        <v>110702</v>
      </c>
      <c r="AA11" s="89">
        <v>118282</v>
      </c>
      <c r="AB11" s="88">
        <f t="shared" si="8"/>
        <v>288490</v>
      </c>
      <c r="AC11" s="88">
        <v>2317924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 ht="15.75" x14ac:dyDescent="0.25">
      <c r="A12" s="86" t="s">
        <v>25</v>
      </c>
      <c r="B12" s="89">
        <v>529340</v>
      </c>
      <c r="C12" s="87">
        <v>512365</v>
      </c>
      <c r="D12" s="89">
        <v>457057</v>
      </c>
      <c r="E12" s="88">
        <f t="shared" si="0"/>
        <v>1498762</v>
      </c>
      <c r="F12" s="89">
        <v>365228</v>
      </c>
      <c r="G12" s="87">
        <v>247825</v>
      </c>
      <c r="H12" s="89">
        <v>99484</v>
      </c>
      <c r="I12" s="88">
        <f t="shared" si="1"/>
        <v>712537</v>
      </c>
      <c r="J12" s="88">
        <f t="shared" si="2"/>
        <v>2211299</v>
      </c>
      <c r="K12" s="89">
        <v>89828</v>
      </c>
      <c r="L12" s="87">
        <v>126576</v>
      </c>
      <c r="M12" s="89">
        <v>134545</v>
      </c>
      <c r="N12" s="88">
        <f t="shared" si="3"/>
        <v>350949</v>
      </c>
      <c r="O12" s="88">
        <f t="shared" si="4"/>
        <v>2562248</v>
      </c>
      <c r="P12" s="89">
        <v>676885</v>
      </c>
      <c r="Q12" s="87">
        <v>11582</v>
      </c>
      <c r="R12" s="89">
        <v>431923</v>
      </c>
      <c r="S12" s="88">
        <f t="shared" si="5"/>
        <v>1120390</v>
      </c>
      <c r="T12" s="89">
        <v>363011</v>
      </c>
      <c r="U12" s="87">
        <v>200596</v>
      </c>
      <c r="V12" s="89">
        <v>127035</v>
      </c>
      <c r="W12" s="88">
        <f t="shared" si="6"/>
        <v>690642</v>
      </c>
      <c r="X12" s="88">
        <f t="shared" si="7"/>
        <v>1811032</v>
      </c>
      <c r="Y12" s="89">
        <v>71605</v>
      </c>
      <c r="Z12" s="87">
        <v>111580</v>
      </c>
      <c r="AA12" s="89">
        <v>135808</v>
      </c>
      <c r="AB12" s="88">
        <f t="shared" si="8"/>
        <v>318993</v>
      </c>
      <c r="AC12" s="88">
        <v>2737003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 ht="16.5" thickBot="1" x14ac:dyDescent="0.3">
      <c r="A13" s="86" t="s">
        <v>49</v>
      </c>
      <c r="B13" s="90">
        <v>438.625</v>
      </c>
      <c r="C13" s="90">
        <v>453.57100000000003</v>
      </c>
      <c r="D13" s="90">
        <v>431.755</v>
      </c>
      <c r="E13" s="91">
        <f t="shared" si="0"/>
        <v>1323.951</v>
      </c>
      <c r="F13" s="90">
        <v>345.08300000000003</v>
      </c>
      <c r="G13" s="90">
        <v>290.58999999999997</v>
      </c>
      <c r="H13" s="90">
        <v>125.045</v>
      </c>
      <c r="I13" s="91">
        <f t="shared" si="1"/>
        <v>760.71799999999996</v>
      </c>
      <c r="J13" s="91">
        <f t="shared" si="2"/>
        <v>2084.6689999999999</v>
      </c>
      <c r="K13" s="90">
        <v>125.407</v>
      </c>
      <c r="L13" s="90">
        <v>125.045</v>
      </c>
      <c r="M13" s="90">
        <v>117.661</v>
      </c>
      <c r="N13" s="91">
        <f t="shared" si="3"/>
        <v>368.113</v>
      </c>
      <c r="O13" s="91">
        <f t="shared" si="4"/>
        <v>2452.7819999999997</v>
      </c>
      <c r="P13" s="90">
        <v>410.68200000000002</v>
      </c>
      <c r="Q13" s="90">
        <v>531.30799999999999</v>
      </c>
      <c r="R13" s="90">
        <v>364.505</v>
      </c>
      <c r="S13" s="91">
        <f t="shared" si="5"/>
        <v>1306.4949999999999</v>
      </c>
      <c r="T13" s="90">
        <v>323.95299999999997</v>
      </c>
      <c r="U13" s="90">
        <v>218.58799999999999</v>
      </c>
      <c r="V13" s="90">
        <v>125.045</v>
      </c>
      <c r="W13" s="91">
        <f t="shared" si="6"/>
        <v>667.5859999999999</v>
      </c>
      <c r="X13" s="91">
        <f t="shared" si="7"/>
        <v>1974.0809999999997</v>
      </c>
      <c r="Y13" s="90">
        <v>125.045</v>
      </c>
      <c r="Z13" s="90">
        <v>125.045</v>
      </c>
      <c r="AA13" s="90">
        <v>140.98599999999999</v>
      </c>
      <c r="AB13" s="91">
        <f t="shared" si="8"/>
        <v>391.07600000000002</v>
      </c>
      <c r="AC13" s="91">
        <f t="shared" si="9"/>
        <v>2365.1569999999997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 ht="16.5" thickBot="1" x14ac:dyDescent="0.3">
      <c r="A14" s="92" t="s">
        <v>29</v>
      </c>
      <c r="B14" s="93">
        <f>SUM(B5:B13)</f>
        <v>2729147.625</v>
      </c>
      <c r="C14" s="93">
        <f t="shared" ref="C14:I14" si="10">SUM(C5:C13)</f>
        <v>2735514.571</v>
      </c>
      <c r="D14" s="93">
        <f t="shared" si="10"/>
        <v>2356900.7549999999</v>
      </c>
      <c r="E14" s="94">
        <f t="shared" si="10"/>
        <v>7821562.9510000004</v>
      </c>
      <c r="F14" s="93">
        <f t="shared" si="10"/>
        <v>1954100.0830000001</v>
      </c>
      <c r="G14" s="93">
        <f t="shared" si="10"/>
        <v>1302312.5900000001</v>
      </c>
      <c r="H14" s="93">
        <f t="shared" si="10"/>
        <v>449523.04499999998</v>
      </c>
      <c r="I14" s="94">
        <f t="shared" si="10"/>
        <v>3705935.7179999999</v>
      </c>
      <c r="J14" s="94">
        <f t="shared" si="2"/>
        <v>11527498.669</v>
      </c>
      <c r="K14" s="93">
        <f>SUM(K5:K13)</f>
        <v>374721.40700000001</v>
      </c>
      <c r="L14" s="93">
        <f t="shared" ref="L14:O14" si="11">SUM(L5:L13)</f>
        <v>471689.04499999998</v>
      </c>
      <c r="M14" s="93">
        <f t="shared" si="11"/>
        <v>615085.66099999996</v>
      </c>
      <c r="N14" s="94">
        <f t="shared" si="11"/>
        <v>1461496.1129999999</v>
      </c>
      <c r="O14" s="94">
        <f t="shared" si="11"/>
        <v>12988994.782</v>
      </c>
      <c r="P14" s="93">
        <v>3340377.682</v>
      </c>
      <c r="Q14" s="93">
        <v>3130610.3080000002</v>
      </c>
      <c r="R14" s="93">
        <v>2255559.5049999999</v>
      </c>
      <c r="S14" s="94">
        <f>SUM(P14:R14)</f>
        <v>8726547.495000001</v>
      </c>
      <c r="T14" s="93">
        <f>SUM(T5:T13)</f>
        <v>1905462.953</v>
      </c>
      <c r="U14" s="93">
        <f>SUM(U5:U13)</f>
        <v>990041.58799999999</v>
      </c>
      <c r="V14" s="93">
        <f>SUM(V5:V13)</f>
        <v>502785.04499999998</v>
      </c>
      <c r="W14" s="94">
        <f>SUM(T14:V14)</f>
        <v>3398289.5860000001</v>
      </c>
      <c r="X14" s="94">
        <f>W14+S14</f>
        <v>12124837.081</v>
      </c>
      <c r="Y14" s="93">
        <f>SUM(Y5:Y13)</f>
        <v>395653.04499999998</v>
      </c>
      <c r="Z14" s="93">
        <f t="shared" ref="Z14:AA14" si="12">SUM(Z5:Z13)</f>
        <v>523117.04499999998</v>
      </c>
      <c r="AA14" s="93">
        <f t="shared" si="12"/>
        <v>576847.98600000003</v>
      </c>
      <c r="AB14" s="94">
        <f>SUM(AB5:AB13)</f>
        <v>1495618.0759999999</v>
      </c>
      <c r="AC14" s="94">
        <f>AB14+X14</f>
        <v>13620455.157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 ht="18.75" x14ac:dyDescent="0.3">
      <c r="A15" s="95" t="s">
        <v>30</v>
      </c>
      <c r="B15" s="96"/>
      <c r="C15" s="97"/>
      <c r="D15" s="81"/>
      <c r="E15" s="98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 ht="15.75" x14ac:dyDescent="0.25">
      <c r="A16" s="82" t="s">
        <v>31</v>
      </c>
      <c r="B16" s="97">
        <v>234149</v>
      </c>
      <c r="C16" s="97">
        <v>223660</v>
      </c>
      <c r="D16" s="101">
        <v>195808</v>
      </c>
      <c r="E16" s="102">
        <f t="shared" ref="E16:E18" si="13">SUM(B16:D16)</f>
        <v>653617</v>
      </c>
      <c r="F16" s="97">
        <v>168181</v>
      </c>
      <c r="G16" s="97">
        <v>115913</v>
      </c>
      <c r="H16" s="101">
        <v>38644</v>
      </c>
      <c r="I16" s="102">
        <f t="shared" si="1"/>
        <v>322738</v>
      </c>
      <c r="J16" s="102">
        <f t="shared" si="2"/>
        <v>976355</v>
      </c>
      <c r="K16" s="97">
        <v>32814</v>
      </c>
      <c r="L16" s="97">
        <v>42892</v>
      </c>
      <c r="M16" s="101">
        <v>65083</v>
      </c>
      <c r="N16" s="102">
        <f t="shared" ref="N16:N18" si="14">SUM(K16:M16)</f>
        <v>140789</v>
      </c>
      <c r="O16" s="102">
        <f t="shared" ref="O16:O18" si="15">J16+N16</f>
        <v>1117144</v>
      </c>
      <c r="P16" s="97">
        <v>287226</v>
      </c>
      <c r="Q16" s="97">
        <v>265748</v>
      </c>
      <c r="R16" s="101">
        <v>177386</v>
      </c>
      <c r="S16" s="102">
        <f t="shared" si="5"/>
        <v>730360</v>
      </c>
      <c r="T16" s="97">
        <v>158588</v>
      </c>
      <c r="U16" s="97">
        <v>85604</v>
      </c>
      <c r="V16" s="101">
        <v>36690</v>
      </c>
      <c r="W16" s="102">
        <f>SUM(T16:V16)</f>
        <v>280882</v>
      </c>
      <c r="X16" s="102">
        <f>W16+S16</f>
        <v>1011242</v>
      </c>
      <c r="Y16" s="97">
        <v>37773</v>
      </c>
      <c r="Z16" s="97">
        <v>45221</v>
      </c>
      <c r="AA16" s="101">
        <v>86257</v>
      </c>
      <c r="AB16" s="102">
        <f>SUM(Y16:AA16)</f>
        <v>169251</v>
      </c>
      <c r="AC16" s="102">
        <f>X16+AB16</f>
        <v>1180493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ht="15.75" x14ac:dyDescent="0.25">
      <c r="A17" s="86" t="s">
        <v>49</v>
      </c>
      <c r="B17" s="103">
        <f>5802.46</f>
        <v>5802.46</v>
      </c>
      <c r="C17" s="103">
        <v>5403.16</v>
      </c>
      <c r="D17" s="103">
        <v>5081.0200000000004</v>
      </c>
      <c r="E17" s="88">
        <f t="shared" si="13"/>
        <v>16286.64</v>
      </c>
      <c r="F17" s="103">
        <v>4191.29</v>
      </c>
      <c r="G17" s="103">
        <v>2232.9699999999998</v>
      </c>
      <c r="H17" s="103">
        <v>67.08</v>
      </c>
      <c r="I17" s="88">
        <f t="shared" si="1"/>
        <v>6491.34</v>
      </c>
      <c r="J17" s="88">
        <f t="shared" si="2"/>
        <v>22777.98</v>
      </c>
      <c r="K17" s="103">
        <v>0</v>
      </c>
      <c r="L17" s="103">
        <v>0</v>
      </c>
      <c r="M17" s="103">
        <v>0</v>
      </c>
      <c r="N17" s="88">
        <f t="shared" si="14"/>
        <v>0</v>
      </c>
      <c r="O17" s="88">
        <f t="shared" si="15"/>
        <v>22777.98</v>
      </c>
      <c r="P17" s="103">
        <v>0</v>
      </c>
      <c r="Q17" s="103">
        <v>0</v>
      </c>
      <c r="R17" s="103">
        <v>0</v>
      </c>
      <c r="S17" s="88">
        <f t="shared" si="5"/>
        <v>0</v>
      </c>
      <c r="T17" s="103">
        <v>0</v>
      </c>
      <c r="U17" s="103">
        <v>0</v>
      </c>
      <c r="V17" s="103">
        <v>0</v>
      </c>
      <c r="W17" s="88">
        <f t="shared" ref="W17:W18" si="16">SUM(T17:V17)</f>
        <v>0</v>
      </c>
      <c r="X17" s="88">
        <f t="shared" ref="X17:X18" si="17">W17+S17</f>
        <v>0</v>
      </c>
      <c r="Y17" s="103">
        <v>0</v>
      </c>
      <c r="Z17" s="103">
        <v>0</v>
      </c>
      <c r="AA17" s="103">
        <v>0</v>
      </c>
      <c r="AB17" s="88">
        <f t="shared" ref="AB17:AB18" si="18">SUM(Y17:AA17)</f>
        <v>0</v>
      </c>
      <c r="AC17" s="88">
        <f t="shared" ref="AC17:AC18" si="19">AB17+X17</f>
        <v>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ht="16.5" thickBot="1" x14ac:dyDescent="0.3">
      <c r="A18" s="104" t="s">
        <v>50</v>
      </c>
      <c r="B18" s="103">
        <v>89.1</v>
      </c>
      <c r="C18" s="103">
        <v>84</v>
      </c>
      <c r="D18" s="103">
        <v>78.099999999999994</v>
      </c>
      <c r="E18" s="88">
        <f t="shared" si="13"/>
        <v>251.2</v>
      </c>
      <c r="F18" s="103">
        <v>61.7</v>
      </c>
      <c r="G18" s="103">
        <v>41.2</v>
      </c>
      <c r="H18" s="103">
        <v>0</v>
      </c>
      <c r="I18" s="88">
        <f t="shared" si="1"/>
        <v>102.9</v>
      </c>
      <c r="J18" s="88">
        <f t="shared" si="2"/>
        <v>354.1</v>
      </c>
      <c r="K18" s="103">
        <v>0</v>
      </c>
      <c r="L18" s="103">
        <v>0</v>
      </c>
      <c r="M18" s="103">
        <v>0</v>
      </c>
      <c r="N18" s="88">
        <f t="shared" si="14"/>
        <v>0</v>
      </c>
      <c r="O18" s="88">
        <f t="shared" si="15"/>
        <v>354.1</v>
      </c>
      <c r="P18" s="103">
        <v>0</v>
      </c>
      <c r="Q18" s="103">
        <v>0</v>
      </c>
      <c r="R18" s="103">
        <v>0</v>
      </c>
      <c r="S18" s="88">
        <f t="shared" si="5"/>
        <v>0</v>
      </c>
      <c r="T18" s="103">
        <v>0</v>
      </c>
      <c r="U18" s="103">
        <v>0</v>
      </c>
      <c r="V18" s="103">
        <v>0</v>
      </c>
      <c r="W18" s="88">
        <f t="shared" si="16"/>
        <v>0</v>
      </c>
      <c r="X18" s="88">
        <f t="shared" si="17"/>
        <v>0</v>
      </c>
      <c r="Y18" s="103">
        <v>0</v>
      </c>
      <c r="Z18" s="103">
        <v>0</v>
      </c>
      <c r="AA18" s="103">
        <v>0</v>
      </c>
      <c r="AB18" s="88">
        <f t="shared" si="18"/>
        <v>0</v>
      </c>
      <c r="AC18" s="88">
        <f t="shared" si="19"/>
        <v>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ht="16.5" thickBot="1" x14ac:dyDescent="0.3">
      <c r="A19" s="92" t="s">
        <v>35</v>
      </c>
      <c r="B19" s="105">
        <f>SUM(B16:B18)</f>
        <v>240040.56</v>
      </c>
      <c r="C19" s="105">
        <f t="shared" ref="C19:I19" si="20">SUM(C16:C18)</f>
        <v>229147.16</v>
      </c>
      <c r="D19" s="105">
        <f t="shared" si="20"/>
        <v>200967.12</v>
      </c>
      <c r="E19" s="94">
        <f t="shared" si="20"/>
        <v>670154.84</v>
      </c>
      <c r="F19" s="105">
        <f t="shared" si="20"/>
        <v>172433.99000000002</v>
      </c>
      <c r="G19" s="105">
        <f t="shared" si="20"/>
        <v>118187.17</v>
      </c>
      <c r="H19" s="105">
        <f t="shared" si="20"/>
        <v>38711.08</v>
      </c>
      <c r="I19" s="94">
        <f t="shared" si="20"/>
        <v>329332.24000000005</v>
      </c>
      <c r="J19" s="94">
        <f t="shared" si="2"/>
        <v>999487.08000000007</v>
      </c>
      <c r="K19" s="105">
        <f>SUM(K16:K18)</f>
        <v>32814</v>
      </c>
      <c r="L19" s="105">
        <f>SUM(L16:L18)</f>
        <v>42892</v>
      </c>
      <c r="M19" s="105">
        <f>SUM(M16:M18)</f>
        <v>65083</v>
      </c>
      <c r="N19" s="94">
        <f t="shared" ref="N19:O19" si="21">SUM(N16:N18)</f>
        <v>140789</v>
      </c>
      <c r="O19" s="94">
        <f t="shared" si="21"/>
        <v>1140276.08</v>
      </c>
      <c r="P19" s="105">
        <v>287226</v>
      </c>
      <c r="Q19" s="105">
        <v>265748</v>
      </c>
      <c r="R19" s="105">
        <v>177386</v>
      </c>
      <c r="S19" s="94">
        <f t="shared" si="5"/>
        <v>730360</v>
      </c>
      <c r="T19" s="105">
        <f>SUM(T16:T18)</f>
        <v>158588</v>
      </c>
      <c r="U19" s="105">
        <f t="shared" ref="U19:X19" si="22">SUM(U16:U18)</f>
        <v>85604</v>
      </c>
      <c r="V19" s="105">
        <f t="shared" si="22"/>
        <v>36690</v>
      </c>
      <c r="W19" s="94">
        <f t="shared" si="22"/>
        <v>280882</v>
      </c>
      <c r="X19" s="94">
        <f t="shared" si="22"/>
        <v>1011242</v>
      </c>
      <c r="Y19" s="105">
        <f>SUM(Y16:Y18)</f>
        <v>37773</v>
      </c>
      <c r="Z19" s="105">
        <f t="shared" ref="Z19:AC19" si="23">SUM(Z16:Z18)</f>
        <v>45221</v>
      </c>
      <c r="AA19" s="105">
        <f t="shared" si="23"/>
        <v>86257</v>
      </c>
      <c r="AB19" s="94">
        <f t="shared" si="23"/>
        <v>169251</v>
      </c>
      <c r="AC19" s="94">
        <f t="shared" si="23"/>
        <v>1180493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ht="18.75" x14ac:dyDescent="0.3">
      <c r="A20" s="95" t="s">
        <v>36</v>
      </c>
      <c r="B20" s="96"/>
      <c r="C20" s="81"/>
      <c r="D20" s="81"/>
      <c r="E20" s="98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ht="15.75" x14ac:dyDescent="0.25">
      <c r="A21" s="82" t="s">
        <v>37</v>
      </c>
      <c r="B21" s="106">
        <v>205249</v>
      </c>
      <c r="C21" s="106">
        <v>164071</v>
      </c>
      <c r="D21" s="106">
        <v>168801</v>
      </c>
      <c r="E21" s="102">
        <f t="shared" ref="E21:E22" si="24">SUM(B21:D21)</f>
        <v>538121</v>
      </c>
      <c r="F21" s="106">
        <v>148728</v>
      </c>
      <c r="G21" s="106">
        <v>118642</v>
      </c>
      <c r="H21" s="106">
        <v>44223</v>
      </c>
      <c r="I21" s="102">
        <f t="shared" si="1"/>
        <v>311593</v>
      </c>
      <c r="J21" s="102">
        <f t="shared" si="2"/>
        <v>849714</v>
      </c>
      <c r="K21" s="106">
        <v>38432</v>
      </c>
      <c r="L21" s="106">
        <v>35645</v>
      </c>
      <c r="M21" s="106">
        <v>53956</v>
      </c>
      <c r="N21" s="102">
        <f t="shared" ref="N21:N22" si="25">SUM(K21:M21)</f>
        <v>128033</v>
      </c>
      <c r="O21" s="102">
        <f t="shared" ref="O21:O22" si="26">J21+N21</f>
        <v>977747</v>
      </c>
      <c r="P21" s="106">
        <v>222668</v>
      </c>
      <c r="Q21" s="106">
        <v>204926</v>
      </c>
      <c r="R21" s="106">
        <v>168184</v>
      </c>
      <c r="S21" s="102">
        <f t="shared" si="5"/>
        <v>595778</v>
      </c>
      <c r="T21" s="97">
        <v>136156</v>
      </c>
      <c r="U21" s="97">
        <v>103417</v>
      </c>
      <c r="V21" s="101">
        <v>41736</v>
      </c>
      <c r="W21" s="102">
        <f>SUM(T21:V21)</f>
        <v>281309</v>
      </c>
      <c r="X21" s="102">
        <f>W21+S21</f>
        <v>877087</v>
      </c>
      <c r="Y21" s="106">
        <v>40616</v>
      </c>
      <c r="Z21" s="106">
        <v>41855</v>
      </c>
      <c r="AA21" s="106">
        <v>76211</v>
      </c>
      <c r="AB21" s="102">
        <f>SUM(Y21:AA21)</f>
        <v>158682</v>
      </c>
      <c r="AC21" s="102">
        <f>AB21+X21</f>
        <v>1035769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ht="16.5" thickBot="1" x14ac:dyDescent="0.3">
      <c r="A22" s="107" t="s">
        <v>50</v>
      </c>
      <c r="B22" s="90">
        <v>302.69299999999998</v>
      </c>
      <c r="C22" s="90">
        <v>268.63200000000001</v>
      </c>
      <c r="D22" s="90">
        <v>167.71299999999999</v>
      </c>
      <c r="E22" s="91">
        <f t="shared" si="24"/>
        <v>739.03800000000001</v>
      </c>
      <c r="F22" s="90">
        <v>293.88200000000001</v>
      </c>
      <c r="G22" s="90">
        <v>235.95500000000001</v>
      </c>
      <c r="H22" s="90">
        <v>142.453</v>
      </c>
      <c r="I22" s="91">
        <f t="shared" si="1"/>
        <v>672.29</v>
      </c>
      <c r="J22" s="91">
        <f t="shared" si="2"/>
        <v>1411.328</v>
      </c>
      <c r="K22" s="90">
        <v>121.181</v>
      </c>
      <c r="L22" s="90">
        <v>121.48399999999999</v>
      </c>
      <c r="M22" s="90">
        <v>138.15799999999999</v>
      </c>
      <c r="N22" s="91">
        <f t="shared" si="25"/>
        <v>380.82299999999998</v>
      </c>
      <c r="O22" s="91">
        <f t="shared" si="26"/>
        <v>1792.1509999999998</v>
      </c>
      <c r="P22" s="90">
        <v>357.327</v>
      </c>
      <c r="Q22" s="90">
        <v>313.56099999999998</v>
      </c>
      <c r="R22" s="90">
        <v>230.67699999999999</v>
      </c>
      <c r="S22" s="91">
        <f t="shared" si="5"/>
        <v>901.56499999999994</v>
      </c>
      <c r="T22" s="103">
        <v>240.45099999999999</v>
      </c>
      <c r="U22" s="103">
        <v>202.946</v>
      </c>
      <c r="V22" s="103">
        <v>127.10899999999999</v>
      </c>
      <c r="W22" s="88">
        <f>SUM(T22:V22)</f>
        <v>570.50599999999997</v>
      </c>
      <c r="X22" s="88">
        <f>W22+S22</f>
        <v>1472.0709999999999</v>
      </c>
      <c r="Y22" s="90">
        <v>124.479</v>
      </c>
      <c r="Z22" s="90">
        <v>162.48599999999999</v>
      </c>
      <c r="AA22" s="90">
        <v>153.803</v>
      </c>
      <c r="AB22" s="91">
        <f t="shared" ref="AB22" si="27">SUM(Y22:AA22)</f>
        <v>440.76799999999997</v>
      </c>
      <c r="AC22" s="88">
        <f>AB22+X22</f>
        <v>1912.8389999999999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ht="16.5" thickBot="1" x14ac:dyDescent="0.3">
      <c r="A23" s="92" t="s">
        <v>41</v>
      </c>
      <c r="B23" s="108">
        <f>SUM(B21:B22)</f>
        <v>205551.693</v>
      </c>
      <c r="C23" s="108">
        <f t="shared" ref="C23:H23" si="28">SUM(C21:C22)</f>
        <v>164339.63200000001</v>
      </c>
      <c r="D23" s="108">
        <f t="shared" si="28"/>
        <v>168968.71299999999</v>
      </c>
      <c r="E23" s="94">
        <f t="shared" si="28"/>
        <v>538860.03799999994</v>
      </c>
      <c r="F23" s="105">
        <f t="shared" si="28"/>
        <v>149021.88200000001</v>
      </c>
      <c r="G23" s="105">
        <f t="shared" si="28"/>
        <v>118877.955</v>
      </c>
      <c r="H23" s="105">
        <f t="shared" si="28"/>
        <v>44365.453000000001</v>
      </c>
      <c r="I23" s="94">
        <f t="shared" si="1"/>
        <v>312265.28999999998</v>
      </c>
      <c r="J23" s="94">
        <f t="shared" si="2"/>
        <v>851125.32799999998</v>
      </c>
      <c r="K23" s="105">
        <f>SUM(K21:K22)</f>
        <v>38553.180999999997</v>
      </c>
      <c r="L23" s="105">
        <f t="shared" ref="L23:O23" si="29">SUM(L21:L22)</f>
        <v>35766.483999999997</v>
      </c>
      <c r="M23" s="105">
        <f t="shared" si="29"/>
        <v>54094.158000000003</v>
      </c>
      <c r="N23" s="94">
        <f t="shared" si="29"/>
        <v>128413.823</v>
      </c>
      <c r="O23" s="94">
        <f t="shared" si="29"/>
        <v>979539.15099999995</v>
      </c>
      <c r="P23" s="105">
        <v>223025.32699999999</v>
      </c>
      <c r="Q23" s="105">
        <v>205239.56099999999</v>
      </c>
      <c r="R23" s="105">
        <v>168414.677</v>
      </c>
      <c r="S23" s="94">
        <f t="shared" si="5"/>
        <v>596679.56499999994</v>
      </c>
      <c r="T23" s="105">
        <f>SUM(T21:T22)</f>
        <v>136396.451</v>
      </c>
      <c r="U23" s="105">
        <f t="shared" ref="U23:X23" si="30">SUM(U21:U22)</f>
        <v>103619.946</v>
      </c>
      <c r="V23" s="105">
        <f t="shared" si="30"/>
        <v>41863.108999999997</v>
      </c>
      <c r="W23" s="94">
        <f t="shared" si="30"/>
        <v>281879.50599999999</v>
      </c>
      <c r="X23" s="94">
        <f t="shared" si="30"/>
        <v>878559.071</v>
      </c>
      <c r="Y23" s="105">
        <f>SUM(Y21:Y22)</f>
        <v>40740.478999999999</v>
      </c>
      <c r="Z23" s="105">
        <f t="shared" ref="Z23:AC23" si="31">SUM(Z21:Z22)</f>
        <v>42017.485999999997</v>
      </c>
      <c r="AA23" s="105">
        <f t="shared" si="31"/>
        <v>76364.803</v>
      </c>
      <c r="AB23" s="94">
        <f t="shared" si="31"/>
        <v>159122.76800000001</v>
      </c>
      <c r="AC23" s="94">
        <f t="shared" si="31"/>
        <v>1037681.839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x14ac:dyDescent="0.25">
      <c r="A24" s="109"/>
      <c r="B24" s="112"/>
      <c r="C24" s="110"/>
      <c r="D24" s="110"/>
      <c r="E24" s="111"/>
      <c r="J24" s="110"/>
      <c r="O24" s="110"/>
      <c r="P24" s="238"/>
      <c r="Q24" s="238"/>
      <c r="R24" s="238"/>
      <c r="S24" s="238"/>
      <c r="T24" s="238"/>
      <c r="U24" s="130"/>
      <c r="V24" s="130"/>
      <c r="W24" s="130"/>
      <c r="X24" s="99"/>
      <c r="Y24" s="238"/>
      <c r="Z24" s="238"/>
      <c r="AA24" s="238"/>
      <c r="AB24" s="238"/>
      <c r="AC24" s="99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 ht="15.75" x14ac:dyDescent="0.25">
      <c r="A25" s="113" t="s">
        <v>42</v>
      </c>
      <c r="B25" s="114">
        <v>275330</v>
      </c>
      <c r="C25" s="114">
        <v>220896.00000000003</v>
      </c>
      <c r="D25" s="114">
        <v>237335</v>
      </c>
      <c r="E25" s="117">
        <f>SUM(B25:D25)</f>
        <v>733561</v>
      </c>
      <c r="F25" s="116">
        <v>216676.00000000003</v>
      </c>
      <c r="G25" s="114">
        <v>175072</v>
      </c>
      <c r="H25" s="114">
        <v>34639</v>
      </c>
      <c r="I25" s="115">
        <f t="shared" si="1"/>
        <v>426387</v>
      </c>
      <c r="J25" s="117">
        <f t="shared" si="2"/>
        <v>1159948</v>
      </c>
      <c r="K25" s="116">
        <v>31668</v>
      </c>
      <c r="L25" s="114">
        <v>31338</v>
      </c>
      <c r="M25" s="114">
        <v>79862</v>
      </c>
      <c r="N25" s="115">
        <f>SUM(K25:M25)</f>
        <v>142868</v>
      </c>
      <c r="O25" s="117">
        <f>N25+J25</f>
        <v>1302816</v>
      </c>
      <c r="P25" s="114">
        <v>312825</v>
      </c>
      <c r="Q25" s="114">
        <v>263404</v>
      </c>
      <c r="R25" s="114">
        <v>226498</v>
      </c>
      <c r="S25" s="114">
        <v>802727</v>
      </c>
      <c r="T25" s="114">
        <v>190762</v>
      </c>
      <c r="U25" s="114">
        <v>140274</v>
      </c>
      <c r="V25" s="114">
        <v>34781</v>
      </c>
      <c r="W25" s="114">
        <f>SUM(T25:V25)</f>
        <v>365817</v>
      </c>
      <c r="X25" s="114">
        <f>W25+S25</f>
        <v>1168544</v>
      </c>
      <c r="Y25" s="114">
        <v>28695</v>
      </c>
      <c r="Z25" s="114">
        <v>33235</v>
      </c>
      <c r="AA25" s="114">
        <v>127863</v>
      </c>
      <c r="AB25" s="114">
        <f>SUM(Y25:AA25)</f>
        <v>189793</v>
      </c>
      <c r="AC25" s="114">
        <f t="shared" ref="AC25" si="32">SUM(AB25,X25)</f>
        <v>1358337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15.75" thickBot="1" x14ac:dyDescent="0.3">
      <c r="A26" s="118"/>
      <c r="B26" s="121"/>
      <c r="C26" s="119"/>
      <c r="D26" s="119"/>
      <c r="E26" s="120"/>
      <c r="J26" s="119"/>
      <c r="O26" s="119"/>
      <c r="P26" s="119"/>
      <c r="Q26" s="119"/>
      <c r="R26" s="119"/>
      <c r="S26" s="119"/>
      <c r="T26" s="119"/>
      <c r="U26" s="119"/>
      <c r="V26" s="130"/>
      <c r="W26" s="130"/>
      <c r="X26" s="119"/>
      <c r="Y26" s="119"/>
      <c r="Z26" s="119"/>
      <c r="AA26" s="119"/>
      <c r="AB26" s="119"/>
      <c r="AC26" s="119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ht="16.5" thickBot="1" x14ac:dyDescent="0.3">
      <c r="A27" s="122" t="s">
        <v>43</v>
      </c>
      <c r="B27" s="123">
        <f t="shared" ref="B27:D27" si="33">SUM(B14+B19+B23)</f>
        <v>3174739.878</v>
      </c>
      <c r="C27" s="123">
        <f t="shared" si="33"/>
        <v>3129001.3630000004</v>
      </c>
      <c r="D27" s="123">
        <f t="shared" si="33"/>
        <v>2726836.588</v>
      </c>
      <c r="E27" s="94">
        <f>SUM(E14+E19+E23)</f>
        <v>9030577.8290000018</v>
      </c>
      <c r="F27" s="123">
        <f t="shared" ref="F27:H27" si="34">SUM(F14+F19+F23)</f>
        <v>2275555.9550000005</v>
      </c>
      <c r="G27" s="123">
        <f t="shared" si="34"/>
        <v>1539377.7150000001</v>
      </c>
      <c r="H27" s="123">
        <f t="shared" si="34"/>
        <v>532599.57799999998</v>
      </c>
      <c r="I27" s="94">
        <f t="shared" si="1"/>
        <v>4347533.2480000006</v>
      </c>
      <c r="J27" s="94">
        <f t="shared" si="2"/>
        <v>13378111.077000003</v>
      </c>
      <c r="K27" s="123">
        <f>K14+K19+K23</f>
        <v>446088.58799999999</v>
      </c>
      <c r="L27" s="123">
        <f>L14+L19+L23</f>
        <v>550347.52899999998</v>
      </c>
      <c r="M27" s="123">
        <f t="shared" ref="M27:O27" si="35">M14+M19+M23</f>
        <v>734262.81900000002</v>
      </c>
      <c r="N27" s="94">
        <f t="shared" si="35"/>
        <v>1730698.936</v>
      </c>
      <c r="O27" s="94">
        <f t="shared" si="35"/>
        <v>15108810.013</v>
      </c>
      <c r="P27" s="123">
        <f>P14+P19+P23</f>
        <v>3850629.0090000001</v>
      </c>
      <c r="Q27" s="123">
        <f>Q14+Q19+Q23</f>
        <v>3601597.8689999999</v>
      </c>
      <c r="R27" s="123">
        <f>R14+R19+R23</f>
        <v>2601360.182</v>
      </c>
      <c r="S27" s="94">
        <f t="shared" si="5"/>
        <v>10053587.060000001</v>
      </c>
      <c r="T27" s="123">
        <f>T14+T19+T23</f>
        <v>2200447.4040000001</v>
      </c>
      <c r="U27" s="123">
        <f t="shared" ref="U27:AB27" si="36">U14+U19+U23</f>
        <v>1179265.534</v>
      </c>
      <c r="V27" s="123">
        <f t="shared" si="36"/>
        <v>581338.15399999986</v>
      </c>
      <c r="W27" s="94">
        <f t="shared" si="36"/>
        <v>3961051.0920000002</v>
      </c>
      <c r="X27" s="94">
        <f t="shared" si="36"/>
        <v>14014638.152000001</v>
      </c>
      <c r="Y27" s="123">
        <f t="shared" si="36"/>
        <v>474166.52399999998</v>
      </c>
      <c r="Z27" s="123">
        <f t="shared" si="36"/>
        <v>610355.53099999996</v>
      </c>
      <c r="AA27" s="123">
        <f t="shared" si="36"/>
        <v>739469.78899999999</v>
      </c>
      <c r="AB27" s="94">
        <f t="shared" si="36"/>
        <v>1823991.8439999998</v>
      </c>
      <c r="AC27" s="94">
        <f>AC14+AC19+AC23</f>
        <v>15838629.995999999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 ht="16.5" thickBot="1" x14ac:dyDescent="0.3">
      <c r="A28" s="122" t="s">
        <v>44</v>
      </c>
      <c r="B28" s="123">
        <f t="shared" ref="B28:D28" si="37">SUM(B14+B19+B23+B25)</f>
        <v>3450069.878</v>
      </c>
      <c r="C28" s="123">
        <f t="shared" si="37"/>
        <v>3349897.3630000004</v>
      </c>
      <c r="D28" s="123">
        <f t="shared" si="37"/>
        <v>2964171.588</v>
      </c>
      <c r="E28" s="94">
        <f>SUM(E14+E19+E23+E25)</f>
        <v>9764138.8290000018</v>
      </c>
      <c r="F28" s="123">
        <f t="shared" ref="F28:H28" si="38">SUM(F14+F19+F23+F25)</f>
        <v>2492231.9550000005</v>
      </c>
      <c r="G28" s="123">
        <f t="shared" si="38"/>
        <v>1714449.7150000001</v>
      </c>
      <c r="H28" s="123">
        <f t="shared" si="38"/>
        <v>567238.57799999998</v>
      </c>
      <c r="I28" s="124">
        <f t="shared" si="1"/>
        <v>4773920.2480000006</v>
      </c>
      <c r="J28" s="94">
        <f t="shared" si="2"/>
        <v>14538059.077000003</v>
      </c>
      <c r="K28" s="123">
        <f>K25+K27</f>
        <v>477756.58799999999</v>
      </c>
      <c r="L28" s="123">
        <f t="shared" ref="L28:O28" si="39">L25+L27</f>
        <v>581685.52899999998</v>
      </c>
      <c r="M28" s="123">
        <f t="shared" si="39"/>
        <v>814124.81900000002</v>
      </c>
      <c r="N28" s="124">
        <f t="shared" si="39"/>
        <v>1873566.936</v>
      </c>
      <c r="O28" s="94">
        <f t="shared" si="39"/>
        <v>16411626.013</v>
      </c>
      <c r="P28" s="123">
        <f>P14+P19+P23+P25</f>
        <v>4163454.0090000001</v>
      </c>
      <c r="Q28" s="123">
        <f t="shared" ref="Q28:S28" si="40">Q14+Q19+Q23+Q25</f>
        <v>3865001.8689999999</v>
      </c>
      <c r="R28" s="123">
        <f t="shared" si="40"/>
        <v>2827858.182</v>
      </c>
      <c r="S28" s="247">
        <f t="shared" si="40"/>
        <v>10856314.060000001</v>
      </c>
      <c r="T28" s="123">
        <f>T14+T19+T23+T25</f>
        <v>2391209.4040000001</v>
      </c>
      <c r="U28" s="123">
        <f t="shared" ref="U28:AB28" si="41">U14+U19+U23+U25</f>
        <v>1319539.534</v>
      </c>
      <c r="V28" s="123">
        <f t="shared" si="41"/>
        <v>616119.15399999986</v>
      </c>
      <c r="W28" s="247">
        <f t="shared" si="41"/>
        <v>4326868.0920000002</v>
      </c>
      <c r="X28" s="94">
        <f t="shared" si="41"/>
        <v>15183182.152000001</v>
      </c>
      <c r="Y28" s="123">
        <f t="shared" si="41"/>
        <v>502861.52399999998</v>
      </c>
      <c r="Z28" s="123">
        <f t="shared" si="41"/>
        <v>643590.53099999996</v>
      </c>
      <c r="AA28" s="123">
        <f t="shared" si="41"/>
        <v>867332.78899999999</v>
      </c>
      <c r="AB28" s="247">
        <f t="shared" si="41"/>
        <v>2013784.8439999998</v>
      </c>
      <c r="AC28" s="94">
        <f>AC14+AC19+AC23+AC25</f>
        <v>17196966.995999999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5" x14ac:dyDescent="0.25"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1" spans="1:55" x14ac:dyDescent="0.25"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</row>
  </sheetData>
  <mergeCells count="3">
    <mergeCell ref="A2:A3"/>
    <mergeCell ref="B2:O2"/>
    <mergeCell ref="P2:AC2"/>
  </mergeCells>
  <pageMargins left="0.25" right="0.25" top="0.75" bottom="0.75" header="0.3" footer="0.3"/>
  <pageSetup paperSize="9" scale="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7"/>
  <sheetViews>
    <sheetView showGridLines="0" zoomScale="85" workbookViewId="0">
      <pane xSplit="1" ySplit="4" topLeftCell="B5" activePane="bottomRight" state="frozen"/>
      <selection activeCell="Z3" sqref="Z3:AC23"/>
      <selection pane="topRight"/>
      <selection pane="bottomLeft"/>
      <selection pane="bottomRight" activeCell="L2" sqref="L2:U2"/>
    </sheetView>
  </sheetViews>
  <sheetFormatPr defaultRowHeight="15" x14ac:dyDescent="0.25"/>
  <cols>
    <col min="1" max="1" width="48.7109375" customWidth="1"/>
    <col min="2" max="3" width="11.7109375" style="74" customWidth="1"/>
    <col min="4" max="4" width="11.140625" style="74" customWidth="1"/>
    <col min="5" max="39" width="11.7109375" style="74" customWidth="1"/>
    <col min="40" max="40" width="9.140625" style="74"/>
    <col min="41" max="41" width="10.85546875" style="74" customWidth="1"/>
    <col min="90" max="90" width="9.28515625" bestFit="1"/>
    <col min="91" max="91" width="9.85546875" bestFit="1"/>
    <col min="199" max="199" width="38.7109375" bestFit="1" customWidth="1"/>
    <col min="200" max="226" width="11.7109375" customWidth="1"/>
    <col min="227" max="228" width="12.7109375" customWidth="1"/>
    <col min="229" max="230" width="12.42578125" customWidth="1"/>
    <col min="231" max="232" width="12.7109375" customWidth="1"/>
    <col min="233" max="234" width="12.42578125" customWidth="1"/>
    <col min="455" max="455" width="38.7109375" bestFit="1" customWidth="1"/>
    <col min="456" max="482" width="11.7109375" customWidth="1"/>
    <col min="483" max="484" width="12.7109375" customWidth="1"/>
    <col min="485" max="486" width="12.42578125" customWidth="1"/>
    <col min="487" max="488" width="12.7109375" customWidth="1"/>
    <col min="489" max="490" width="12.42578125" customWidth="1"/>
    <col min="711" max="711" width="38.7109375" bestFit="1" customWidth="1"/>
    <col min="712" max="738" width="11.7109375" customWidth="1"/>
    <col min="739" max="740" width="12.7109375" customWidth="1"/>
    <col min="741" max="742" width="12.42578125" customWidth="1"/>
    <col min="743" max="744" width="12.7109375" customWidth="1"/>
    <col min="745" max="746" width="12.42578125" customWidth="1"/>
    <col min="967" max="967" width="38.7109375" bestFit="1" customWidth="1"/>
    <col min="968" max="994" width="11.7109375" customWidth="1"/>
    <col min="995" max="996" width="12.7109375" customWidth="1"/>
    <col min="997" max="998" width="12.42578125" customWidth="1"/>
    <col min="999" max="1000" width="12.7109375" customWidth="1"/>
    <col min="1001" max="1002" width="12.42578125" customWidth="1"/>
    <col min="1223" max="1223" width="38.7109375" bestFit="1" customWidth="1"/>
    <col min="1224" max="1250" width="11.7109375" customWidth="1"/>
    <col min="1251" max="1252" width="12.7109375" customWidth="1"/>
    <col min="1253" max="1254" width="12.42578125" customWidth="1"/>
    <col min="1255" max="1256" width="12.7109375" customWidth="1"/>
    <col min="1257" max="1258" width="12.42578125" customWidth="1"/>
    <col min="1479" max="1479" width="38.7109375" bestFit="1" customWidth="1"/>
    <col min="1480" max="1506" width="11.7109375" customWidth="1"/>
    <col min="1507" max="1508" width="12.7109375" customWidth="1"/>
    <col min="1509" max="1510" width="12.42578125" customWidth="1"/>
    <col min="1511" max="1512" width="12.7109375" customWidth="1"/>
    <col min="1513" max="1514" width="12.42578125" customWidth="1"/>
    <col min="1735" max="1735" width="38.7109375" bestFit="1" customWidth="1"/>
    <col min="1736" max="1762" width="11.7109375" customWidth="1"/>
    <col min="1763" max="1764" width="12.7109375" customWidth="1"/>
    <col min="1765" max="1766" width="12.42578125" customWidth="1"/>
    <col min="1767" max="1768" width="12.7109375" customWidth="1"/>
    <col min="1769" max="1770" width="12.42578125" customWidth="1"/>
    <col min="1991" max="1991" width="38.7109375" bestFit="1" customWidth="1"/>
    <col min="1992" max="2018" width="11.7109375" customWidth="1"/>
    <col min="2019" max="2020" width="12.7109375" customWidth="1"/>
    <col min="2021" max="2022" width="12.42578125" customWidth="1"/>
    <col min="2023" max="2024" width="12.7109375" customWidth="1"/>
    <col min="2025" max="2026" width="12.42578125" customWidth="1"/>
    <col min="2247" max="2247" width="38.7109375" bestFit="1" customWidth="1"/>
    <col min="2248" max="2274" width="11.7109375" customWidth="1"/>
    <col min="2275" max="2276" width="12.7109375" customWidth="1"/>
    <col min="2277" max="2278" width="12.42578125" customWidth="1"/>
    <col min="2279" max="2280" width="12.7109375" customWidth="1"/>
    <col min="2281" max="2282" width="12.42578125" customWidth="1"/>
    <col min="2503" max="2503" width="38.7109375" bestFit="1" customWidth="1"/>
    <col min="2504" max="2530" width="11.7109375" customWidth="1"/>
    <col min="2531" max="2532" width="12.7109375" customWidth="1"/>
    <col min="2533" max="2534" width="12.42578125" customWidth="1"/>
    <col min="2535" max="2536" width="12.7109375" customWidth="1"/>
    <col min="2537" max="2538" width="12.42578125" customWidth="1"/>
    <col min="2759" max="2759" width="38.7109375" bestFit="1" customWidth="1"/>
    <col min="2760" max="2786" width="11.7109375" customWidth="1"/>
    <col min="2787" max="2788" width="12.7109375" customWidth="1"/>
    <col min="2789" max="2790" width="12.42578125" customWidth="1"/>
    <col min="2791" max="2792" width="12.7109375" customWidth="1"/>
    <col min="2793" max="2794" width="12.42578125" customWidth="1"/>
    <col min="3015" max="3015" width="38.7109375" bestFit="1" customWidth="1"/>
    <col min="3016" max="3042" width="11.7109375" customWidth="1"/>
    <col min="3043" max="3044" width="12.7109375" customWidth="1"/>
    <col min="3045" max="3046" width="12.42578125" customWidth="1"/>
    <col min="3047" max="3048" width="12.7109375" customWidth="1"/>
    <col min="3049" max="3050" width="12.42578125" customWidth="1"/>
    <col min="3271" max="3271" width="38.7109375" bestFit="1" customWidth="1"/>
    <col min="3272" max="3298" width="11.7109375" customWidth="1"/>
    <col min="3299" max="3300" width="12.7109375" customWidth="1"/>
    <col min="3301" max="3302" width="12.42578125" customWidth="1"/>
    <col min="3303" max="3304" width="12.7109375" customWidth="1"/>
    <col min="3305" max="3306" width="12.42578125" customWidth="1"/>
    <col min="3527" max="3527" width="38.7109375" bestFit="1" customWidth="1"/>
    <col min="3528" max="3554" width="11.7109375" customWidth="1"/>
    <col min="3555" max="3556" width="12.7109375" customWidth="1"/>
    <col min="3557" max="3558" width="12.42578125" customWidth="1"/>
    <col min="3559" max="3560" width="12.7109375" customWidth="1"/>
    <col min="3561" max="3562" width="12.42578125" customWidth="1"/>
    <col min="3783" max="3783" width="38.7109375" bestFit="1" customWidth="1"/>
    <col min="3784" max="3810" width="11.7109375" customWidth="1"/>
    <col min="3811" max="3812" width="12.7109375" customWidth="1"/>
    <col min="3813" max="3814" width="12.42578125" customWidth="1"/>
    <col min="3815" max="3816" width="12.7109375" customWidth="1"/>
    <col min="3817" max="3818" width="12.42578125" customWidth="1"/>
    <col min="4039" max="4039" width="38.7109375" bestFit="1" customWidth="1"/>
    <col min="4040" max="4066" width="11.7109375" customWidth="1"/>
    <col min="4067" max="4068" width="12.7109375" customWidth="1"/>
    <col min="4069" max="4070" width="12.42578125" customWidth="1"/>
    <col min="4071" max="4072" width="12.7109375" customWidth="1"/>
    <col min="4073" max="4074" width="12.42578125" customWidth="1"/>
    <col min="4295" max="4295" width="38.7109375" bestFit="1" customWidth="1"/>
    <col min="4296" max="4322" width="11.7109375" customWidth="1"/>
    <col min="4323" max="4324" width="12.7109375" customWidth="1"/>
    <col min="4325" max="4326" width="12.42578125" customWidth="1"/>
    <col min="4327" max="4328" width="12.7109375" customWidth="1"/>
    <col min="4329" max="4330" width="12.42578125" customWidth="1"/>
    <col min="4551" max="4551" width="38.7109375" bestFit="1" customWidth="1"/>
    <col min="4552" max="4578" width="11.7109375" customWidth="1"/>
    <col min="4579" max="4580" width="12.7109375" customWidth="1"/>
    <col min="4581" max="4582" width="12.42578125" customWidth="1"/>
    <col min="4583" max="4584" width="12.7109375" customWidth="1"/>
    <col min="4585" max="4586" width="12.42578125" customWidth="1"/>
    <col min="4807" max="4807" width="38.7109375" bestFit="1" customWidth="1"/>
    <col min="4808" max="4834" width="11.7109375" customWidth="1"/>
    <col min="4835" max="4836" width="12.7109375" customWidth="1"/>
    <col min="4837" max="4838" width="12.42578125" customWidth="1"/>
    <col min="4839" max="4840" width="12.7109375" customWidth="1"/>
    <col min="4841" max="4842" width="12.42578125" customWidth="1"/>
    <col min="5063" max="5063" width="38.7109375" bestFit="1" customWidth="1"/>
    <col min="5064" max="5090" width="11.7109375" customWidth="1"/>
    <col min="5091" max="5092" width="12.7109375" customWidth="1"/>
    <col min="5093" max="5094" width="12.42578125" customWidth="1"/>
    <col min="5095" max="5096" width="12.7109375" customWidth="1"/>
    <col min="5097" max="5098" width="12.42578125" customWidth="1"/>
    <col min="5319" max="5319" width="38.7109375" bestFit="1" customWidth="1"/>
    <col min="5320" max="5346" width="11.7109375" customWidth="1"/>
    <col min="5347" max="5348" width="12.7109375" customWidth="1"/>
    <col min="5349" max="5350" width="12.42578125" customWidth="1"/>
    <col min="5351" max="5352" width="12.7109375" customWidth="1"/>
    <col min="5353" max="5354" width="12.42578125" customWidth="1"/>
    <col min="5575" max="5575" width="38.7109375" bestFit="1" customWidth="1"/>
    <col min="5576" max="5602" width="11.7109375" customWidth="1"/>
    <col min="5603" max="5604" width="12.7109375" customWidth="1"/>
    <col min="5605" max="5606" width="12.42578125" customWidth="1"/>
    <col min="5607" max="5608" width="12.7109375" customWidth="1"/>
    <col min="5609" max="5610" width="12.42578125" customWidth="1"/>
    <col min="5831" max="5831" width="38.7109375" bestFit="1" customWidth="1"/>
    <col min="5832" max="5858" width="11.7109375" customWidth="1"/>
    <col min="5859" max="5860" width="12.7109375" customWidth="1"/>
    <col min="5861" max="5862" width="12.42578125" customWidth="1"/>
    <col min="5863" max="5864" width="12.7109375" customWidth="1"/>
    <col min="5865" max="5866" width="12.42578125" customWidth="1"/>
    <col min="6087" max="6087" width="38.7109375" bestFit="1" customWidth="1"/>
    <col min="6088" max="6114" width="11.7109375" customWidth="1"/>
    <col min="6115" max="6116" width="12.7109375" customWidth="1"/>
    <col min="6117" max="6118" width="12.42578125" customWidth="1"/>
    <col min="6119" max="6120" width="12.7109375" customWidth="1"/>
    <col min="6121" max="6122" width="12.42578125" customWidth="1"/>
    <col min="6343" max="6343" width="38.7109375" bestFit="1" customWidth="1"/>
    <col min="6344" max="6370" width="11.7109375" customWidth="1"/>
    <col min="6371" max="6372" width="12.7109375" customWidth="1"/>
    <col min="6373" max="6374" width="12.42578125" customWidth="1"/>
    <col min="6375" max="6376" width="12.7109375" customWidth="1"/>
    <col min="6377" max="6378" width="12.42578125" customWidth="1"/>
    <col min="6599" max="6599" width="38.7109375" bestFit="1" customWidth="1"/>
    <col min="6600" max="6626" width="11.7109375" customWidth="1"/>
    <col min="6627" max="6628" width="12.7109375" customWidth="1"/>
    <col min="6629" max="6630" width="12.42578125" customWidth="1"/>
    <col min="6631" max="6632" width="12.7109375" customWidth="1"/>
    <col min="6633" max="6634" width="12.42578125" customWidth="1"/>
    <col min="6855" max="6855" width="38.7109375" bestFit="1" customWidth="1"/>
    <col min="6856" max="6882" width="11.7109375" customWidth="1"/>
    <col min="6883" max="6884" width="12.7109375" customWidth="1"/>
    <col min="6885" max="6886" width="12.42578125" customWidth="1"/>
    <col min="6887" max="6888" width="12.7109375" customWidth="1"/>
    <col min="6889" max="6890" width="12.42578125" customWidth="1"/>
    <col min="7111" max="7111" width="38.7109375" bestFit="1" customWidth="1"/>
    <col min="7112" max="7138" width="11.7109375" customWidth="1"/>
    <col min="7139" max="7140" width="12.7109375" customWidth="1"/>
    <col min="7141" max="7142" width="12.42578125" customWidth="1"/>
    <col min="7143" max="7144" width="12.7109375" customWidth="1"/>
    <col min="7145" max="7146" width="12.42578125" customWidth="1"/>
    <col min="7367" max="7367" width="38.7109375" bestFit="1" customWidth="1"/>
    <col min="7368" max="7394" width="11.7109375" customWidth="1"/>
    <col min="7395" max="7396" width="12.7109375" customWidth="1"/>
    <col min="7397" max="7398" width="12.42578125" customWidth="1"/>
    <col min="7399" max="7400" width="12.7109375" customWidth="1"/>
    <col min="7401" max="7402" width="12.42578125" customWidth="1"/>
    <col min="7623" max="7623" width="38.7109375" bestFit="1" customWidth="1"/>
    <col min="7624" max="7650" width="11.7109375" customWidth="1"/>
    <col min="7651" max="7652" width="12.7109375" customWidth="1"/>
    <col min="7653" max="7654" width="12.42578125" customWidth="1"/>
    <col min="7655" max="7656" width="12.7109375" customWidth="1"/>
    <col min="7657" max="7658" width="12.42578125" customWidth="1"/>
    <col min="7879" max="7879" width="38.7109375" bestFit="1" customWidth="1"/>
    <col min="7880" max="7906" width="11.7109375" customWidth="1"/>
    <col min="7907" max="7908" width="12.7109375" customWidth="1"/>
    <col min="7909" max="7910" width="12.42578125" customWidth="1"/>
    <col min="7911" max="7912" width="12.7109375" customWidth="1"/>
    <col min="7913" max="7914" width="12.42578125" customWidth="1"/>
    <col min="8135" max="8135" width="38.7109375" bestFit="1" customWidth="1"/>
    <col min="8136" max="8162" width="11.7109375" customWidth="1"/>
    <col min="8163" max="8164" width="12.7109375" customWidth="1"/>
    <col min="8165" max="8166" width="12.42578125" customWidth="1"/>
    <col min="8167" max="8168" width="12.7109375" customWidth="1"/>
    <col min="8169" max="8170" width="12.42578125" customWidth="1"/>
    <col min="8391" max="8391" width="38.7109375" bestFit="1" customWidth="1"/>
    <col min="8392" max="8418" width="11.7109375" customWidth="1"/>
    <col min="8419" max="8420" width="12.7109375" customWidth="1"/>
    <col min="8421" max="8422" width="12.42578125" customWidth="1"/>
    <col min="8423" max="8424" width="12.7109375" customWidth="1"/>
    <col min="8425" max="8426" width="12.42578125" customWidth="1"/>
    <col min="8647" max="8647" width="38.7109375" bestFit="1" customWidth="1"/>
    <col min="8648" max="8674" width="11.7109375" customWidth="1"/>
    <col min="8675" max="8676" width="12.7109375" customWidth="1"/>
    <col min="8677" max="8678" width="12.42578125" customWidth="1"/>
    <col min="8679" max="8680" width="12.7109375" customWidth="1"/>
    <col min="8681" max="8682" width="12.42578125" customWidth="1"/>
    <col min="8903" max="8903" width="38.7109375" bestFit="1" customWidth="1"/>
    <col min="8904" max="8930" width="11.7109375" customWidth="1"/>
    <col min="8931" max="8932" width="12.7109375" customWidth="1"/>
    <col min="8933" max="8934" width="12.42578125" customWidth="1"/>
    <col min="8935" max="8936" width="12.7109375" customWidth="1"/>
    <col min="8937" max="8938" width="12.42578125" customWidth="1"/>
    <col min="9159" max="9159" width="38.7109375" bestFit="1" customWidth="1"/>
    <col min="9160" max="9186" width="11.7109375" customWidth="1"/>
    <col min="9187" max="9188" width="12.7109375" customWidth="1"/>
    <col min="9189" max="9190" width="12.42578125" customWidth="1"/>
    <col min="9191" max="9192" width="12.7109375" customWidth="1"/>
    <col min="9193" max="9194" width="12.42578125" customWidth="1"/>
    <col min="9415" max="9415" width="38.7109375" bestFit="1" customWidth="1"/>
    <col min="9416" max="9442" width="11.7109375" customWidth="1"/>
    <col min="9443" max="9444" width="12.7109375" customWidth="1"/>
    <col min="9445" max="9446" width="12.42578125" customWidth="1"/>
    <col min="9447" max="9448" width="12.7109375" customWidth="1"/>
    <col min="9449" max="9450" width="12.42578125" customWidth="1"/>
    <col min="9671" max="9671" width="38.7109375" bestFit="1" customWidth="1"/>
    <col min="9672" max="9698" width="11.7109375" customWidth="1"/>
    <col min="9699" max="9700" width="12.7109375" customWidth="1"/>
    <col min="9701" max="9702" width="12.42578125" customWidth="1"/>
    <col min="9703" max="9704" width="12.7109375" customWidth="1"/>
    <col min="9705" max="9706" width="12.42578125" customWidth="1"/>
    <col min="9927" max="9927" width="38.7109375" bestFit="1" customWidth="1"/>
    <col min="9928" max="9954" width="11.7109375" customWidth="1"/>
    <col min="9955" max="9956" width="12.7109375" customWidth="1"/>
    <col min="9957" max="9958" width="12.42578125" customWidth="1"/>
    <col min="9959" max="9960" width="12.7109375" customWidth="1"/>
    <col min="9961" max="9962" width="12.42578125" customWidth="1"/>
    <col min="10183" max="10183" width="38.7109375" bestFit="1" customWidth="1"/>
    <col min="10184" max="10210" width="11.7109375" customWidth="1"/>
    <col min="10211" max="10212" width="12.7109375" customWidth="1"/>
    <col min="10213" max="10214" width="12.42578125" customWidth="1"/>
    <col min="10215" max="10216" width="12.7109375" customWidth="1"/>
    <col min="10217" max="10218" width="12.42578125" customWidth="1"/>
    <col min="10439" max="10439" width="38.7109375" bestFit="1" customWidth="1"/>
    <col min="10440" max="10466" width="11.7109375" customWidth="1"/>
    <col min="10467" max="10468" width="12.7109375" customWidth="1"/>
    <col min="10469" max="10470" width="12.42578125" customWidth="1"/>
    <col min="10471" max="10472" width="12.7109375" customWidth="1"/>
    <col min="10473" max="10474" width="12.42578125" customWidth="1"/>
    <col min="10695" max="10695" width="38.7109375" bestFit="1" customWidth="1"/>
    <col min="10696" max="10722" width="11.7109375" customWidth="1"/>
    <col min="10723" max="10724" width="12.7109375" customWidth="1"/>
    <col min="10725" max="10726" width="12.42578125" customWidth="1"/>
    <col min="10727" max="10728" width="12.7109375" customWidth="1"/>
    <col min="10729" max="10730" width="12.42578125" customWidth="1"/>
    <col min="10951" max="10951" width="38.7109375" bestFit="1" customWidth="1"/>
    <col min="10952" max="10978" width="11.7109375" customWidth="1"/>
    <col min="10979" max="10980" width="12.7109375" customWidth="1"/>
    <col min="10981" max="10982" width="12.42578125" customWidth="1"/>
    <col min="10983" max="10984" width="12.7109375" customWidth="1"/>
    <col min="10985" max="10986" width="12.42578125" customWidth="1"/>
    <col min="11207" max="11207" width="38.7109375" bestFit="1" customWidth="1"/>
    <col min="11208" max="11234" width="11.7109375" customWidth="1"/>
    <col min="11235" max="11236" width="12.7109375" customWidth="1"/>
    <col min="11237" max="11238" width="12.42578125" customWidth="1"/>
    <col min="11239" max="11240" width="12.7109375" customWidth="1"/>
    <col min="11241" max="11242" width="12.42578125" customWidth="1"/>
    <col min="11463" max="11463" width="38.7109375" bestFit="1" customWidth="1"/>
    <col min="11464" max="11490" width="11.7109375" customWidth="1"/>
    <col min="11491" max="11492" width="12.7109375" customWidth="1"/>
    <col min="11493" max="11494" width="12.42578125" customWidth="1"/>
    <col min="11495" max="11496" width="12.7109375" customWidth="1"/>
    <col min="11497" max="11498" width="12.42578125" customWidth="1"/>
    <col min="11719" max="11719" width="38.7109375" bestFit="1" customWidth="1"/>
    <col min="11720" max="11746" width="11.7109375" customWidth="1"/>
    <col min="11747" max="11748" width="12.7109375" customWidth="1"/>
    <col min="11749" max="11750" width="12.42578125" customWidth="1"/>
    <col min="11751" max="11752" width="12.7109375" customWidth="1"/>
    <col min="11753" max="11754" width="12.42578125" customWidth="1"/>
    <col min="11975" max="11975" width="38.7109375" bestFit="1" customWidth="1"/>
    <col min="11976" max="12002" width="11.7109375" customWidth="1"/>
    <col min="12003" max="12004" width="12.7109375" customWidth="1"/>
    <col min="12005" max="12006" width="12.42578125" customWidth="1"/>
    <col min="12007" max="12008" width="12.7109375" customWidth="1"/>
    <col min="12009" max="12010" width="12.42578125" customWidth="1"/>
    <col min="12231" max="12231" width="38.7109375" bestFit="1" customWidth="1"/>
    <col min="12232" max="12258" width="11.7109375" customWidth="1"/>
    <col min="12259" max="12260" width="12.7109375" customWidth="1"/>
    <col min="12261" max="12262" width="12.42578125" customWidth="1"/>
    <col min="12263" max="12264" width="12.7109375" customWidth="1"/>
    <col min="12265" max="12266" width="12.42578125" customWidth="1"/>
    <col min="12487" max="12487" width="38.7109375" bestFit="1" customWidth="1"/>
    <col min="12488" max="12514" width="11.7109375" customWidth="1"/>
    <col min="12515" max="12516" width="12.7109375" customWidth="1"/>
    <col min="12517" max="12518" width="12.42578125" customWidth="1"/>
    <col min="12519" max="12520" width="12.7109375" customWidth="1"/>
    <col min="12521" max="12522" width="12.42578125" customWidth="1"/>
    <col min="12743" max="12743" width="38.7109375" bestFit="1" customWidth="1"/>
    <col min="12744" max="12770" width="11.7109375" customWidth="1"/>
    <col min="12771" max="12772" width="12.7109375" customWidth="1"/>
    <col min="12773" max="12774" width="12.42578125" customWidth="1"/>
    <col min="12775" max="12776" width="12.7109375" customWidth="1"/>
    <col min="12777" max="12778" width="12.42578125" customWidth="1"/>
    <col min="12999" max="12999" width="38.7109375" bestFit="1" customWidth="1"/>
    <col min="13000" max="13026" width="11.7109375" customWidth="1"/>
    <col min="13027" max="13028" width="12.7109375" customWidth="1"/>
    <col min="13029" max="13030" width="12.42578125" customWidth="1"/>
    <col min="13031" max="13032" width="12.7109375" customWidth="1"/>
    <col min="13033" max="13034" width="12.42578125" customWidth="1"/>
    <col min="13255" max="13255" width="38.7109375" bestFit="1" customWidth="1"/>
    <col min="13256" max="13282" width="11.7109375" customWidth="1"/>
    <col min="13283" max="13284" width="12.7109375" customWidth="1"/>
    <col min="13285" max="13286" width="12.42578125" customWidth="1"/>
    <col min="13287" max="13288" width="12.7109375" customWidth="1"/>
    <col min="13289" max="13290" width="12.42578125" customWidth="1"/>
    <col min="13511" max="13511" width="38.7109375" bestFit="1" customWidth="1"/>
    <col min="13512" max="13538" width="11.7109375" customWidth="1"/>
    <col min="13539" max="13540" width="12.7109375" customWidth="1"/>
    <col min="13541" max="13542" width="12.42578125" customWidth="1"/>
    <col min="13543" max="13544" width="12.7109375" customWidth="1"/>
    <col min="13545" max="13546" width="12.42578125" customWidth="1"/>
    <col min="13767" max="13767" width="38.7109375" bestFit="1" customWidth="1"/>
    <col min="13768" max="13794" width="11.7109375" customWidth="1"/>
    <col min="13795" max="13796" width="12.7109375" customWidth="1"/>
    <col min="13797" max="13798" width="12.42578125" customWidth="1"/>
    <col min="13799" max="13800" width="12.7109375" customWidth="1"/>
    <col min="13801" max="13802" width="12.42578125" customWidth="1"/>
    <col min="14023" max="14023" width="38.7109375" bestFit="1" customWidth="1"/>
    <col min="14024" max="14050" width="11.7109375" customWidth="1"/>
    <col min="14051" max="14052" width="12.7109375" customWidth="1"/>
    <col min="14053" max="14054" width="12.42578125" customWidth="1"/>
    <col min="14055" max="14056" width="12.7109375" customWidth="1"/>
    <col min="14057" max="14058" width="12.42578125" customWidth="1"/>
    <col min="14279" max="14279" width="38.7109375" bestFit="1" customWidth="1"/>
    <col min="14280" max="14306" width="11.7109375" customWidth="1"/>
    <col min="14307" max="14308" width="12.7109375" customWidth="1"/>
    <col min="14309" max="14310" width="12.42578125" customWidth="1"/>
    <col min="14311" max="14312" width="12.7109375" customWidth="1"/>
    <col min="14313" max="14314" width="12.42578125" customWidth="1"/>
    <col min="14535" max="14535" width="38.7109375" bestFit="1" customWidth="1"/>
    <col min="14536" max="14562" width="11.7109375" customWidth="1"/>
    <col min="14563" max="14564" width="12.7109375" customWidth="1"/>
    <col min="14565" max="14566" width="12.42578125" customWidth="1"/>
    <col min="14567" max="14568" width="12.7109375" customWidth="1"/>
    <col min="14569" max="14570" width="12.42578125" customWidth="1"/>
    <col min="14791" max="14791" width="38.7109375" bestFit="1" customWidth="1"/>
    <col min="14792" max="14818" width="11.7109375" customWidth="1"/>
    <col min="14819" max="14820" width="12.7109375" customWidth="1"/>
    <col min="14821" max="14822" width="12.42578125" customWidth="1"/>
    <col min="14823" max="14824" width="12.7109375" customWidth="1"/>
    <col min="14825" max="14826" width="12.42578125" customWidth="1"/>
    <col min="15047" max="15047" width="38.7109375" bestFit="1" customWidth="1"/>
    <col min="15048" max="15074" width="11.7109375" customWidth="1"/>
    <col min="15075" max="15076" width="12.7109375" customWidth="1"/>
    <col min="15077" max="15078" width="12.42578125" customWidth="1"/>
    <col min="15079" max="15080" width="12.7109375" customWidth="1"/>
    <col min="15081" max="15082" width="12.42578125" customWidth="1"/>
    <col min="15303" max="15303" width="38.7109375" bestFit="1" customWidth="1"/>
    <col min="15304" max="15330" width="11.7109375" customWidth="1"/>
    <col min="15331" max="15332" width="12.7109375" customWidth="1"/>
    <col min="15333" max="15334" width="12.42578125" customWidth="1"/>
    <col min="15335" max="15336" width="12.7109375" customWidth="1"/>
    <col min="15337" max="15338" width="12.42578125" customWidth="1"/>
    <col min="15559" max="15559" width="38.7109375" bestFit="1" customWidth="1"/>
    <col min="15560" max="15586" width="11.7109375" customWidth="1"/>
    <col min="15587" max="15588" width="12.7109375" customWidth="1"/>
    <col min="15589" max="15590" width="12.42578125" customWidth="1"/>
    <col min="15591" max="15592" width="12.7109375" customWidth="1"/>
    <col min="15593" max="15594" width="12.42578125" customWidth="1"/>
    <col min="15815" max="15815" width="38.7109375" bestFit="1" customWidth="1"/>
    <col min="15816" max="15842" width="11.7109375" customWidth="1"/>
    <col min="15843" max="15844" width="12.7109375" customWidth="1"/>
    <col min="15845" max="15846" width="12.42578125" customWidth="1"/>
    <col min="15847" max="15848" width="12.7109375" customWidth="1"/>
    <col min="15849" max="15850" width="12.42578125" customWidth="1"/>
    <col min="16071" max="16071" width="38.7109375" bestFit="1" customWidth="1"/>
    <col min="16072" max="16098" width="11.7109375" customWidth="1"/>
    <col min="16099" max="16100" width="12.7109375" customWidth="1"/>
    <col min="16101" max="16102" width="12.42578125" customWidth="1"/>
    <col min="16103" max="16104" width="12.7109375" customWidth="1"/>
    <col min="16105" max="16106" width="12.42578125" customWidth="1"/>
  </cols>
  <sheetData>
    <row r="1" spans="1:41" ht="25.15" customHeight="1" x14ac:dyDescent="0.25">
      <c r="A1" s="125" t="s">
        <v>51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ht="18.75" x14ac:dyDescent="0.3">
      <c r="A2" s="269"/>
      <c r="B2" s="267">
        <v>2025</v>
      </c>
      <c r="C2" s="268"/>
      <c r="D2" s="268"/>
      <c r="E2" s="268"/>
      <c r="F2" s="268"/>
      <c r="G2" s="268"/>
      <c r="H2" s="268"/>
      <c r="I2" s="268"/>
      <c r="J2" s="268"/>
      <c r="K2" s="268"/>
      <c r="L2" s="268">
        <v>2026</v>
      </c>
      <c r="M2" s="268"/>
      <c r="N2" s="268"/>
      <c r="O2" s="268"/>
      <c r="P2" s="268"/>
      <c r="Q2" s="268"/>
      <c r="R2" s="268"/>
      <c r="S2" s="268"/>
      <c r="T2" s="268"/>
      <c r="U2" s="26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ht="18.75" x14ac:dyDescent="0.3">
      <c r="A3" s="269"/>
      <c r="B3" s="270" t="s">
        <v>3</v>
      </c>
      <c r="C3" s="271"/>
      <c r="D3" s="272" t="s">
        <v>7</v>
      </c>
      <c r="E3" s="273"/>
      <c r="F3" s="273" t="s">
        <v>8</v>
      </c>
      <c r="G3" s="273"/>
      <c r="H3" s="270" t="s">
        <v>12</v>
      </c>
      <c r="I3" s="274"/>
      <c r="J3" s="270" t="s">
        <v>13</v>
      </c>
      <c r="K3" s="274"/>
      <c r="L3" s="270" t="s">
        <v>3</v>
      </c>
      <c r="M3" s="271"/>
      <c r="N3" s="272" t="s">
        <v>7</v>
      </c>
      <c r="O3" s="273"/>
      <c r="P3" s="273" t="s">
        <v>8</v>
      </c>
      <c r="Q3" s="273"/>
      <c r="R3" s="270" t="s">
        <v>12</v>
      </c>
      <c r="S3" s="274"/>
      <c r="T3" s="270" t="s">
        <v>13</v>
      </c>
      <c r="U3" s="27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45" x14ac:dyDescent="0.25">
      <c r="A4" s="269"/>
      <c r="B4" s="126" t="s">
        <v>52</v>
      </c>
      <c r="C4" s="127" t="s">
        <v>53</v>
      </c>
      <c r="D4" s="126" t="s">
        <v>52</v>
      </c>
      <c r="E4" s="127" t="s">
        <v>53</v>
      </c>
      <c r="F4" s="126" t="s">
        <v>52</v>
      </c>
      <c r="G4" s="127" t="s">
        <v>53</v>
      </c>
      <c r="H4" s="126" t="s">
        <v>52</v>
      </c>
      <c r="I4" s="126" t="s">
        <v>53</v>
      </c>
      <c r="J4" s="126" t="s">
        <v>52</v>
      </c>
      <c r="K4" s="126" t="s">
        <v>53</v>
      </c>
      <c r="L4" s="126" t="s">
        <v>52</v>
      </c>
      <c r="M4" s="127" t="s">
        <v>53</v>
      </c>
      <c r="N4" s="126" t="s">
        <v>52</v>
      </c>
      <c r="O4" s="127" t="s">
        <v>53</v>
      </c>
      <c r="P4" s="126" t="s">
        <v>52</v>
      </c>
      <c r="Q4" s="127" t="s">
        <v>53</v>
      </c>
      <c r="R4" s="126" t="s">
        <v>52</v>
      </c>
      <c r="S4" s="126" t="s">
        <v>53</v>
      </c>
      <c r="T4" s="126" t="s">
        <v>52</v>
      </c>
      <c r="U4" s="126" t="s">
        <v>53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8.75" x14ac:dyDescent="0.25">
      <c r="A5" s="128" t="s">
        <v>17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75" x14ac:dyDescent="0.25">
      <c r="A6" s="131" t="s">
        <v>18</v>
      </c>
      <c r="B6" s="132">
        <v>202.22051356246922</v>
      </c>
      <c r="C6" s="133">
        <v>168.44294772279756</v>
      </c>
      <c r="D6" s="132">
        <v>190.83381766765419</v>
      </c>
      <c r="E6" s="133">
        <v>160.76760132574893</v>
      </c>
      <c r="F6" s="132">
        <v>198.44444446396318</v>
      </c>
      <c r="G6" s="133">
        <v>166.02971942025241</v>
      </c>
      <c r="H6" s="132">
        <v>308.19022191298353</v>
      </c>
      <c r="I6" s="133">
        <v>160.56572379367719</v>
      </c>
      <c r="J6" s="132">
        <v>200.48803069415953</v>
      </c>
      <c r="K6" s="133">
        <v>165.60379734521999</v>
      </c>
      <c r="L6" s="132">
        <v>173.8276931291085</v>
      </c>
      <c r="M6" s="133">
        <v>149.0136028607526</v>
      </c>
      <c r="N6" s="132">
        <v>177.92982145333684</v>
      </c>
      <c r="O6" s="133">
        <v>147.04100236416849</v>
      </c>
      <c r="P6" s="132">
        <v>174.54364731848375</v>
      </c>
      <c r="Q6" s="133">
        <v>148.52407007990354</v>
      </c>
      <c r="R6" s="132">
        <v>767.21135036469809</v>
      </c>
      <c r="S6" s="133">
        <v>154.15710695946686</v>
      </c>
      <c r="T6" s="132">
        <v>175.32496246434729</v>
      </c>
      <c r="U6" s="133">
        <v>148.97024563407513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75" x14ac:dyDescent="0.25">
      <c r="A7" s="134" t="s">
        <v>19</v>
      </c>
      <c r="B7" s="135">
        <v>184.12617528483926</v>
      </c>
      <c r="C7" s="136">
        <v>163.91604287731047</v>
      </c>
      <c r="D7" s="135">
        <v>198.16203622851074</v>
      </c>
      <c r="E7" s="136">
        <v>161.37952647469058</v>
      </c>
      <c r="F7" s="135">
        <v>189.85173451504104</v>
      </c>
      <c r="G7" s="136">
        <v>163.1110799831909</v>
      </c>
      <c r="H7" s="135">
        <v>247.939661367003</v>
      </c>
      <c r="I7" s="136">
        <v>162.52415085843538</v>
      </c>
      <c r="J7" s="239">
        <v>200.69684346237142</v>
      </c>
      <c r="K7" s="136">
        <v>163.04183317508728</v>
      </c>
      <c r="L7" s="135">
        <v>192.04183032038426</v>
      </c>
      <c r="M7" s="136">
        <v>164.33482475550338</v>
      </c>
      <c r="N7" s="135">
        <v>189.61647477724722</v>
      </c>
      <c r="O7" s="136">
        <v>160.41597995083322</v>
      </c>
      <c r="P7" s="135">
        <v>191.33797883471743</v>
      </c>
      <c r="Q7" s="136">
        <v>163.25531941438962</v>
      </c>
      <c r="R7" s="135">
        <v>247.30909217316187</v>
      </c>
      <c r="S7" s="136">
        <v>160.37390515498919</v>
      </c>
      <c r="T7" s="135">
        <v>201.90245188168507</v>
      </c>
      <c r="U7" s="136">
        <v>162.92235740983344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75" x14ac:dyDescent="0.25">
      <c r="A8" s="134" t="s">
        <v>20</v>
      </c>
      <c r="B8" s="135">
        <v>201.38242009303337</v>
      </c>
      <c r="C8" s="136">
        <v>172.49105254054629</v>
      </c>
      <c r="D8" s="135">
        <v>252.44007129128372</v>
      </c>
      <c r="E8" s="136">
        <v>181.01232852925855</v>
      </c>
      <c r="F8" s="135">
        <v>218.45200793646089</v>
      </c>
      <c r="G8" s="136">
        <v>175.17477099758466</v>
      </c>
      <c r="H8" s="135">
        <v>342.00679860178536</v>
      </c>
      <c r="I8" s="136">
        <v>217.96954032055982</v>
      </c>
      <c r="J8" s="239">
        <v>233.15947326209383</v>
      </c>
      <c r="K8" s="136">
        <v>179.0017254558266</v>
      </c>
      <c r="L8" s="135">
        <v>223.63221161870212</v>
      </c>
      <c r="M8" s="136">
        <v>172.78163013796819</v>
      </c>
      <c r="N8" s="135">
        <v>231.68805717508025</v>
      </c>
      <c r="O8" s="136">
        <v>182.60704269034906</v>
      </c>
      <c r="P8" s="135">
        <v>226.42729113753919</v>
      </c>
      <c r="Q8" s="136">
        <v>175.31092279705607</v>
      </c>
      <c r="R8" s="135">
        <v>336.16134899210414</v>
      </c>
      <c r="S8" s="136">
        <v>224.63089855891494</v>
      </c>
      <c r="T8" s="135">
        <v>242.44945612709657</v>
      </c>
      <c r="U8" s="136">
        <v>179.68103892770992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75" x14ac:dyDescent="0.25">
      <c r="A9" s="134" t="s">
        <v>21</v>
      </c>
      <c r="B9" s="135">
        <v>172.08086343817442</v>
      </c>
      <c r="C9" s="136">
        <v>159.74043378807676</v>
      </c>
      <c r="D9" s="135">
        <v>215.52247332434669</v>
      </c>
      <c r="E9" s="136">
        <v>161.92705329850708</v>
      </c>
      <c r="F9" s="135">
        <v>190.41129205844993</v>
      </c>
      <c r="G9" s="136">
        <v>160.3696942679166</v>
      </c>
      <c r="H9" s="135">
        <v>266.18031157599444</v>
      </c>
      <c r="I9" s="136">
        <v>166.63611845722815</v>
      </c>
      <c r="J9" s="239">
        <v>205.16319957222578</v>
      </c>
      <c r="K9" s="136">
        <v>160.61895011362904</v>
      </c>
      <c r="L9" s="135">
        <v>174.73074213050756</v>
      </c>
      <c r="M9" s="136">
        <v>158.28412267113811</v>
      </c>
      <c r="N9" s="135">
        <v>203.37278342647218</v>
      </c>
      <c r="O9" s="136">
        <v>160.46319272125723</v>
      </c>
      <c r="P9" s="135">
        <v>183.71190428089011</v>
      </c>
      <c r="Q9" s="136">
        <v>158.87347699682638</v>
      </c>
      <c r="R9" s="135">
        <v>255.20557866202415</v>
      </c>
      <c r="S9" s="136">
        <v>176.09665880372549</v>
      </c>
      <c r="T9" s="135">
        <v>199.83893039578865</v>
      </c>
      <c r="U9" s="136">
        <v>160.15161427120285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75" x14ac:dyDescent="0.25">
      <c r="A10" s="134" t="s">
        <v>22</v>
      </c>
      <c r="B10" s="135">
        <v>184.59489377581977</v>
      </c>
      <c r="C10" s="136">
        <v>171.33990947242967</v>
      </c>
      <c r="D10" s="135">
        <v>170.64060747769111</v>
      </c>
      <c r="E10" s="136">
        <v>174.48938653740424</v>
      </c>
      <c r="F10" s="135">
        <v>179.82379722376291</v>
      </c>
      <c r="G10" s="136">
        <v>172.36132015512717</v>
      </c>
      <c r="H10" s="135">
        <v>182.75214520663397</v>
      </c>
      <c r="I10" s="136">
        <v>195.56987216868922</v>
      </c>
      <c r="J10" s="239">
        <v>180.0795605617698</v>
      </c>
      <c r="K10" s="136">
        <v>175.79325536745435</v>
      </c>
      <c r="L10" s="135">
        <v>167.33194477762689</v>
      </c>
      <c r="M10" s="136">
        <v>168.9456955108385</v>
      </c>
      <c r="N10" s="135">
        <v>176.77308118391588</v>
      </c>
      <c r="O10" s="136">
        <v>173.04701326840362</v>
      </c>
      <c r="P10" s="135">
        <v>170.62706254338678</v>
      </c>
      <c r="Q10" s="136">
        <v>170.06178821540408</v>
      </c>
      <c r="R10" s="135">
        <v>217.25262548799557</v>
      </c>
      <c r="S10" s="136">
        <v>186.83955227772967</v>
      </c>
      <c r="T10" s="135">
        <v>179.54486180743268</v>
      </c>
      <c r="U10" s="136">
        <v>172.47369081401646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75" x14ac:dyDescent="0.25">
      <c r="A11" s="134" t="s">
        <v>23</v>
      </c>
      <c r="B11" s="135">
        <v>219.16777055971565</v>
      </c>
      <c r="C11" s="136">
        <v>173.68491660083177</v>
      </c>
      <c r="D11" s="135">
        <v>317.10346638843907</v>
      </c>
      <c r="E11" s="136">
        <v>185.66014658599187</v>
      </c>
      <c r="F11" s="135">
        <v>258.23015308482456</v>
      </c>
      <c r="G11" s="136">
        <v>177.45585049346784</v>
      </c>
      <c r="H11" s="135">
        <v>356.60609555636609</v>
      </c>
      <c r="I11" s="136">
        <v>191.82946394865988</v>
      </c>
      <c r="J11" s="239">
        <v>269.75163973200887</v>
      </c>
      <c r="K11" s="136">
        <v>179.03775919441512</v>
      </c>
      <c r="L11" s="135">
        <v>221.54711935765911</v>
      </c>
      <c r="M11" s="136">
        <v>177.1787684138562</v>
      </c>
      <c r="N11" s="135">
        <v>187.87744503590119</v>
      </c>
      <c r="O11" s="136">
        <v>168.45023515649245</v>
      </c>
      <c r="P11" s="135">
        <v>245.4200432463997</v>
      </c>
      <c r="Q11" s="136">
        <v>180.22286234081261</v>
      </c>
      <c r="R11" s="135">
        <v>411.89814142698083</v>
      </c>
      <c r="S11" s="136">
        <v>202.41087394180391</v>
      </c>
      <c r="T11" s="135">
        <v>268.02706317412463</v>
      </c>
      <c r="U11" s="136">
        <v>182.39013683504677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75" x14ac:dyDescent="0.25">
      <c r="A12" s="134" t="s">
        <v>24</v>
      </c>
      <c r="B12" s="135">
        <v>165.89124075995142</v>
      </c>
      <c r="C12" s="136">
        <v>165.34196354316876</v>
      </c>
      <c r="D12" s="135">
        <v>195.93902217133902</v>
      </c>
      <c r="E12" s="136">
        <v>168.62569839082383</v>
      </c>
      <c r="F12" s="135">
        <v>176.53024156519641</v>
      </c>
      <c r="G12" s="136">
        <v>166.48574916764935</v>
      </c>
      <c r="H12" s="135">
        <v>261.96039746540401</v>
      </c>
      <c r="I12" s="136">
        <v>176.9300333753736</v>
      </c>
      <c r="J12" s="239">
        <v>188.6187970279644</v>
      </c>
      <c r="K12" s="136">
        <v>167.67403940473039</v>
      </c>
      <c r="L12" s="135">
        <v>171.88592578793165</v>
      </c>
      <c r="M12" s="136">
        <v>167.14242202639412</v>
      </c>
      <c r="N12" s="135">
        <v>187.87744503590119</v>
      </c>
      <c r="O12" s="136">
        <v>168.45023515649245</v>
      </c>
      <c r="P12" s="135">
        <v>177.21586082380921</v>
      </c>
      <c r="Q12" s="136">
        <v>167.57430889597788</v>
      </c>
      <c r="R12" s="135">
        <v>250.70674281578158</v>
      </c>
      <c r="S12" s="136">
        <v>177.14305521855178</v>
      </c>
      <c r="T12" s="135">
        <v>187.39070145660526</v>
      </c>
      <c r="U12" s="136">
        <v>168.76523993021343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6.5" thickBot="1" x14ac:dyDescent="0.3">
      <c r="A13" s="137" t="s">
        <v>25</v>
      </c>
      <c r="B13" s="138">
        <v>225.23523261500912</v>
      </c>
      <c r="C13" s="139">
        <v>166.58348690452522</v>
      </c>
      <c r="D13" s="138">
        <v>213.67315843192264</v>
      </c>
      <c r="E13" s="139">
        <v>162.42244262403216</v>
      </c>
      <c r="F13" s="138">
        <v>221.05843496975237</v>
      </c>
      <c r="G13" s="139">
        <v>165.24269219133188</v>
      </c>
      <c r="H13" s="138">
        <v>218.40609491130454</v>
      </c>
      <c r="I13" s="139">
        <v>154.80027012471896</v>
      </c>
      <c r="J13" s="138">
        <v>220.48476572770315</v>
      </c>
      <c r="K13" s="139">
        <v>163.81240223428802</v>
      </c>
      <c r="L13" s="138">
        <v>218.01935995450557</v>
      </c>
      <c r="M13" s="139">
        <v>166.6327036277157</v>
      </c>
      <c r="N13" s="138">
        <v>219.39386517185071</v>
      </c>
      <c r="O13" s="139">
        <v>163.70420565213237</v>
      </c>
      <c r="P13" s="138">
        <v>218.41700503587458</v>
      </c>
      <c r="Q13" s="139">
        <v>165.79625394435919</v>
      </c>
      <c r="R13" s="138">
        <v>228.50482349022144</v>
      </c>
      <c r="S13" s="139">
        <v>163.72459583752621</v>
      </c>
      <c r="T13" s="138">
        <v>220.17308608072915</v>
      </c>
      <c r="U13" s="139">
        <v>165.55480574920816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6.5" thickBot="1" x14ac:dyDescent="0.3">
      <c r="A14" s="140" t="s">
        <v>54</v>
      </c>
      <c r="B14" s="141">
        <v>196.11223055843075</v>
      </c>
      <c r="C14" s="142">
        <v>167.46662090506442</v>
      </c>
      <c r="D14" s="141">
        <v>210.43121138748222</v>
      </c>
      <c r="E14" s="142">
        <v>168.24387512060835</v>
      </c>
      <c r="F14" s="141">
        <v>201.4904834495818</v>
      </c>
      <c r="G14" s="142">
        <v>167.71649157245025</v>
      </c>
      <c r="H14" s="141">
        <v>243.15405891231458</v>
      </c>
      <c r="I14" s="142">
        <v>176.16868611100463</v>
      </c>
      <c r="J14" s="141">
        <v>208.70289403962045</v>
      </c>
      <c r="K14" s="142">
        <v>168.66745589395546</v>
      </c>
      <c r="L14" s="141">
        <v>194.07367671534115</v>
      </c>
      <c r="M14" s="142">
        <v>164.98134550094375</v>
      </c>
      <c r="N14" s="141">
        <v>205.96961030256139</v>
      </c>
      <c r="O14" s="142">
        <v>166.55325401118782</v>
      </c>
      <c r="P14" s="141">
        <v>197.75123097627596</v>
      </c>
      <c r="Q14" s="142">
        <v>165.42189745112191</v>
      </c>
      <c r="R14" s="141">
        <v>251.24629237480173</v>
      </c>
      <c r="S14" s="142">
        <v>176.94637670400547</v>
      </c>
      <c r="T14" s="141">
        <v>206.93168084066397</v>
      </c>
      <c r="U14" s="142">
        <v>166.68725203020392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8.75" x14ac:dyDescent="0.25">
      <c r="A15" s="143" t="s">
        <v>30</v>
      </c>
      <c r="B15" s="144"/>
      <c r="C15" s="144"/>
      <c r="D15" s="144"/>
      <c r="E15" s="144"/>
      <c r="F15" s="144"/>
      <c r="G15" s="144"/>
      <c r="H15" s="144"/>
      <c r="I15" s="144"/>
      <c r="J15" s="241"/>
      <c r="K15" s="242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75" x14ac:dyDescent="0.25">
      <c r="A16" s="131" t="s">
        <v>31</v>
      </c>
      <c r="B16" s="145">
        <v>221.36192041341698</v>
      </c>
      <c r="C16" s="146">
        <v>164.92992073339585</v>
      </c>
      <c r="D16" s="145">
        <v>267.23366973796556</v>
      </c>
      <c r="E16" s="146">
        <v>168.36876971413344</v>
      </c>
      <c r="F16" s="145">
        <v>238.05375145020651</v>
      </c>
      <c r="G16" s="146">
        <v>166.06664584090828</v>
      </c>
      <c r="H16" s="145">
        <v>374.88026265192434</v>
      </c>
      <c r="I16" s="146">
        <v>179.49555718131387</v>
      </c>
      <c r="J16" s="145">
        <v>271.22489812325699</v>
      </c>
      <c r="K16" s="146">
        <v>167.75903554062859</v>
      </c>
      <c r="L16" s="145">
        <v>211.29304402739197</v>
      </c>
      <c r="M16" s="146">
        <v>164.60238786351937</v>
      </c>
      <c r="N16" s="145">
        <v>314.29917946305136</v>
      </c>
      <c r="O16" s="146">
        <v>171.253408904807</v>
      </c>
      <c r="P16" s="145">
        <v>250.12761493291052</v>
      </c>
      <c r="Q16" s="146">
        <v>166.4497716669205</v>
      </c>
      <c r="R16" s="145">
        <v>331.92656838436483</v>
      </c>
      <c r="S16" s="146">
        <v>175.24859528156406</v>
      </c>
      <c r="T16" s="145">
        <v>269.06011904385309</v>
      </c>
      <c r="U16" s="146">
        <v>167.71128672512248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6.5" thickBot="1" x14ac:dyDescent="0.3">
      <c r="A17" s="134" t="s">
        <v>49</v>
      </c>
      <c r="B17" s="147">
        <v>0</v>
      </c>
      <c r="C17" s="148">
        <v>280.86849098402126</v>
      </c>
      <c r="D17" s="147">
        <v>0</v>
      </c>
      <c r="E17" s="148">
        <v>277.68627124753903</v>
      </c>
      <c r="F17" s="147">
        <v>0</v>
      </c>
      <c r="G17" s="148">
        <v>279.96161204812722</v>
      </c>
      <c r="H17" s="147">
        <v>0</v>
      </c>
      <c r="I17" s="148">
        <v>0</v>
      </c>
      <c r="J17" s="240">
        <v>0</v>
      </c>
      <c r="K17" s="148">
        <v>857.505</v>
      </c>
      <c r="L17" s="147">
        <v>0</v>
      </c>
      <c r="M17" s="148">
        <v>0</v>
      </c>
      <c r="N17" s="147">
        <v>0</v>
      </c>
      <c r="O17" s="148">
        <v>0</v>
      </c>
      <c r="P17" s="147">
        <v>0</v>
      </c>
      <c r="Q17" s="148">
        <v>0</v>
      </c>
      <c r="R17" s="147">
        <v>0</v>
      </c>
      <c r="S17" s="148">
        <v>0</v>
      </c>
      <c r="T17" s="147">
        <v>0</v>
      </c>
      <c r="U17" s="148">
        <v>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6.5" thickBot="1" x14ac:dyDescent="0.3">
      <c r="A18" s="92" t="s">
        <v>55</v>
      </c>
      <c r="B18" s="149">
        <v>221.36192041341698</v>
      </c>
      <c r="C18" s="150">
        <v>167.74860933730707</v>
      </c>
      <c r="D18" s="149">
        <v>267.23366973796556</v>
      </c>
      <c r="E18" s="150">
        <v>170.52415802309721</v>
      </c>
      <c r="F18" s="149">
        <v>238.05375145020651</v>
      </c>
      <c r="G18" s="150">
        <v>168.66319436277641</v>
      </c>
      <c r="H18" s="149">
        <v>374.88026265192434</v>
      </c>
      <c r="I18" s="150">
        <v>179.49555718131387</v>
      </c>
      <c r="J18" s="149">
        <v>271.22489812325699</v>
      </c>
      <c r="K18" s="150">
        <v>170.00107323134517</v>
      </c>
      <c r="L18" s="149">
        <v>211.29304402739197</v>
      </c>
      <c r="M18" s="150">
        <v>164.60238786351937</v>
      </c>
      <c r="N18" s="149">
        <v>314.29917946305136</v>
      </c>
      <c r="O18" s="150">
        <v>171.253408904807</v>
      </c>
      <c r="P18" s="149">
        <v>250.12761493291052</v>
      </c>
      <c r="Q18" s="150">
        <v>166.4497716669205</v>
      </c>
      <c r="R18" s="149">
        <v>331.92656838436483</v>
      </c>
      <c r="S18" s="150">
        <v>175.24859528156406</v>
      </c>
      <c r="T18" s="149">
        <v>269.06011904385309</v>
      </c>
      <c r="U18" s="150">
        <v>167.71128672512248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ht="18.75" x14ac:dyDescent="0.25">
      <c r="A19" s="143" t="s">
        <v>36</v>
      </c>
      <c r="B19" s="144"/>
      <c r="C19" s="144"/>
      <c r="D19" s="144"/>
      <c r="E19" s="144"/>
      <c r="F19" s="144"/>
      <c r="G19" s="144"/>
      <c r="H19" s="144"/>
      <c r="I19" s="144"/>
      <c r="J19" s="241"/>
      <c r="K19" s="242"/>
      <c r="L19" s="144"/>
      <c r="M19" s="144"/>
      <c r="N19" s="144"/>
      <c r="O19" s="144"/>
      <c r="P19" s="144"/>
      <c r="Q19" s="144"/>
      <c r="R19" s="144"/>
      <c r="S19" s="144"/>
      <c r="T19" s="241"/>
      <c r="U19" s="242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ht="16.5" thickBot="1" x14ac:dyDescent="0.3">
      <c r="A20" s="151" t="s">
        <v>37</v>
      </c>
      <c r="B20" s="152">
        <v>186.30083091526399</v>
      </c>
      <c r="C20" s="153">
        <v>178.57322052103521</v>
      </c>
      <c r="D20" s="152">
        <v>193.79582688752151</v>
      </c>
      <c r="E20" s="153">
        <v>178.95780713944151</v>
      </c>
      <c r="F20" s="152">
        <v>189.09088883326442</v>
      </c>
      <c r="G20" s="153">
        <v>178.71424973579346</v>
      </c>
      <c r="H20" s="152">
        <v>195.61093799630427</v>
      </c>
      <c r="I20" s="153">
        <v>188.95909648293798</v>
      </c>
      <c r="J20" s="152">
        <v>189.77689508822388</v>
      </c>
      <c r="K20" s="153">
        <v>180.0557813012978</v>
      </c>
      <c r="L20" s="152">
        <v>188.50266288036644</v>
      </c>
      <c r="M20" s="153">
        <v>178.5027308829799</v>
      </c>
      <c r="N20" s="152">
        <v>181.53889867770053</v>
      </c>
      <c r="O20" s="153">
        <v>180.0262344965856</v>
      </c>
      <c r="P20" s="152">
        <v>186.27051247737279</v>
      </c>
      <c r="Q20" s="153">
        <v>178.99136573680832</v>
      </c>
      <c r="R20" s="152">
        <v>188.85353131108232</v>
      </c>
      <c r="S20" s="153">
        <v>185.24470324296391</v>
      </c>
      <c r="T20" s="152">
        <v>186.5673227021141</v>
      </c>
      <c r="U20" s="153">
        <v>179.9493902597973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ht="16.5" thickBot="1" x14ac:dyDescent="0.3">
      <c r="A21" s="140" t="s">
        <v>56</v>
      </c>
      <c r="B21" s="154">
        <v>186.30083091526399</v>
      </c>
      <c r="C21" s="155">
        <v>178.57322052103521</v>
      </c>
      <c r="D21" s="154">
        <v>193.79582688752151</v>
      </c>
      <c r="E21" s="155">
        <v>178.95780713944151</v>
      </c>
      <c r="F21" s="154">
        <v>189.09088883326442</v>
      </c>
      <c r="G21" s="155">
        <v>178.71424973579346</v>
      </c>
      <c r="H21" s="154">
        <v>195.61093799630427</v>
      </c>
      <c r="I21" s="155">
        <v>188.95909648293798</v>
      </c>
      <c r="J21" s="154">
        <v>189.77689508822388</v>
      </c>
      <c r="K21" s="155">
        <v>180.0557813012978</v>
      </c>
      <c r="L21" s="154">
        <v>188.50266288036644</v>
      </c>
      <c r="M21" s="155">
        <v>178.5027308829799</v>
      </c>
      <c r="N21" s="154">
        <v>181.53889867770053</v>
      </c>
      <c r="O21" s="155">
        <v>180.0262344965856</v>
      </c>
      <c r="P21" s="154">
        <v>186.27051247737279</v>
      </c>
      <c r="Q21" s="155">
        <v>178.99136573680832</v>
      </c>
      <c r="R21" s="154">
        <v>188.85353131108232</v>
      </c>
      <c r="S21" s="155">
        <v>185.24470324296391</v>
      </c>
      <c r="T21" s="154">
        <v>186.5673227021141</v>
      </c>
      <c r="U21" s="155">
        <v>179.9493902597973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ht="16.5" thickBot="1" x14ac:dyDescent="0.3">
      <c r="A22" s="156" t="s">
        <v>57</v>
      </c>
      <c r="B22" s="157">
        <v>197.793887383384</v>
      </c>
      <c r="C22" s="158">
        <v>168.14954287267577</v>
      </c>
      <c r="D22" s="157">
        <v>214.16681137025876</v>
      </c>
      <c r="E22" s="158">
        <v>169.18476899021755</v>
      </c>
      <c r="F22" s="157">
        <v>203.92762434726387</v>
      </c>
      <c r="G22" s="158">
        <v>168.48594201726127</v>
      </c>
      <c r="H22" s="157">
        <v>257.27239524445235</v>
      </c>
      <c r="I22" s="158">
        <v>177.38605161998902</v>
      </c>
      <c r="J22" s="157">
        <v>213.37851521265171</v>
      </c>
      <c r="K22" s="158">
        <v>169.50530970403591</v>
      </c>
      <c r="L22" s="157">
        <v>195.21184350460891</v>
      </c>
      <c r="M22" s="158">
        <v>165.75526601872241</v>
      </c>
      <c r="N22" s="157">
        <v>216.01998657141823</v>
      </c>
      <c r="O22" s="158">
        <v>167.84378454235085</v>
      </c>
      <c r="P22" s="157">
        <v>201.76948804835652</v>
      </c>
      <c r="Q22" s="158">
        <v>166.34551863967033</v>
      </c>
      <c r="R22" s="157">
        <v>259.61596928343027</v>
      </c>
      <c r="S22" s="158">
        <v>177.51102481405911</v>
      </c>
      <c r="T22" s="157">
        <v>211.91358573152172</v>
      </c>
      <c r="U22" s="158">
        <v>167.63110988059378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ht="15.75" x14ac:dyDescent="0.25">
      <c r="A23" s="159" t="s">
        <v>58</v>
      </c>
      <c r="B23" s="160"/>
      <c r="C23" s="161">
        <v>173.84</v>
      </c>
      <c r="D23" s="160"/>
      <c r="E23" s="161">
        <v>173.97</v>
      </c>
      <c r="F23" s="160"/>
      <c r="G23" s="161">
        <v>173.89</v>
      </c>
      <c r="H23" s="160"/>
      <c r="I23" s="160">
        <v>174.15</v>
      </c>
      <c r="J23" s="160"/>
      <c r="K23" s="161">
        <v>173.92</v>
      </c>
      <c r="L23" s="160"/>
      <c r="M23" s="161">
        <v>173.68</v>
      </c>
      <c r="N23" s="160"/>
      <c r="O23" s="161">
        <v>174.1</v>
      </c>
      <c r="P23" s="160"/>
      <c r="Q23" s="161">
        <v>173.89</v>
      </c>
      <c r="R23" s="160"/>
      <c r="S23" s="161">
        <v>173.95</v>
      </c>
      <c r="T23" s="160"/>
      <c r="U23" s="161">
        <v>173.83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x14ac:dyDescent="0.25">
      <c r="B24" s="132"/>
      <c r="C24" s="132"/>
      <c r="D24" s="162"/>
      <c r="E24" s="162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8" spans="1:41" x14ac:dyDescent="0.25">
      <c r="AL28"/>
      <c r="AM28"/>
      <c r="AN28"/>
      <c r="AO28"/>
    </row>
    <row r="29" spans="1:41" x14ac:dyDescent="0.25">
      <c r="AL29"/>
      <c r="AM29"/>
      <c r="AN29"/>
      <c r="AO29"/>
    </row>
    <row r="30" spans="1:41" x14ac:dyDescent="0.25">
      <c r="AL30"/>
      <c r="AM30"/>
      <c r="AN30"/>
      <c r="AO30"/>
    </row>
    <row r="31" spans="1:41" x14ac:dyDescent="0.25">
      <c r="AL31"/>
      <c r="AM31"/>
      <c r="AN31"/>
      <c r="AO31"/>
    </row>
    <row r="32" spans="1:41" x14ac:dyDescent="0.25">
      <c r="AL32"/>
      <c r="AM32"/>
      <c r="AN32"/>
      <c r="AO32"/>
    </row>
    <row r="33" spans="38:41" x14ac:dyDescent="0.25">
      <c r="AL33"/>
      <c r="AM33"/>
      <c r="AN33"/>
      <c r="AO33"/>
    </row>
    <row r="34" spans="38:41" x14ac:dyDescent="0.25">
      <c r="AL34"/>
      <c r="AM34"/>
      <c r="AN34"/>
      <c r="AO34"/>
    </row>
    <row r="35" spans="38:41" x14ac:dyDescent="0.25">
      <c r="AL35"/>
      <c r="AM35"/>
      <c r="AN35"/>
      <c r="AO35"/>
    </row>
    <row r="36" spans="38:41" x14ac:dyDescent="0.25">
      <c r="AL36"/>
      <c r="AM36"/>
      <c r="AN36"/>
      <c r="AO36"/>
    </row>
    <row r="37" spans="38:41" x14ac:dyDescent="0.25">
      <c r="AL37"/>
      <c r="AM37"/>
      <c r="AN37"/>
      <c r="AO37"/>
    </row>
    <row r="38" spans="38:41" x14ac:dyDescent="0.25">
      <c r="AL38"/>
      <c r="AM38"/>
      <c r="AN38"/>
      <c r="AO38"/>
    </row>
    <row r="39" spans="38:41" x14ac:dyDescent="0.25">
      <c r="AL39"/>
      <c r="AM39"/>
      <c r="AN39"/>
      <c r="AO39"/>
    </row>
    <row r="40" spans="38:41" x14ac:dyDescent="0.25">
      <c r="AL40"/>
      <c r="AM40"/>
      <c r="AN40"/>
      <c r="AO40"/>
    </row>
    <row r="41" spans="38:41" x14ac:dyDescent="0.25">
      <c r="AL41"/>
      <c r="AM41"/>
      <c r="AN41"/>
      <c r="AO41"/>
    </row>
    <row r="42" spans="38:41" x14ac:dyDescent="0.25">
      <c r="AL42"/>
      <c r="AM42"/>
      <c r="AN42"/>
      <c r="AO42"/>
    </row>
    <row r="43" spans="38:41" x14ac:dyDescent="0.25">
      <c r="AL43"/>
      <c r="AM43"/>
      <c r="AN43"/>
      <c r="AO43"/>
    </row>
    <row r="44" spans="38:41" x14ac:dyDescent="0.25">
      <c r="AL44"/>
      <c r="AM44"/>
      <c r="AN44"/>
      <c r="AO44"/>
    </row>
    <row r="45" spans="38:41" x14ac:dyDescent="0.25">
      <c r="AL45"/>
      <c r="AM45"/>
      <c r="AN45"/>
      <c r="AO45"/>
    </row>
    <row r="46" spans="38:41" x14ac:dyDescent="0.25">
      <c r="AL46"/>
      <c r="AM46"/>
      <c r="AN46"/>
      <c r="AO46"/>
    </row>
    <row r="47" spans="38:41" x14ac:dyDescent="0.25">
      <c r="AL47"/>
      <c r="AM47"/>
      <c r="AN47"/>
      <c r="AO47"/>
    </row>
  </sheetData>
  <mergeCells count="13">
    <mergeCell ref="B2:K2"/>
    <mergeCell ref="L2:U2"/>
    <mergeCell ref="A2:A4"/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</mergeCells>
  <pageMargins left="0.25" right="0.25" top="0.75" bottom="0.75" header="0.3" footer="0.3"/>
  <pageSetup paperSize="8" scale="3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22"/>
  <sheetViews>
    <sheetView showGridLines="0" zoomScale="80" zoomScaleNormal="80" workbookViewId="0">
      <pane xSplit="1" ySplit="4" topLeftCell="E5" activePane="bottomRight" state="frozen"/>
      <selection activeCell="AB26" sqref="AB26"/>
      <selection pane="topRight"/>
      <selection pane="bottomLeft"/>
      <selection pane="bottomRight" activeCell="A4" sqref="A4"/>
    </sheetView>
  </sheetViews>
  <sheetFormatPr defaultRowHeight="15" x14ac:dyDescent="0.25"/>
  <cols>
    <col min="1" max="1" width="71.85546875" customWidth="1"/>
    <col min="2" max="40" width="9.140625" style="74" customWidth="1"/>
    <col min="65" max="106" width="9.140625" style="130"/>
    <col min="209" max="209" width="24.42578125" bestFit="1" customWidth="1"/>
    <col min="210" max="210" width="9.5703125" customWidth="1"/>
    <col min="211" max="218" width="8.7109375" customWidth="1"/>
    <col min="219" max="230" width="9.140625" customWidth="1"/>
    <col min="233" max="233" width="9.140625" customWidth="1"/>
    <col min="235" max="236" width="9.140625" customWidth="1"/>
    <col min="242" max="242" width="9.140625" customWidth="1"/>
    <col min="245" max="251" width="9.140625" customWidth="1"/>
    <col min="252" max="252" width="10.42578125" customWidth="1"/>
    <col min="253" max="253" width="10" customWidth="1"/>
    <col min="254" max="254" width="10.140625" customWidth="1"/>
    <col min="255" max="255" width="10.42578125" customWidth="1"/>
    <col min="256" max="256" width="10" customWidth="1"/>
    <col min="257" max="257" width="10.140625" customWidth="1"/>
    <col min="465" max="465" width="24.42578125" bestFit="1" customWidth="1"/>
    <col min="466" max="466" width="9.5703125" customWidth="1"/>
    <col min="467" max="474" width="8.7109375" customWidth="1"/>
    <col min="475" max="486" width="9.140625" customWidth="1"/>
    <col min="489" max="489" width="9.140625" customWidth="1"/>
    <col min="491" max="492" width="9.140625" customWidth="1"/>
    <col min="498" max="498" width="9.140625" customWidth="1"/>
    <col min="501" max="507" width="9.140625" customWidth="1"/>
    <col min="508" max="508" width="10.42578125" customWidth="1"/>
    <col min="509" max="509" width="10" customWidth="1"/>
    <col min="510" max="510" width="10.140625" customWidth="1"/>
    <col min="511" max="511" width="10.42578125" customWidth="1"/>
    <col min="512" max="512" width="10" customWidth="1"/>
    <col min="513" max="513" width="10.140625" customWidth="1"/>
    <col min="721" max="721" width="24.42578125" bestFit="1" customWidth="1"/>
    <col min="722" max="722" width="9.5703125" customWidth="1"/>
    <col min="723" max="730" width="8.7109375" customWidth="1"/>
    <col min="731" max="742" width="9.140625" customWidth="1"/>
    <col min="745" max="745" width="9.140625" customWidth="1"/>
    <col min="747" max="748" width="9.140625" customWidth="1"/>
    <col min="754" max="754" width="9.140625" customWidth="1"/>
    <col min="757" max="763" width="9.140625" customWidth="1"/>
    <col min="764" max="764" width="10.42578125" customWidth="1"/>
    <col min="765" max="765" width="10" customWidth="1"/>
    <col min="766" max="766" width="10.140625" customWidth="1"/>
    <col min="767" max="767" width="10.42578125" customWidth="1"/>
    <col min="768" max="768" width="10" customWidth="1"/>
    <col min="769" max="769" width="10.140625" customWidth="1"/>
    <col min="977" max="977" width="24.42578125" bestFit="1" customWidth="1"/>
    <col min="978" max="978" width="9.5703125" customWidth="1"/>
    <col min="979" max="986" width="8.7109375" customWidth="1"/>
    <col min="987" max="998" width="9.140625" customWidth="1"/>
    <col min="1001" max="1001" width="9.140625" customWidth="1"/>
    <col min="1003" max="1004" width="9.140625" customWidth="1"/>
    <col min="1010" max="1010" width="9.140625" customWidth="1"/>
    <col min="1013" max="1019" width="9.140625" customWidth="1"/>
    <col min="1020" max="1020" width="10.42578125" customWidth="1"/>
    <col min="1021" max="1021" width="10" customWidth="1"/>
    <col min="1022" max="1022" width="10.140625" customWidth="1"/>
    <col min="1023" max="1023" width="10.42578125" customWidth="1"/>
    <col min="1024" max="1024" width="10" customWidth="1"/>
    <col min="1025" max="1025" width="10.140625" customWidth="1"/>
    <col min="1233" max="1233" width="24.42578125" bestFit="1" customWidth="1"/>
    <col min="1234" max="1234" width="9.5703125" customWidth="1"/>
    <col min="1235" max="1242" width="8.7109375" customWidth="1"/>
    <col min="1243" max="1254" width="9.140625" customWidth="1"/>
    <col min="1257" max="1257" width="9.140625" customWidth="1"/>
    <col min="1259" max="1260" width="9.140625" customWidth="1"/>
    <col min="1266" max="1266" width="9.140625" customWidth="1"/>
    <col min="1269" max="1275" width="9.140625" customWidth="1"/>
    <col min="1276" max="1276" width="10.42578125" customWidth="1"/>
    <col min="1277" max="1277" width="10" customWidth="1"/>
    <col min="1278" max="1278" width="10.140625" customWidth="1"/>
    <col min="1279" max="1279" width="10.42578125" customWidth="1"/>
    <col min="1280" max="1280" width="10" customWidth="1"/>
    <col min="1281" max="1281" width="10.140625" customWidth="1"/>
    <col min="1489" max="1489" width="24.42578125" bestFit="1" customWidth="1"/>
    <col min="1490" max="1490" width="9.5703125" customWidth="1"/>
    <col min="1491" max="1498" width="8.7109375" customWidth="1"/>
    <col min="1499" max="1510" width="9.140625" customWidth="1"/>
    <col min="1513" max="1513" width="9.140625" customWidth="1"/>
    <col min="1515" max="1516" width="9.140625" customWidth="1"/>
    <col min="1522" max="1522" width="9.140625" customWidth="1"/>
    <col min="1525" max="1531" width="9.140625" customWidth="1"/>
    <col min="1532" max="1532" width="10.42578125" customWidth="1"/>
    <col min="1533" max="1533" width="10" customWidth="1"/>
    <col min="1534" max="1534" width="10.140625" customWidth="1"/>
    <col min="1535" max="1535" width="10.42578125" customWidth="1"/>
    <col min="1536" max="1536" width="10" customWidth="1"/>
    <col min="1537" max="1537" width="10.140625" customWidth="1"/>
    <col min="1745" max="1745" width="24.42578125" bestFit="1" customWidth="1"/>
    <col min="1746" max="1746" width="9.5703125" customWidth="1"/>
    <col min="1747" max="1754" width="8.7109375" customWidth="1"/>
    <col min="1755" max="1766" width="9.140625" customWidth="1"/>
    <col min="1769" max="1769" width="9.140625" customWidth="1"/>
    <col min="1771" max="1772" width="9.140625" customWidth="1"/>
    <col min="1778" max="1778" width="9.140625" customWidth="1"/>
    <col min="1781" max="1787" width="9.140625" customWidth="1"/>
    <col min="1788" max="1788" width="10.42578125" customWidth="1"/>
    <col min="1789" max="1789" width="10" customWidth="1"/>
    <col min="1790" max="1790" width="10.140625" customWidth="1"/>
    <col min="1791" max="1791" width="10.42578125" customWidth="1"/>
    <col min="1792" max="1792" width="10" customWidth="1"/>
    <col min="1793" max="1793" width="10.140625" customWidth="1"/>
    <col min="2001" max="2001" width="24.42578125" bestFit="1" customWidth="1"/>
    <col min="2002" max="2002" width="9.5703125" customWidth="1"/>
    <col min="2003" max="2010" width="8.7109375" customWidth="1"/>
    <col min="2011" max="2022" width="9.140625" customWidth="1"/>
    <col min="2025" max="2025" width="9.140625" customWidth="1"/>
    <col min="2027" max="2028" width="9.140625" customWidth="1"/>
    <col min="2034" max="2034" width="9.140625" customWidth="1"/>
    <col min="2037" max="2043" width="9.140625" customWidth="1"/>
    <col min="2044" max="2044" width="10.42578125" customWidth="1"/>
    <col min="2045" max="2045" width="10" customWidth="1"/>
    <col min="2046" max="2046" width="10.140625" customWidth="1"/>
    <col min="2047" max="2047" width="10.42578125" customWidth="1"/>
    <col min="2048" max="2048" width="10" customWidth="1"/>
    <col min="2049" max="2049" width="10.140625" customWidth="1"/>
    <col min="2257" max="2257" width="24.42578125" bestFit="1" customWidth="1"/>
    <col min="2258" max="2258" width="9.5703125" customWidth="1"/>
    <col min="2259" max="2266" width="8.7109375" customWidth="1"/>
    <col min="2267" max="2278" width="9.140625" customWidth="1"/>
    <col min="2281" max="2281" width="9.140625" customWidth="1"/>
    <col min="2283" max="2284" width="9.140625" customWidth="1"/>
    <col min="2290" max="2290" width="9.140625" customWidth="1"/>
    <col min="2293" max="2299" width="9.140625" customWidth="1"/>
    <col min="2300" max="2300" width="10.42578125" customWidth="1"/>
    <col min="2301" max="2301" width="10" customWidth="1"/>
    <col min="2302" max="2302" width="10.140625" customWidth="1"/>
    <col min="2303" max="2303" width="10.42578125" customWidth="1"/>
    <col min="2304" max="2304" width="10" customWidth="1"/>
    <col min="2305" max="2305" width="10.140625" customWidth="1"/>
    <col min="2513" max="2513" width="24.42578125" bestFit="1" customWidth="1"/>
    <col min="2514" max="2514" width="9.5703125" customWidth="1"/>
    <col min="2515" max="2522" width="8.7109375" customWidth="1"/>
    <col min="2523" max="2534" width="9.140625" customWidth="1"/>
    <col min="2537" max="2537" width="9.140625" customWidth="1"/>
    <col min="2539" max="2540" width="9.140625" customWidth="1"/>
    <col min="2546" max="2546" width="9.140625" customWidth="1"/>
    <col min="2549" max="2555" width="9.140625" customWidth="1"/>
    <col min="2556" max="2556" width="10.42578125" customWidth="1"/>
    <col min="2557" max="2557" width="10" customWidth="1"/>
    <col min="2558" max="2558" width="10.140625" customWidth="1"/>
    <col min="2559" max="2559" width="10.42578125" customWidth="1"/>
    <col min="2560" max="2560" width="10" customWidth="1"/>
    <col min="2561" max="2561" width="10.140625" customWidth="1"/>
    <col min="2769" max="2769" width="24.42578125" bestFit="1" customWidth="1"/>
    <col min="2770" max="2770" width="9.5703125" customWidth="1"/>
    <col min="2771" max="2778" width="8.7109375" customWidth="1"/>
    <col min="2779" max="2790" width="9.140625" customWidth="1"/>
    <col min="2793" max="2793" width="9.140625" customWidth="1"/>
    <col min="2795" max="2796" width="9.140625" customWidth="1"/>
    <col min="2802" max="2802" width="9.140625" customWidth="1"/>
    <col min="2805" max="2811" width="9.140625" customWidth="1"/>
    <col min="2812" max="2812" width="10.42578125" customWidth="1"/>
    <col min="2813" max="2813" width="10" customWidth="1"/>
    <col min="2814" max="2814" width="10.140625" customWidth="1"/>
    <col min="2815" max="2815" width="10.42578125" customWidth="1"/>
    <col min="2816" max="2816" width="10" customWidth="1"/>
    <col min="2817" max="2817" width="10.140625" customWidth="1"/>
    <col min="3025" max="3025" width="24.42578125" bestFit="1" customWidth="1"/>
    <col min="3026" max="3026" width="9.5703125" customWidth="1"/>
    <col min="3027" max="3034" width="8.7109375" customWidth="1"/>
    <col min="3035" max="3046" width="9.140625" customWidth="1"/>
    <col min="3049" max="3049" width="9.140625" customWidth="1"/>
    <col min="3051" max="3052" width="9.140625" customWidth="1"/>
    <col min="3058" max="3058" width="9.140625" customWidth="1"/>
    <col min="3061" max="3067" width="9.140625" customWidth="1"/>
    <col min="3068" max="3068" width="10.42578125" customWidth="1"/>
    <col min="3069" max="3069" width="10" customWidth="1"/>
    <col min="3070" max="3070" width="10.140625" customWidth="1"/>
    <col min="3071" max="3071" width="10.42578125" customWidth="1"/>
    <col min="3072" max="3072" width="10" customWidth="1"/>
    <col min="3073" max="3073" width="10.140625" customWidth="1"/>
    <col min="3281" max="3281" width="24.42578125" bestFit="1" customWidth="1"/>
    <col min="3282" max="3282" width="9.5703125" customWidth="1"/>
    <col min="3283" max="3290" width="8.7109375" customWidth="1"/>
    <col min="3291" max="3302" width="9.140625" customWidth="1"/>
    <col min="3305" max="3305" width="9.140625" customWidth="1"/>
    <col min="3307" max="3308" width="9.140625" customWidth="1"/>
    <col min="3314" max="3314" width="9.140625" customWidth="1"/>
    <col min="3317" max="3323" width="9.140625" customWidth="1"/>
    <col min="3324" max="3324" width="10.42578125" customWidth="1"/>
    <col min="3325" max="3325" width="10" customWidth="1"/>
    <col min="3326" max="3326" width="10.140625" customWidth="1"/>
    <col min="3327" max="3327" width="10.42578125" customWidth="1"/>
    <col min="3328" max="3328" width="10" customWidth="1"/>
    <col min="3329" max="3329" width="10.140625" customWidth="1"/>
    <col min="3537" max="3537" width="24.42578125" bestFit="1" customWidth="1"/>
    <col min="3538" max="3538" width="9.5703125" customWidth="1"/>
    <col min="3539" max="3546" width="8.7109375" customWidth="1"/>
    <col min="3547" max="3558" width="9.140625" customWidth="1"/>
    <col min="3561" max="3561" width="9.140625" customWidth="1"/>
    <col min="3563" max="3564" width="9.140625" customWidth="1"/>
    <col min="3570" max="3570" width="9.140625" customWidth="1"/>
    <col min="3573" max="3579" width="9.140625" customWidth="1"/>
    <col min="3580" max="3580" width="10.42578125" customWidth="1"/>
    <col min="3581" max="3581" width="10" customWidth="1"/>
    <col min="3582" max="3582" width="10.140625" customWidth="1"/>
    <col min="3583" max="3583" width="10.42578125" customWidth="1"/>
    <col min="3584" max="3584" width="10" customWidth="1"/>
    <col min="3585" max="3585" width="10.140625" customWidth="1"/>
    <col min="3793" max="3793" width="24.42578125" bestFit="1" customWidth="1"/>
    <col min="3794" max="3794" width="9.5703125" customWidth="1"/>
    <col min="3795" max="3802" width="8.7109375" customWidth="1"/>
    <col min="3803" max="3814" width="9.140625" customWidth="1"/>
    <col min="3817" max="3817" width="9.140625" customWidth="1"/>
    <col min="3819" max="3820" width="9.140625" customWidth="1"/>
    <col min="3826" max="3826" width="9.140625" customWidth="1"/>
    <col min="3829" max="3835" width="9.140625" customWidth="1"/>
    <col min="3836" max="3836" width="10.42578125" customWidth="1"/>
    <col min="3837" max="3837" width="10" customWidth="1"/>
    <col min="3838" max="3838" width="10.140625" customWidth="1"/>
    <col min="3839" max="3839" width="10.42578125" customWidth="1"/>
    <col min="3840" max="3840" width="10" customWidth="1"/>
    <col min="3841" max="3841" width="10.140625" customWidth="1"/>
    <col min="4049" max="4049" width="24.42578125" bestFit="1" customWidth="1"/>
    <col min="4050" max="4050" width="9.5703125" customWidth="1"/>
    <col min="4051" max="4058" width="8.7109375" customWidth="1"/>
    <col min="4059" max="4070" width="9.140625" customWidth="1"/>
    <col min="4073" max="4073" width="9.140625" customWidth="1"/>
    <col min="4075" max="4076" width="9.140625" customWidth="1"/>
    <col min="4082" max="4082" width="9.140625" customWidth="1"/>
    <col min="4085" max="4091" width="9.140625" customWidth="1"/>
    <col min="4092" max="4092" width="10.42578125" customWidth="1"/>
    <col min="4093" max="4093" width="10" customWidth="1"/>
    <col min="4094" max="4094" width="10.140625" customWidth="1"/>
    <col min="4095" max="4095" width="10.42578125" customWidth="1"/>
    <col min="4096" max="4096" width="10" customWidth="1"/>
    <col min="4097" max="4097" width="10.140625" customWidth="1"/>
    <col min="4305" max="4305" width="24.42578125" bestFit="1" customWidth="1"/>
    <col min="4306" max="4306" width="9.5703125" customWidth="1"/>
    <col min="4307" max="4314" width="8.7109375" customWidth="1"/>
    <col min="4315" max="4326" width="9.140625" customWidth="1"/>
    <col min="4329" max="4329" width="9.140625" customWidth="1"/>
    <col min="4331" max="4332" width="9.140625" customWidth="1"/>
    <col min="4338" max="4338" width="9.140625" customWidth="1"/>
    <col min="4341" max="4347" width="9.140625" customWidth="1"/>
    <col min="4348" max="4348" width="10.42578125" customWidth="1"/>
    <col min="4349" max="4349" width="10" customWidth="1"/>
    <col min="4350" max="4350" width="10.140625" customWidth="1"/>
    <col min="4351" max="4351" width="10.42578125" customWidth="1"/>
    <col min="4352" max="4352" width="10" customWidth="1"/>
    <col min="4353" max="4353" width="10.140625" customWidth="1"/>
    <col min="4561" max="4561" width="24.42578125" bestFit="1" customWidth="1"/>
    <col min="4562" max="4562" width="9.5703125" customWidth="1"/>
    <col min="4563" max="4570" width="8.7109375" customWidth="1"/>
    <col min="4571" max="4582" width="9.140625" customWidth="1"/>
    <col min="4585" max="4585" width="9.140625" customWidth="1"/>
    <col min="4587" max="4588" width="9.140625" customWidth="1"/>
    <col min="4594" max="4594" width="9.140625" customWidth="1"/>
    <col min="4597" max="4603" width="9.140625" customWidth="1"/>
    <col min="4604" max="4604" width="10.42578125" customWidth="1"/>
    <col min="4605" max="4605" width="10" customWidth="1"/>
    <col min="4606" max="4606" width="10.140625" customWidth="1"/>
    <col min="4607" max="4607" width="10.42578125" customWidth="1"/>
    <col min="4608" max="4608" width="10" customWidth="1"/>
    <col min="4609" max="4609" width="10.140625" customWidth="1"/>
    <col min="4817" max="4817" width="24.42578125" bestFit="1" customWidth="1"/>
    <col min="4818" max="4818" width="9.5703125" customWidth="1"/>
    <col min="4819" max="4826" width="8.7109375" customWidth="1"/>
    <col min="4827" max="4838" width="9.140625" customWidth="1"/>
    <col min="4841" max="4841" width="9.140625" customWidth="1"/>
    <col min="4843" max="4844" width="9.140625" customWidth="1"/>
    <col min="4850" max="4850" width="9.140625" customWidth="1"/>
    <col min="4853" max="4859" width="9.140625" customWidth="1"/>
    <col min="4860" max="4860" width="10.42578125" customWidth="1"/>
    <col min="4861" max="4861" width="10" customWidth="1"/>
    <col min="4862" max="4862" width="10.140625" customWidth="1"/>
    <col min="4863" max="4863" width="10.42578125" customWidth="1"/>
    <col min="4864" max="4864" width="10" customWidth="1"/>
    <col min="4865" max="4865" width="10.140625" customWidth="1"/>
    <col min="5073" max="5073" width="24.42578125" bestFit="1" customWidth="1"/>
    <col min="5074" max="5074" width="9.5703125" customWidth="1"/>
    <col min="5075" max="5082" width="8.7109375" customWidth="1"/>
    <col min="5083" max="5094" width="9.140625" customWidth="1"/>
    <col min="5097" max="5097" width="9.140625" customWidth="1"/>
    <col min="5099" max="5100" width="9.140625" customWidth="1"/>
    <col min="5106" max="5106" width="9.140625" customWidth="1"/>
    <col min="5109" max="5115" width="9.140625" customWidth="1"/>
    <col min="5116" max="5116" width="10.42578125" customWidth="1"/>
    <col min="5117" max="5117" width="10" customWidth="1"/>
    <col min="5118" max="5118" width="10.140625" customWidth="1"/>
    <col min="5119" max="5119" width="10.42578125" customWidth="1"/>
    <col min="5120" max="5120" width="10" customWidth="1"/>
    <col min="5121" max="5121" width="10.140625" customWidth="1"/>
    <col min="5329" max="5329" width="24.42578125" bestFit="1" customWidth="1"/>
    <col min="5330" max="5330" width="9.5703125" customWidth="1"/>
    <col min="5331" max="5338" width="8.7109375" customWidth="1"/>
    <col min="5339" max="5350" width="9.140625" customWidth="1"/>
    <col min="5353" max="5353" width="9.140625" customWidth="1"/>
    <col min="5355" max="5356" width="9.140625" customWidth="1"/>
    <col min="5362" max="5362" width="9.140625" customWidth="1"/>
    <col min="5365" max="5371" width="9.140625" customWidth="1"/>
    <col min="5372" max="5372" width="10.42578125" customWidth="1"/>
    <col min="5373" max="5373" width="10" customWidth="1"/>
    <col min="5374" max="5374" width="10.140625" customWidth="1"/>
    <col min="5375" max="5375" width="10.42578125" customWidth="1"/>
    <col min="5376" max="5376" width="10" customWidth="1"/>
    <col min="5377" max="5377" width="10.140625" customWidth="1"/>
    <col min="5585" max="5585" width="24.42578125" bestFit="1" customWidth="1"/>
    <col min="5586" max="5586" width="9.5703125" customWidth="1"/>
    <col min="5587" max="5594" width="8.7109375" customWidth="1"/>
    <col min="5595" max="5606" width="9.140625" customWidth="1"/>
    <col min="5609" max="5609" width="9.140625" customWidth="1"/>
    <col min="5611" max="5612" width="9.140625" customWidth="1"/>
    <col min="5618" max="5618" width="9.140625" customWidth="1"/>
    <col min="5621" max="5627" width="9.140625" customWidth="1"/>
    <col min="5628" max="5628" width="10.42578125" customWidth="1"/>
    <col min="5629" max="5629" width="10" customWidth="1"/>
    <col min="5630" max="5630" width="10.140625" customWidth="1"/>
    <col min="5631" max="5631" width="10.42578125" customWidth="1"/>
    <col min="5632" max="5632" width="10" customWidth="1"/>
    <col min="5633" max="5633" width="10.140625" customWidth="1"/>
    <col min="5841" max="5841" width="24.42578125" bestFit="1" customWidth="1"/>
    <col min="5842" max="5842" width="9.5703125" customWidth="1"/>
    <col min="5843" max="5850" width="8.7109375" customWidth="1"/>
    <col min="5851" max="5862" width="9.140625" customWidth="1"/>
    <col min="5865" max="5865" width="9.140625" customWidth="1"/>
    <col min="5867" max="5868" width="9.140625" customWidth="1"/>
    <col min="5874" max="5874" width="9.140625" customWidth="1"/>
    <col min="5877" max="5883" width="9.140625" customWidth="1"/>
    <col min="5884" max="5884" width="10.42578125" customWidth="1"/>
    <col min="5885" max="5885" width="10" customWidth="1"/>
    <col min="5886" max="5886" width="10.140625" customWidth="1"/>
    <col min="5887" max="5887" width="10.42578125" customWidth="1"/>
    <col min="5888" max="5888" width="10" customWidth="1"/>
    <col min="5889" max="5889" width="10.140625" customWidth="1"/>
    <col min="6097" max="6097" width="24.42578125" bestFit="1" customWidth="1"/>
    <col min="6098" max="6098" width="9.5703125" customWidth="1"/>
    <col min="6099" max="6106" width="8.7109375" customWidth="1"/>
    <col min="6107" max="6118" width="9.140625" customWidth="1"/>
    <col min="6121" max="6121" width="9.140625" customWidth="1"/>
    <col min="6123" max="6124" width="9.140625" customWidth="1"/>
    <col min="6130" max="6130" width="9.140625" customWidth="1"/>
    <col min="6133" max="6139" width="9.140625" customWidth="1"/>
    <col min="6140" max="6140" width="10.42578125" customWidth="1"/>
    <col min="6141" max="6141" width="10" customWidth="1"/>
    <col min="6142" max="6142" width="10.140625" customWidth="1"/>
    <col min="6143" max="6143" width="10.42578125" customWidth="1"/>
    <col min="6144" max="6144" width="10" customWidth="1"/>
    <col min="6145" max="6145" width="10.140625" customWidth="1"/>
    <col min="6353" max="6353" width="24.42578125" bestFit="1" customWidth="1"/>
    <col min="6354" max="6354" width="9.5703125" customWidth="1"/>
    <col min="6355" max="6362" width="8.7109375" customWidth="1"/>
    <col min="6363" max="6374" width="9.140625" customWidth="1"/>
    <col min="6377" max="6377" width="9.140625" customWidth="1"/>
    <col min="6379" max="6380" width="9.140625" customWidth="1"/>
    <col min="6386" max="6386" width="9.140625" customWidth="1"/>
    <col min="6389" max="6395" width="9.140625" customWidth="1"/>
    <col min="6396" max="6396" width="10.42578125" customWidth="1"/>
    <col min="6397" max="6397" width="10" customWidth="1"/>
    <col min="6398" max="6398" width="10.140625" customWidth="1"/>
    <col min="6399" max="6399" width="10.42578125" customWidth="1"/>
    <col min="6400" max="6400" width="10" customWidth="1"/>
    <col min="6401" max="6401" width="10.140625" customWidth="1"/>
    <col min="6609" max="6609" width="24.42578125" bestFit="1" customWidth="1"/>
    <col min="6610" max="6610" width="9.5703125" customWidth="1"/>
    <col min="6611" max="6618" width="8.7109375" customWidth="1"/>
    <col min="6619" max="6630" width="9.140625" customWidth="1"/>
    <col min="6633" max="6633" width="9.140625" customWidth="1"/>
    <col min="6635" max="6636" width="9.140625" customWidth="1"/>
    <col min="6642" max="6642" width="9.140625" customWidth="1"/>
    <col min="6645" max="6651" width="9.140625" customWidth="1"/>
    <col min="6652" max="6652" width="10.42578125" customWidth="1"/>
    <col min="6653" max="6653" width="10" customWidth="1"/>
    <col min="6654" max="6654" width="10.140625" customWidth="1"/>
    <col min="6655" max="6655" width="10.42578125" customWidth="1"/>
    <col min="6656" max="6656" width="10" customWidth="1"/>
    <col min="6657" max="6657" width="10.140625" customWidth="1"/>
    <col min="6865" max="6865" width="24.42578125" bestFit="1" customWidth="1"/>
    <col min="6866" max="6866" width="9.5703125" customWidth="1"/>
    <col min="6867" max="6874" width="8.7109375" customWidth="1"/>
    <col min="6875" max="6886" width="9.140625" customWidth="1"/>
    <col min="6889" max="6889" width="9.140625" customWidth="1"/>
    <col min="6891" max="6892" width="9.140625" customWidth="1"/>
    <col min="6898" max="6898" width="9.140625" customWidth="1"/>
    <col min="6901" max="6907" width="9.140625" customWidth="1"/>
    <col min="6908" max="6908" width="10.42578125" customWidth="1"/>
    <col min="6909" max="6909" width="10" customWidth="1"/>
    <col min="6910" max="6910" width="10.140625" customWidth="1"/>
    <col min="6911" max="6911" width="10.42578125" customWidth="1"/>
    <col min="6912" max="6912" width="10" customWidth="1"/>
    <col min="6913" max="6913" width="10.140625" customWidth="1"/>
    <col min="7121" max="7121" width="24.42578125" bestFit="1" customWidth="1"/>
    <col min="7122" max="7122" width="9.5703125" customWidth="1"/>
    <col min="7123" max="7130" width="8.7109375" customWidth="1"/>
    <col min="7131" max="7142" width="9.140625" customWidth="1"/>
    <col min="7145" max="7145" width="9.140625" customWidth="1"/>
    <col min="7147" max="7148" width="9.140625" customWidth="1"/>
    <col min="7154" max="7154" width="9.140625" customWidth="1"/>
    <col min="7157" max="7163" width="9.140625" customWidth="1"/>
    <col min="7164" max="7164" width="10.42578125" customWidth="1"/>
    <col min="7165" max="7165" width="10" customWidth="1"/>
    <col min="7166" max="7166" width="10.140625" customWidth="1"/>
    <col min="7167" max="7167" width="10.42578125" customWidth="1"/>
    <col min="7168" max="7168" width="10" customWidth="1"/>
    <col min="7169" max="7169" width="10.140625" customWidth="1"/>
    <col min="7377" max="7377" width="24.42578125" bestFit="1" customWidth="1"/>
    <col min="7378" max="7378" width="9.5703125" customWidth="1"/>
    <col min="7379" max="7386" width="8.7109375" customWidth="1"/>
    <col min="7387" max="7398" width="9.140625" customWidth="1"/>
    <col min="7401" max="7401" width="9.140625" customWidth="1"/>
    <col min="7403" max="7404" width="9.140625" customWidth="1"/>
    <col min="7410" max="7410" width="9.140625" customWidth="1"/>
    <col min="7413" max="7419" width="9.140625" customWidth="1"/>
    <col min="7420" max="7420" width="10.42578125" customWidth="1"/>
    <col min="7421" max="7421" width="10" customWidth="1"/>
    <col min="7422" max="7422" width="10.140625" customWidth="1"/>
    <col min="7423" max="7423" width="10.42578125" customWidth="1"/>
    <col min="7424" max="7424" width="10" customWidth="1"/>
    <col min="7425" max="7425" width="10.140625" customWidth="1"/>
    <col min="7633" max="7633" width="24.42578125" bestFit="1" customWidth="1"/>
    <col min="7634" max="7634" width="9.5703125" customWidth="1"/>
    <col min="7635" max="7642" width="8.7109375" customWidth="1"/>
    <col min="7643" max="7654" width="9.140625" customWidth="1"/>
    <col min="7657" max="7657" width="9.140625" customWidth="1"/>
    <col min="7659" max="7660" width="9.140625" customWidth="1"/>
    <col min="7666" max="7666" width="9.140625" customWidth="1"/>
    <col min="7669" max="7675" width="9.140625" customWidth="1"/>
    <col min="7676" max="7676" width="10.42578125" customWidth="1"/>
    <col min="7677" max="7677" width="10" customWidth="1"/>
    <col min="7678" max="7678" width="10.140625" customWidth="1"/>
    <col min="7679" max="7679" width="10.42578125" customWidth="1"/>
    <col min="7680" max="7680" width="10" customWidth="1"/>
    <col min="7681" max="7681" width="10.140625" customWidth="1"/>
    <col min="7889" max="7889" width="24.42578125" bestFit="1" customWidth="1"/>
    <col min="7890" max="7890" width="9.5703125" customWidth="1"/>
    <col min="7891" max="7898" width="8.7109375" customWidth="1"/>
    <col min="7899" max="7910" width="9.140625" customWidth="1"/>
    <col min="7913" max="7913" width="9.140625" customWidth="1"/>
    <col min="7915" max="7916" width="9.140625" customWidth="1"/>
    <col min="7922" max="7922" width="9.140625" customWidth="1"/>
    <col min="7925" max="7931" width="9.140625" customWidth="1"/>
    <col min="7932" max="7932" width="10.42578125" customWidth="1"/>
    <col min="7933" max="7933" width="10" customWidth="1"/>
    <col min="7934" max="7934" width="10.140625" customWidth="1"/>
    <col min="7935" max="7935" width="10.42578125" customWidth="1"/>
    <col min="7936" max="7936" width="10" customWidth="1"/>
    <col min="7937" max="7937" width="10.140625" customWidth="1"/>
    <col min="8145" max="8145" width="24.42578125" bestFit="1" customWidth="1"/>
    <col min="8146" max="8146" width="9.5703125" customWidth="1"/>
    <col min="8147" max="8154" width="8.7109375" customWidth="1"/>
    <col min="8155" max="8166" width="9.140625" customWidth="1"/>
    <col min="8169" max="8169" width="9.140625" customWidth="1"/>
    <col min="8171" max="8172" width="9.140625" customWidth="1"/>
    <col min="8178" max="8178" width="9.140625" customWidth="1"/>
    <col min="8181" max="8187" width="9.140625" customWidth="1"/>
    <col min="8188" max="8188" width="10.42578125" customWidth="1"/>
    <col min="8189" max="8189" width="10" customWidth="1"/>
    <col min="8190" max="8190" width="10.140625" customWidth="1"/>
    <col min="8191" max="8191" width="10.42578125" customWidth="1"/>
    <col min="8192" max="8192" width="10" customWidth="1"/>
    <col min="8193" max="8193" width="10.140625" customWidth="1"/>
    <col min="8401" max="8401" width="24.42578125" bestFit="1" customWidth="1"/>
    <col min="8402" max="8402" width="9.5703125" customWidth="1"/>
    <col min="8403" max="8410" width="8.7109375" customWidth="1"/>
    <col min="8411" max="8422" width="9.140625" customWidth="1"/>
    <col min="8425" max="8425" width="9.140625" customWidth="1"/>
    <col min="8427" max="8428" width="9.140625" customWidth="1"/>
    <col min="8434" max="8434" width="9.140625" customWidth="1"/>
    <col min="8437" max="8443" width="9.140625" customWidth="1"/>
    <col min="8444" max="8444" width="10.42578125" customWidth="1"/>
    <col min="8445" max="8445" width="10" customWidth="1"/>
    <col min="8446" max="8446" width="10.140625" customWidth="1"/>
    <col min="8447" max="8447" width="10.42578125" customWidth="1"/>
    <col min="8448" max="8448" width="10" customWidth="1"/>
    <col min="8449" max="8449" width="10.140625" customWidth="1"/>
    <col min="8657" max="8657" width="24.42578125" bestFit="1" customWidth="1"/>
    <col min="8658" max="8658" width="9.5703125" customWidth="1"/>
    <col min="8659" max="8666" width="8.7109375" customWidth="1"/>
    <col min="8667" max="8678" width="9.140625" customWidth="1"/>
    <col min="8681" max="8681" width="9.140625" customWidth="1"/>
    <col min="8683" max="8684" width="9.140625" customWidth="1"/>
    <col min="8690" max="8690" width="9.140625" customWidth="1"/>
    <col min="8693" max="8699" width="9.140625" customWidth="1"/>
    <col min="8700" max="8700" width="10.42578125" customWidth="1"/>
    <col min="8701" max="8701" width="10" customWidth="1"/>
    <col min="8702" max="8702" width="10.140625" customWidth="1"/>
    <col min="8703" max="8703" width="10.42578125" customWidth="1"/>
    <col min="8704" max="8704" width="10" customWidth="1"/>
    <col min="8705" max="8705" width="10.140625" customWidth="1"/>
    <col min="8913" max="8913" width="24.42578125" bestFit="1" customWidth="1"/>
    <col min="8914" max="8914" width="9.5703125" customWidth="1"/>
    <col min="8915" max="8922" width="8.7109375" customWidth="1"/>
    <col min="8923" max="8934" width="9.140625" customWidth="1"/>
    <col min="8937" max="8937" width="9.140625" customWidth="1"/>
    <col min="8939" max="8940" width="9.140625" customWidth="1"/>
    <col min="8946" max="8946" width="9.140625" customWidth="1"/>
    <col min="8949" max="8955" width="9.140625" customWidth="1"/>
    <col min="8956" max="8956" width="10.42578125" customWidth="1"/>
    <col min="8957" max="8957" width="10" customWidth="1"/>
    <col min="8958" max="8958" width="10.140625" customWidth="1"/>
    <col min="8959" max="8959" width="10.42578125" customWidth="1"/>
    <col min="8960" max="8960" width="10" customWidth="1"/>
    <col min="8961" max="8961" width="10.140625" customWidth="1"/>
    <col min="9169" max="9169" width="24.42578125" bestFit="1" customWidth="1"/>
    <col min="9170" max="9170" width="9.5703125" customWidth="1"/>
    <col min="9171" max="9178" width="8.7109375" customWidth="1"/>
    <col min="9179" max="9190" width="9.140625" customWidth="1"/>
    <col min="9193" max="9193" width="9.140625" customWidth="1"/>
    <col min="9195" max="9196" width="9.140625" customWidth="1"/>
    <col min="9202" max="9202" width="9.140625" customWidth="1"/>
    <col min="9205" max="9211" width="9.140625" customWidth="1"/>
    <col min="9212" max="9212" width="10.42578125" customWidth="1"/>
    <col min="9213" max="9213" width="10" customWidth="1"/>
    <col min="9214" max="9214" width="10.140625" customWidth="1"/>
    <col min="9215" max="9215" width="10.42578125" customWidth="1"/>
    <col min="9216" max="9216" width="10" customWidth="1"/>
    <col min="9217" max="9217" width="10.140625" customWidth="1"/>
    <col min="9425" max="9425" width="24.42578125" bestFit="1" customWidth="1"/>
    <col min="9426" max="9426" width="9.5703125" customWidth="1"/>
    <col min="9427" max="9434" width="8.7109375" customWidth="1"/>
    <col min="9435" max="9446" width="9.140625" customWidth="1"/>
    <col min="9449" max="9449" width="9.140625" customWidth="1"/>
    <col min="9451" max="9452" width="9.140625" customWidth="1"/>
    <col min="9458" max="9458" width="9.140625" customWidth="1"/>
    <col min="9461" max="9467" width="9.140625" customWidth="1"/>
    <col min="9468" max="9468" width="10.42578125" customWidth="1"/>
    <col min="9469" max="9469" width="10" customWidth="1"/>
    <col min="9470" max="9470" width="10.140625" customWidth="1"/>
    <col min="9471" max="9471" width="10.42578125" customWidth="1"/>
    <col min="9472" max="9472" width="10" customWidth="1"/>
    <col min="9473" max="9473" width="10.140625" customWidth="1"/>
    <col min="9681" max="9681" width="24.42578125" bestFit="1" customWidth="1"/>
    <col min="9682" max="9682" width="9.5703125" customWidth="1"/>
    <col min="9683" max="9690" width="8.7109375" customWidth="1"/>
    <col min="9691" max="9702" width="9.140625" customWidth="1"/>
    <col min="9705" max="9705" width="9.140625" customWidth="1"/>
    <col min="9707" max="9708" width="9.140625" customWidth="1"/>
    <col min="9714" max="9714" width="9.140625" customWidth="1"/>
    <col min="9717" max="9723" width="9.140625" customWidth="1"/>
    <col min="9724" max="9724" width="10.42578125" customWidth="1"/>
    <col min="9725" max="9725" width="10" customWidth="1"/>
    <col min="9726" max="9726" width="10.140625" customWidth="1"/>
    <col min="9727" max="9727" width="10.42578125" customWidth="1"/>
    <col min="9728" max="9728" width="10" customWidth="1"/>
    <col min="9729" max="9729" width="10.140625" customWidth="1"/>
    <col min="9937" max="9937" width="24.42578125" bestFit="1" customWidth="1"/>
    <col min="9938" max="9938" width="9.5703125" customWidth="1"/>
    <col min="9939" max="9946" width="8.7109375" customWidth="1"/>
    <col min="9947" max="9958" width="9.140625" customWidth="1"/>
    <col min="9961" max="9961" width="9.140625" customWidth="1"/>
    <col min="9963" max="9964" width="9.140625" customWidth="1"/>
    <col min="9970" max="9970" width="9.140625" customWidth="1"/>
    <col min="9973" max="9979" width="9.140625" customWidth="1"/>
    <col min="9980" max="9980" width="10.42578125" customWidth="1"/>
    <col min="9981" max="9981" width="10" customWidth="1"/>
    <col min="9982" max="9982" width="10.140625" customWidth="1"/>
    <col min="9983" max="9983" width="10.42578125" customWidth="1"/>
    <col min="9984" max="9984" width="10" customWidth="1"/>
    <col min="9985" max="9985" width="10.140625" customWidth="1"/>
    <col min="10193" max="10193" width="24.42578125" bestFit="1" customWidth="1"/>
    <col min="10194" max="10194" width="9.5703125" customWidth="1"/>
    <col min="10195" max="10202" width="8.7109375" customWidth="1"/>
    <col min="10203" max="10214" width="9.140625" customWidth="1"/>
    <col min="10217" max="10217" width="9.140625" customWidth="1"/>
    <col min="10219" max="10220" width="9.140625" customWidth="1"/>
    <col min="10226" max="10226" width="9.140625" customWidth="1"/>
    <col min="10229" max="10235" width="9.140625" customWidth="1"/>
    <col min="10236" max="10236" width="10.42578125" customWidth="1"/>
    <col min="10237" max="10237" width="10" customWidth="1"/>
    <col min="10238" max="10238" width="10.140625" customWidth="1"/>
    <col min="10239" max="10239" width="10.42578125" customWidth="1"/>
    <col min="10240" max="10240" width="10" customWidth="1"/>
    <col min="10241" max="10241" width="10.140625" customWidth="1"/>
    <col min="10449" max="10449" width="24.42578125" bestFit="1" customWidth="1"/>
    <col min="10450" max="10450" width="9.5703125" customWidth="1"/>
    <col min="10451" max="10458" width="8.7109375" customWidth="1"/>
    <col min="10459" max="10470" width="9.140625" customWidth="1"/>
    <col min="10473" max="10473" width="9.140625" customWidth="1"/>
    <col min="10475" max="10476" width="9.140625" customWidth="1"/>
    <col min="10482" max="10482" width="9.140625" customWidth="1"/>
    <col min="10485" max="10491" width="9.140625" customWidth="1"/>
    <col min="10492" max="10492" width="10.42578125" customWidth="1"/>
    <col min="10493" max="10493" width="10" customWidth="1"/>
    <col min="10494" max="10494" width="10.140625" customWidth="1"/>
    <col min="10495" max="10495" width="10.42578125" customWidth="1"/>
    <col min="10496" max="10496" width="10" customWidth="1"/>
    <col min="10497" max="10497" width="10.140625" customWidth="1"/>
    <col min="10705" max="10705" width="24.42578125" bestFit="1" customWidth="1"/>
    <col min="10706" max="10706" width="9.5703125" customWidth="1"/>
    <col min="10707" max="10714" width="8.7109375" customWidth="1"/>
    <col min="10715" max="10726" width="9.140625" customWidth="1"/>
    <col min="10729" max="10729" width="9.140625" customWidth="1"/>
    <col min="10731" max="10732" width="9.140625" customWidth="1"/>
    <col min="10738" max="10738" width="9.140625" customWidth="1"/>
    <col min="10741" max="10747" width="9.140625" customWidth="1"/>
    <col min="10748" max="10748" width="10.42578125" customWidth="1"/>
    <col min="10749" max="10749" width="10" customWidth="1"/>
    <col min="10750" max="10750" width="10.140625" customWidth="1"/>
    <col min="10751" max="10751" width="10.42578125" customWidth="1"/>
    <col min="10752" max="10752" width="10" customWidth="1"/>
    <col min="10753" max="10753" width="10.140625" customWidth="1"/>
    <col min="10961" max="10961" width="24.42578125" bestFit="1" customWidth="1"/>
    <col min="10962" max="10962" width="9.5703125" customWidth="1"/>
    <col min="10963" max="10970" width="8.7109375" customWidth="1"/>
    <col min="10971" max="10982" width="9.140625" customWidth="1"/>
    <col min="10985" max="10985" width="9.140625" customWidth="1"/>
    <col min="10987" max="10988" width="9.140625" customWidth="1"/>
    <col min="10994" max="10994" width="9.140625" customWidth="1"/>
    <col min="10997" max="11003" width="9.140625" customWidth="1"/>
    <col min="11004" max="11004" width="10.42578125" customWidth="1"/>
    <col min="11005" max="11005" width="10" customWidth="1"/>
    <col min="11006" max="11006" width="10.140625" customWidth="1"/>
    <col min="11007" max="11007" width="10.42578125" customWidth="1"/>
    <col min="11008" max="11008" width="10" customWidth="1"/>
    <col min="11009" max="11009" width="10.140625" customWidth="1"/>
    <col min="11217" max="11217" width="24.42578125" bestFit="1" customWidth="1"/>
    <col min="11218" max="11218" width="9.5703125" customWidth="1"/>
    <col min="11219" max="11226" width="8.7109375" customWidth="1"/>
    <col min="11227" max="11238" width="9.140625" customWidth="1"/>
    <col min="11241" max="11241" width="9.140625" customWidth="1"/>
    <col min="11243" max="11244" width="9.140625" customWidth="1"/>
    <col min="11250" max="11250" width="9.140625" customWidth="1"/>
    <col min="11253" max="11259" width="9.140625" customWidth="1"/>
    <col min="11260" max="11260" width="10.42578125" customWidth="1"/>
    <col min="11261" max="11261" width="10" customWidth="1"/>
    <col min="11262" max="11262" width="10.140625" customWidth="1"/>
    <col min="11263" max="11263" width="10.42578125" customWidth="1"/>
    <col min="11264" max="11264" width="10" customWidth="1"/>
    <col min="11265" max="11265" width="10.140625" customWidth="1"/>
    <col min="11473" max="11473" width="24.42578125" bestFit="1" customWidth="1"/>
    <col min="11474" max="11474" width="9.5703125" customWidth="1"/>
    <col min="11475" max="11482" width="8.7109375" customWidth="1"/>
    <col min="11483" max="11494" width="9.140625" customWidth="1"/>
    <col min="11497" max="11497" width="9.140625" customWidth="1"/>
    <col min="11499" max="11500" width="9.140625" customWidth="1"/>
    <col min="11506" max="11506" width="9.140625" customWidth="1"/>
    <col min="11509" max="11515" width="9.140625" customWidth="1"/>
    <col min="11516" max="11516" width="10.42578125" customWidth="1"/>
    <col min="11517" max="11517" width="10" customWidth="1"/>
    <col min="11518" max="11518" width="10.140625" customWidth="1"/>
    <col min="11519" max="11519" width="10.42578125" customWidth="1"/>
    <col min="11520" max="11520" width="10" customWidth="1"/>
    <col min="11521" max="11521" width="10.140625" customWidth="1"/>
    <col min="11729" max="11729" width="24.42578125" bestFit="1" customWidth="1"/>
    <col min="11730" max="11730" width="9.5703125" customWidth="1"/>
    <col min="11731" max="11738" width="8.7109375" customWidth="1"/>
    <col min="11739" max="11750" width="9.140625" customWidth="1"/>
    <col min="11753" max="11753" width="9.140625" customWidth="1"/>
    <col min="11755" max="11756" width="9.140625" customWidth="1"/>
    <col min="11762" max="11762" width="9.140625" customWidth="1"/>
    <col min="11765" max="11771" width="9.140625" customWidth="1"/>
    <col min="11772" max="11772" width="10.42578125" customWidth="1"/>
    <col min="11773" max="11773" width="10" customWidth="1"/>
    <col min="11774" max="11774" width="10.140625" customWidth="1"/>
    <col min="11775" max="11775" width="10.42578125" customWidth="1"/>
    <col min="11776" max="11776" width="10" customWidth="1"/>
    <col min="11777" max="11777" width="10.140625" customWidth="1"/>
    <col min="11985" max="11985" width="24.42578125" bestFit="1" customWidth="1"/>
    <col min="11986" max="11986" width="9.5703125" customWidth="1"/>
    <col min="11987" max="11994" width="8.7109375" customWidth="1"/>
    <col min="11995" max="12006" width="9.140625" customWidth="1"/>
    <col min="12009" max="12009" width="9.140625" customWidth="1"/>
    <col min="12011" max="12012" width="9.140625" customWidth="1"/>
    <col min="12018" max="12018" width="9.140625" customWidth="1"/>
    <col min="12021" max="12027" width="9.140625" customWidth="1"/>
    <col min="12028" max="12028" width="10.42578125" customWidth="1"/>
    <col min="12029" max="12029" width="10" customWidth="1"/>
    <col min="12030" max="12030" width="10.140625" customWidth="1"/>
    <col min="12031" max="12031" width="10.42578125" customWidth="1"/>
    <col min="12032" max="12032" width="10" customWidth="1"/>
    <col min="12033" max="12033" width="10.140625" customWidth="1"/>
    <col min="12241" max="12241" width="24.42578125" bestFit="1" customWidth="1"/>
    <col min="12242" max="12242" width="9.5703125" customWidth="1"/>
    <col min="12243" max="12250" width="8.7109375" customWidth="1"/>
    <col min="12251" max="12262" width="9.140625" customWidth="1"/>
    <col min="12265" max="12265" width="9.140625" customWidth="1"/>
    <col min="12267" max="12268" width="9.140625" customWidth="1"/>
    <col min="12274" max="12274" width="9.140625" customWidth="1"/>
    <col min="12277" max="12283" width="9.140625" customWidth="1"/>
    <col min="12284" max="12284" width="10.42578125" customWidth="1"/>
    <col min="12285" max="12285" width="10" customWidth="1"/>
    <col min="12286" max="12286" width="10.140625" customWidth="1"/>
    <col min="12287" max="12287" width="10.42578125" customWidth="1"/>
    <col min="12288" max="12288" width="10" customWidth="1"/>
    <col min="12289" max="12289" width="10.140625" customWidth="1"/>
    <col min="12497" max="12497" width="24.42578125" bestFit="1" customWidth="1"/>
    <col min="12498" max="12498" width="9.5703125" customWidth="1"/>
    <col min="12499" max="12506" width="8.7109375" customWidth="1"/>
    <col min="12507" max="12518" width="9.140625" customWidth="1"/>
    <col min="12521" max="12521" width="9.140625" customWidth="1"/>
    <col min="12523" max="12524" width="9.140625" customWidth="1"/>
    <col min="12530" max="12530" width="9.140625" customWidth="1"/>
    <col min="12533" max="12539" width="9.140625" customWidth="1"/>
    <col min="12540" max="12540" width="10.42578125" customWidth="1"/>
    <col min="12541" max="12541" width="10" customWidth="1"/>
    <col min="12542" max="12542" width="10.140625" customWidth="1"/>
    <col min="12543" max="12543" width="10.42578125" customWidth="1"/>
    <col min="12544" max="12544" width="10" customWidth="1"/>
    <col min="12545" max="12545" width="10.140625" customWidth="1"/>
    <col min="12753" max="12753" width="24.42578125" bestFit="1" customWidth="1"/>
    <col min="12754" max="12754" width="9.5703125" customWidth="1"/>
    <col min="12755" max="12762" width="8.7109375" customWidth="1"/>
    <col min="12763" max="12774" width="9.140625" customWidth="1"/>
    <col min="12777" max="12777" width="9.140625" customWidth="1"/>
    <col min="12779" max="12780" width="9.140625" customWidth="1"/>
    <col min="12786" max="12786" width="9.140625" customWidth="1"/>
    <col min="12789" max="12795" width="9.140625" customWidth="1"/>
    <col min="12796" max="12796" width="10.42578125" customWidth="1"/>
    <col min="12797" max="12797" width="10" customWidth="1"/>
    <col min="12798" max="12798" width="10.140625" customWidth="1"/>
    <col min="12799" max="12799" width="10.42578125" customWidth="1"/>
    <col min="12800" max="12800" width="10" customWidth="1"/>
    <col min="12801" max="12801" width="10.140625" customWidth="1"/>
    <col min="13009" max="13009" width="24.42578125" bestFit="1" customWidth="1"/>
    <col min="13010" max="13010" width="9.5703125" customWidth="1"/>
    <col min="13011" max="13018" width="8.7109375" customWidth="1"/>
    <col min="13019" max="13030" width="9.140625" customWidth="1"/>
    <col min="13033" max="13033" width="9.140625" customWidth="1"/>
    <col min="13035" max="13036" width="9.140625" customWidth="1"/>
    <col min="13042" max="13042" width="9.140625" customWidth="1"/>
    <col min="13045" max="13051" width="9.140625" customWidth="1"/>
    <col min="13052" max="13052" width="10.42578125" customWidth="1"/>
    <col min="13053" max="13053" width="10" customWidth="1"/>
    <col min="13054" max="13054" width="10.140625" customWidth="1"/>
    <col min="13055" max="13055" width="10.42578125" customWidth="1"/>
    <col min="13056" max="13056" width="10" customWidth="1"/>
    <col min="13057" max="13057" width="10.140625" customWidth="1"/>
    <col min="13265" max="13265" width="24.42578125" bestFit="1" customWidth="1"/>
    <col min="13266" max="13266" width="9.5703125" customWidth="1"/>
    <col min="13267" max="13274" width="8.7109375" customWidth="1"/>
    <col min="13275" max="13286" width="9.140625" customWidth="1"/>
    <col min="13289" max="13289" width="9.140625" customWidth="1"/>
    <col min="13291" max="13292" width="9.140625" customWidth="1"/>
    <col min="13298" max="13298" width="9.140625" customWidth="1"/>
    <col min="13301" max="13307" width="9.140625" customWidth="1"/>
    <col min="13308" max="13308" width="10.42578125" customWidth="1"/>
    <col min="13309" max="13309" width="10" customWidth="1"/>
    <col min="13310" max="13310" width="10.140625" customWidth="1"/>
    <col min="13311" max="13311" width="10.42578125" customWidth="1"/>
    <col min="13312" max="13312" width="10" customWidth="1"/>
    <col min="13313" max="13313" width="10.140625" customWidth="1"/>
    <col min="13521" max="13521" width="24.42578125" bestFit="1" customWidth="1"/>
    <col min="13522" max="13522" width="9.5703125" customWidth="1"/>
    <col min="13523" max="13530" width="8.7109375" customWidth="1"/>
    <col min="13531" max="13542" width="9.140625" customWidth="1"/>
    <col min="13545" max="13545" width="9.140625" customWidth="1"/>
    <col min="13547" max="13548" width="9.140625" customWidth="1"/>
    <col min="13554" max="13554" width="9.140625" customWidth="1"/>
    <col min="13557" max="13563" width="9.140625" customWidth="1"/>
    <col min="13564" max="13564" width="10.42578125" customWidth="1"/>
    <col min="13565" max="13565" width="10" customWidth="1"/>
    <col min="13566" max="13566" width="10.140625" customWidth="1"/>
    <col min="13567" max="13567" width="10.42578125" customWidth="1"/>
    <col min="13568" max="13568" width="10" customWidth="1"/>
    <col min="13569" max="13569" width="10.140625" customWidth="1"/>
    <col min="13777" max="13777" width="24.42578125" bestFit="1" customWidth="1"/>
    <col min="13778" max="13778" width="9.5703125" customWidth="1"/>
    <col min="13779" max="13786" width="8.7109375" customWidth="1"/>
    <col min="13787" max="13798" width="9.140625" customWidth="1"/>
    <col min="13801" max="13801" width="9.140625" customWidth="1"/>
    <col min="13803" max="13804" width="9.140625" customWidth="1"/>
    <col min="13810" max="13810" width="9.140625" customWidth="1"/>
    <col min="13813" max="13819" width="9.140625" customWidth="1"/>
    <col min="13820" max="13820" width="10.42578125" customWidth="1"/>
    <col min="13821" max="13821" width="10" customWidth="1"/>
    <col min="13822" max="13822" width="10.140625" customWidth="1"/>
    <col min="13823" max="13823" width="10.42578125" customWidth="1"/>
    <col min="13824" max="13824" width="10" customWidth="1"/>
    <col min="13825" max="13825" width="10.140625" customWidth="1"/>
    <col min="14033" max="14033" width="24.42578125" bestFit="1" customWidth="1"/>
    <col min="14034" max="14034" width="9.5703125" customWidth="1"/>
    <col min="14035" max="14042" width="8.7109375" customWidth="1"/>
    <col min="14043" max="14054" width="9.140625" customWidth="1"/>
    <col min="14057" max="14057" width="9.140625" customWidth="1"/>
    <col min="14059" max="14060" width="9.140625" customWidth="1"/>
    <col min="14066" max="14066" width="9.140625" customWidth="1"/>
    <col min="14069" max="14075" width="9.140625" customWidth="1"/>
    <col min="14076" max="14076" width="10.42578125" customWidth="1"/>
    <col min="14077" max="14077" width="10" customWidth="1"/>
    <col min="14078" max="14078" width="10.140625" customWidth="1"/>
    <col min="14079" max="14079" width="10.42578125" customWidth="1"/>
    <col min="14080" max="14080" width="10" customWidth="1"/>
    <col min="14081" max="14081" width="10.140625" customWidth="1"/>
    <col min="14289" max="14289" width="24.42578125" bestFit="1" customWidth="1"/>
    <col min="14290" max="14290" width="9.5703125" customWidth="1"/>
    <col min="14291" max="14298" width="8.7109375" customWidth="1"/>
    <col min="14299" max="14310" width="9.140625" customWidth="1"/>
    <col min="14313" max="14313" width="9.140625" customWidth="1"/>
    <col min="14315" max="14316" width="9.140625" customWidth="1"/>
    <col min="14322" max="14322" width="9.140625" customWidth="1"/>
    <col min="14325" max="14331" width="9.140625" customWidth="1"/>
    <col min="14332" max="14332" width="10.42578125" customWidth="1"/>
    <col min="14333" max="14333" width="10" customWidth="1"/>
    <col min="14334" max="14334" width="10.140625" customWidth="1"/>
    <col min="14335" max="14335" width="10.42578125" customWidth="1"/>
    <col min="14336" max="14336" width="10" customWidth="1"/>
    <col min="14337" max="14337" width="10.140625" customWidth="1"/>
    <col min="14545" max="14545" width="24.42578125" bestFit="1" customWidth="1"/>
    <col min="14546" max="14546" width="9.5703125" customWidth="1"/>
    <col min="14547" max="14554" width="8.7109375" customWidth="1"/>
    <col min="14555" max="14566" width="9.140625" customWidth="1"/>
    <col min="14569" max="14569" width="9.140625" customWidth="1"/>
    <col min="14571" max="14572" width="9.140625" customWidth="1"/>
    <col min="14578" max="14578" width="9.140625" customWidth="1"/>
    <col min="14581" max="14587" width="9.140625" customWidth="1"/>
    <col min="14588" max="14588" width="10.42578125" customWidth="1"/>
    <col min="14589" max="14589" width="10" customWidth="1"/>
    <col min="14590" max="14590" width="10.140625" customWidth="1"/>
    <col min="14591" max="14591" width="10.42578125" customWidth="1"/>
    <col min="14592" max="14592" width="10" customWidth="1"/>
    <col min="14593" max="14593" width="10.140625" customWidth="1"/>
    <col min="14801" max="14801" width="24.42578125" bestFit="1" customWidth="1"/>
    <col min="14802" max="14802" width="9.5703125" customWidth="1"/>
    <col min="14803" max="14810" width="8.7109375" customWidth="1"/>
    <col min="14811" max="14822" width="9.140625" customWidth="1"/>
    <col min="14825" max="14825" width="9.140625" customWidth="1"/>
    <col min="14827" max="14828" width="9.140625" customWidth="1"/>
    <col min="14834" max="14834" width="9.140625" customWidth="1"/>
    <col min="14837" max="14843" width="9.140625" customWidth="1"/>
    <col min="14844" max="14844" width="10.42578125" customWidth="1"/>
    <col min="14845" max="14845" width="10" customWidth="1"/>
    <col min="14846" max="14846" width="10.140625" customWidth="1"/>
    <col min="14847" max="14847" width="10.42578125" customWidth="1"/>
    <col min="14848" max="14848" width="10" customWidth="1"/>
    <col min="14849" max="14849" width="10.140625" customWidth="1"/>
    <col min="15057" max="15057" width="24.42578125" bestFit="1" customWidth="1"/>
    <col min="15058" max="15058" width="9.5703125" customWidth="1"/>
    <col min="15059" max="15066" width="8.7109375" customWidth="1"/>
    <col min="15067" max="15078" width="9.140625" customWidth="1"/>
    <col min="15081" max="15081" width="9.140625" customWidth="1"/>
    <col min="15083" max="15084" width="9.140625" customWidth="1"/>
    <col min="15090" max="15090" width="9.140625" customWidth="1"/>
    <col min="15093" max="15099" width="9.140625" customWidth="1"/>
    <col min="15100" max="15100" width="10.42578125" customWidth="1"/>
    <col min="15101" max="15101" width="10" customWidth="1"/>
    <col min="15102" max="15102" width="10.140625" customWidth="1"/>
    <col min="15103" max="15103" width="10.42578125" customWidth="1"/>
    <col min="15104" max="15104" width="10" customWidth="1"/>
    <col min="15105" max="15105" width="10.140625" customWidth="1"/>
    <col min="15313" max="15313" width="24.42578125" bestFit="1" customWidth="1"/>
    <col min="15314" max="15314" width="9.5703125" customWidth="1"/>
    <col min="15315" max="15322" width="8.7109375" customWidth="1"/>
    <col min="15323" max="15334" width="9.140625" customWidth="1"/>
    <col min="15337" max="15337" width="9.140625" customWidth="1"/>
    <col min="15339" max="15340" width="9.140625" customWidth="1"/>
    <col min="15346" max="15346" width="9.140625" customWidth="1"/>
    <col min="15349" max="15355" width="9.140625" customWidth="1"/>
    <col min="15356" max="15356" width="10.42578125" customWidth="1"/>
    <col min="15357" max="15357" width="10" customWidth="1"/>
    <col min="15358" max="15358" width="10.140625" customWidth="1"/>
    <col min="15359" max="15359" width="10.42578125" customWidth="1"/>
    <col min="15360" max="15360" width="10" customWidth="1"/>
    <col min="15361" max="15361" width="10.140625" customWidth="1"/>
    <col min="15569" max="15569" width="24.42578125" bestFit="1" customWidth="1"/>
    <col min="15570" max="15570" width="9.5703125" customWidth="1"/>
    <col min="15571" max="15578" width="8.7109375" customWidth="1"/>
    <col min="15579" max="15590" width="9.140625" customWidth="1"/>
    <col min="15593" max="15593" width="9.140625" customWidth="1"/>
    <col min="15595" max="15596" width="9.140625" customWidth="1"/>
    <col min="15602" max="15602" width="9.140625" customWidth="1"/>
    <col min="15605" max="15611" width="9.140625" customWidth="1"/>
    <col min="15612" max="15612" width="10.42578125" customWidth="1"/>
    <col min="15613" max="15613" width="10" customWidth="1"/>
    <col min="15614" max="15614" width="10.140625" customWidth="1"/>
    <col min="15615" max="15615" width="10.42578125" customWidth="1"/>
    <col min="15616" max="15616" width="10" customWidth="1"/>
    <col min="15617" max="15617" width="10.140625" customWidth="1"/>
    <col min="15825" max="15825" width="24.42578125" bestFit="1" customWidth="1"/>
    <col min="15826" max="15826" width="9.5703125" customWidth="1"/>
    <col min="15827" max="15834" width="8.7109375" customWidth="1"/>
    <col min="15835" max="15846" width="9.140625" customWidth="1"/>
    <col min="15849" max="15849" width="9.140625" customWidth="1"/>
    <col min="15851" max="15852" width="9.140625" customWidth="1"/>
    <col min="15858" max="15858" width="9.140625" customWidth="1"/>
    <col min="15861" max="15867" width="9.140625" customWidth="1"/>
    <col min="15868" max="15868" width="10.42578125" customWidth="1"/>
    <col min="15869" max="15869" width="10" customWidth="1"/>
    <col min="15870" max="15870" width="10.140625" customWidth="1"/>
    <col min="15871" max="15871" width="10.42578125" customWidth="1"/>
    <col min="15872" max="15872" width="10" customWidth="1"/>
    <col min="15873" max="15873" width="10.140625" customWidth="1"/>
    <col min="16081" max="16081" width="24.42578125" bestFit="1" customWidth="1"/>
    <col min="16082" max="16082" width="9.5703125" customWidth="1"/>
    <col min="16083" max="16090" width="8.7109375" customWidth="1"/>
    <col min="16091" max="16102" width="9.140625" customWidth="1"/>
    <col min="16105" max="16105" width="9.140625" customWidth="1"/>
    <col min="16107" max="16108" width="9.140625" customWidth="1"/>
    <col min="16114" max="16114" width="9.140625" customWidth="1"/>
    <col min="16117" max="16123" width="9.140625" customWidth="1"/>
    <col min="16124" max="16124" width="10.42578125" customWidth="1"/>
    <col min="16125" max="16125" width="10" customWidth="1"/>
    <col min="16126" max="16126" width="10.140625" customWidth="1"/>
    <col min="16127" max="16127" width="10.42578125" customWidth="1"/>
    <col min="16128" max="16128" width="10" customWidth="1"/>
    <col min="16129" max="16129" width="10.140625" customWidth="1"/>
  </cols>
  <sheetData>
    <row r="1" spans="1:106" s="163" customFormat="1" ht="18.75" hidden="1" customHeight="1" x14ac:dyDescent="0.25">
      <c r="A1" s="125" t="s">
        <v>59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</row>
    <row r="2" spans="1:106" ht="15.75" customHeight="1" x14ac:dyDescent="0.25">
      <c r="A2" s="279"/>
      <c r="B2" s="275">
        <v>2025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>
        <v>2026</v>
      </c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/>
      <c r="AG2"/>
      <c r="AH2"/>
      <c r="AI2"/>
      <c r="AJ2"/>
      <c r="AK2"/>
      <c r="AL2"/>
      <c r="AM2"/>
      <c r="AN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</row>
    <row r="3" spans="1:106" ht="15.75" customHeight="1" x14ac:dyDescent="0.25">
      <c r="A3" s="280"/>
      <c r="B3" s="276" t="s">
        <v>3</v>
      </c>
      <c r="C3" s="276"/>
      <c r="D3" s="276"/>
      <c r="E3" s="276" t="s">
        <v>7</v>
      </c>
      <c r="F3" s="276"/>
      <c r="G3" s="276"/>
      <c r="H3" s="276" t="s">
        <v>8</v>
      </c>
      <c r="I3" s="276"/>
      <c r="J3" s="276"/>
      <c r="K3" s="277" t="s">
        <v>12</v>
      </c>
      <c r="L3" s="277"/>
      <c r="M3" s="277"/>
      <c r="N3" s="277" t="s">
        <v>13</v>
      </c>
      <c r="O3" s="277"/>
      <c r="P3" s="277"/>
      <c r="Q3" s="276" t="s">
        <v>3</v>
      </c>
      <c r="R3" s="276"/>
      <c r="S3" s="276"/>
      <c r="T3" s="276" t="s">
        <v>7</v>
      </c>
      <c r="U3" s="276"/>
      <c r="V3" s="276"/>
      <c r="W3" s="276" t="s">
        <v>8</v>
      </c>
      <c r="X3" s="276"/>
      <c r="Y3" s="276"/>
      <c r="Z3" s="277" t="s">
        <v>12</v>
      </c>
      <c r="AA3" s="277"/>
      <c r="AB3" s="277"/>
      <c r="AC3" s="277" t="s">
        <v>13</v>
      </c>
      <c r="AD3" s="277"/>
      <c r="AE3" s="278"/>
      <c r="AF3"/>
      <c r="AG3"/>
      <c r="AH3"/>
      <c r="AI3"/>
      <c r="AJ3"/>
      <c r="AK3"/>
      <c r="AL3"/>
      <c r="AM3"/>
      <c r="AN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 x14ac:dyDescent="0.25">
      <c r="A4" s="165"/>
      <c r="B4" s="166" t="s">
        <v>60</v>
      </c>
      <c r="C4" s="166" t="s">
        <v>61</v>
      </c>
      <c r="D4" s="167" t="s">
        <v>62</v>
      </c>
      <c r="E4" s="166" t="s">
        <v>60</v>
      </c>
      <c r="F4" s="166" t="s">
        <v>61</v>
      </c>
      <c r="G4" s="167" t="s">
        <v>62</v>
      </c>
      <c r="H4" s="166" t="s">
        <v>60</v>
      </c>
      <c r="I4" s="166" t="s">
        <v>61</v>
      </c>
      <c r="J4" s="167" t="s">
        <v>62</v>
      </c>
      <c r="K4" s="166" t="s">
        <v>60</v>
      </c>
      <c r="L4" s="166" t="s">
        <v>61</v>
      </c>
      <c r="M4" s="167" t="s">
        <v>62</v>
      </c>
      <c r="N4" s="166" t="s">
        <v>60</v>
      </c>
      <c r="O4" s="166" t="s">
        <v>61</v>
      </c>
      <c r="P4" s="167" t="s">
        <v>62</v>
      </c>
      <c r="Q4" s="166" t="s">
        <v>60</v>
      </c>
      <c r="R4" s="166" t="s">
        <v>61</v>
      </c>
      <c r="S4" s="167" t="s">
        <v>62</v>
      </c>
      <c r="T4" s="166" t="s">
        <v>60</v>
      </c>
      <c r="U4" s="166" t="s">
        <v>61</v>
      </c>
      <c r="V4" s="167" t="s">
        <v>62</v>
      </c>
      <c r="W4" s="166" t="s">
        <v>60</v>
      </c>
      <c r="X4" s="166" t="s">
        <v>61</v>
      </c>
      <c r="Y4" s="167" t="s">
        <v>62</v>
      </c>
      <c r="Z4" s="166" t="s">
        <v>60</v>
      </c>
      <c r="AA4" s="166" t="s">
        <v>61</v>
      </c>
      <c r="AB4" s="167" t="s">
        <v>62</v>
      </c>
      <c r="AC4" s="166" t="s">
        <v>60</v>
      </c>
      <c r="AD4" s="166" t="s">
        <v>61</v>
      </c>
      <c r="AE4" s="167" t="s">
        <v>62</v>
      </c>
      <c r="AF4"/>
      <c r="AG4"/>
      <c r="AH4"/>
      <c r="AI4"/>
      <c r="AJ4"/>
      <c r="AK4"/>
      <c r="AL4"/>
      <c r="AM4"/>
      <c r="AN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 ht="15.75" x14ac:dyDescent="0.25">
      <c r="A5" s="168" t="s">
        <v>63</v>
      </c>
      <c r="B5" s="169">
        <v>69.865564941439402</v>
      </c>
      <c r="C5" s="169">
        <v>58.052401481376826</v>
      </c>
      <c r="D5" s="169">
        <v>67.90017531282075</v>
      </c>
      <c r="E5" s="170">
        <v>41.620730312969137</v>
      </c>
      <c r="F5" s="169">
        <v>61.997781070064917</v>
      </c>
      <c r="G5" s="169">
        <v>45.010918246559243</v>
      </c>
      <c r="H5" s="170">
        <f>AVERAGE(B5,E5)</f>
        <v>55.743147627204266</v>
      </c>
      <c r="I5" s="169">
        <f t="shared" ref="I5:I6" si="0">AVERAGE(C5,F5)</f>
        <v>60.025091275720868</v>
      </c>
      <c r="J5" s="169">
        <v>56.39231678779425</v>
      </c>
      <c r="K5" s="170">
        <v>23.1</v>
      </c>
      <c r="L5" s="169">
        <v>50.5</v>
      </c>
      <c r="M5" s="169">
        <v>27.7</v>
      </c>
      <c r="N5" s="170">
        <v>44.7</v>
      </c>
      <c r="O5" s="169">
        <v>56.8</v>
      </c>
      <c r="P5" s="169">
        <v>46.7</v>
      </c>
      <c r="Q5" s="169">
        <v>64.38993249031634</v>
      </c>
      <c r="R5" s="169">
        <v>45.721531963936243</v>
      </c>
      <c r="S5" s="169">
        <v>61.267134793964907</v>
      </c>
      <c r="T5" s="170">
        <v>29.046589188447424</v>
      </c>
      <c r="U5" s="169">
        <v>44.123904216956639</v>
      </c>
      <c r="V5" s="169">
        <v>31.568680171639063</v>
      </c>
      <c r="W5" s="170">
        <v>46.620627294349099</v>
      </c>
      <c r="X5" s="169">
        <v>44.918304754128812</v>
      </c>
      <c r="Y5" s="169">
        <v>46.335867552906066</v>
      </c>
      <c r="Z5" s="170">
        <v>19.2874457832812</v>
      </c>
      <c r="AA5" s="169">
        <v>38.714901770028384</v>
      </c>
      <c r="AB5" s="169">
        <v>22.537216148752719</v>
      </c>
      <c r="AC5" s="170">
        <v>37.409445246663211</v>
      </c>
      <c r="AD5" s="253">
        <v>42.827780671574821</v>
      </c>
      <c r="AE5" s="171">
        <v>38.315809204253661</v>
      </c>
      <c r="AF5"/>
      <c r="AG5"/>
      <c r="AH5"/>
      <c r="AI5"/>
      <c r="AJ5"/>
      <c r="AK5"/>
      <c r="AL5"/>
      <c r="AM5"/>
      <c r="AN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 ht="15.75" x14ac:dyDescent="0.25">
      <c r="A6" s="134" t="s">
        <v>64</v>
      </c>
      <c r="B6" s="169">
        <v>77.655518022486774</v>
      </c>
      <c r="C6" s="169">
        <v>41.060477680223364</v>
      </c>
      <c r="D6" s="169">
        <v>53.398360035230894</v>
      </c>
      <c r="E6" s="172">
        <v>44.762808575353219</v>
      </c>
      <c r="F6" s="169">
        <v>49.774128414727862</v>
      </c>
      <c r="G6" s="169">
        <v>48.08458048573943</v>
      </c>
      <c r="H6" s="172">
        <v>61.118299460668247</v>
      </c>
      <c r="I6" s="169">
        <f t="shared" si="0"/>
        <v>45.417303047475613</v>
      </c>
      <c r="J6" s="169">
        <f t="shared" ref="J6:J8" si="1">AVERAGE(D6,G6)</f>
        <v>50.741470260485158</v>
      </c>
      <c r="K6" s="172">
        <v>38.700000000000003</v>
      </c>
      <c r="L6" s="169">
        <v>41.2</v>
      </c>
      <c r="M6" s="169">
        <v>40.4</v>
      </c>
      <c r="N6" s="172">
        <v>53.6</v>
      </c>
      <c r="O6" s="169">
        <v>44</v>
      </c>
      <c r="P6" s="169">
        <v>47.2</v>
      </c>
      <c r="Q6" s="169">
        <v>70.924231316137579</v>
      </c>
      <c r="R6" s="169">
        <v>41.248884179365561</v>
      </c>
      <c r="S6" s="169">
        <v>51.253817590920235</v>
      </c>
      <c r="T6" s="172">
        <v>43.19877616431188</v>
      </c>
      <c r="U6" s="169">
        <v>45.32905883096619</v>
      </c>
      <c r="V6" s="169">
        <v>44.610841917464434</v>
      </c>
      <c r="W6" s="172">
        <v>56.984914085109196</v>
      </c>
      <c r="X6" s="169">
        <v>43.30024270586091</v>
      </c>
      <c r="Y6" s="169">
        <v>47.913978992663452</v>
      </c>
      <c r="Z6" s="172">
        <v>33.765458398033125</v>
      </c>
      <c r="AA6" s="169">
        <v>51.408512106912028</v>
      </c>
      <c r="AB6" s="169">
        <v>45.460221873936604</v>
      </c>
      <c r="AC6" s="172">
        <v>49.160042571515795</v>
      </c>
      <c r="AD6" s="253">
        <v>46.032699793394613</v>
      </c>
      <c r="AE6" s="171">
        <v>47.087071831773819</v>
      </c>
      <c r="AF6"/>
      <c r="AG6"/>
      <c r="AH6"/>
      <c r="AI6"/>
      <c r="AJ6"/>
      <c r="AK6"/>
      <c r="AL6"/>
      <c r="AM6"/>
      <c r="AN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 ht="15.75" x14ac:dyDescent="0.25">
      <c r="A7" s="134" t="s">
        <v>65</v>
      </c>
      <c r="B7" s="169">
        <v>36.44217109500805</v>
      </c>
      <c r="C7" s="169">
        <v>48.71543591901527</v>
      </c>
      <c r="D7" s="169">
        <v>47.192780484783832</v>
      </c>
      <c r="E7" s="173">
        <v>22.077794035674472</v>
      </c>
      <c r="F7" s="169">
        <v>60.537786215160125</v>
      </c>
      <c r="G7" s="169">
        <v>55.766332414371689</v>
      </c>
      <c r="H7" s="172">
        <v>29.220301965729838</v>
      </c>
      <c r="I7" s="169">
        <v>54.7</v>
      </c>
      <c r="J7" s="169">
        <f t="shared" si="1"/>
        <v>51.479556449577757</v>
      </c>
      <c r="K7" s="172">
        <v>7.8</v>
      </c>
      <c r="L7" s="169">
        <v>48.4</v>
      </c>
      <c r="M7" s="169">
        <v>43.4</v>
      </c>
      <c r="N7" s="172">
        <v>22</v>
      </c>
      <c r="O7" s="169">
        <v>52.6</v>
      </c>
      <c r="P7" s="169">
        <v>48.8</v>
      </c>
      <c r="Q7" s="169">
        <v>38.101841988727855</v>
      </c>
      <c r="R7" s="169">
        <v>55.222022942025703</v>
      </c>
      <c r="S7" s="169">
        <v>53.098045586581243</v>
      </c>
      <c r="T7" s="173">
        <v>18.512015647396083</v>
      </c>
      <c r="U7" s="169">
        <v>57.789193930543462</v>
      </c>
      <c r="V7" s="169">
        <v>52.916357744598209</v>
      </c>
      <c r="W7" s="172">
        <v>28.252813275682602</v>
      </c>
      <c r="X7" s="169">
        <v>56.512700068849554</v>
      </c>
      <c r="Y7" s="169">
        <v>53.006699765473755</v>
      </c>
      <c r="Z7" s="172">
        <v>8.1547121140516694</v>
      </c>
      <c r="AA7" s="169">
        <v>52.563006362835587</v>
      </c>
      <c r="AB7" s="169">
        <v>47.053589632040882</v>
      </c>
      <c r="AC7" s="172">
        <v>21.479826803631155</v>
      </c>
      <c r="AD7" s="253">
        <v>55.181667757665366</v>
      </c>
      <c r="AE7" s="171">
        <v>51.000523456771099</v>
      </c>
      <c r="AF7"/>
      <c r="AG7"/>
      <c r="AH7"/>
      <c r="AI7"/>
      <c r="AJ7"/>
      <c r="AK7"/>
      <c r="AL7"/>
      <c r="AM7"/>
      <c r="AN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 ht="15.75" x14ac:dyDescent="0.25">
      <c r="A8" s="174" t="s">
        <v>66</v>
      </c>
      <c r="B8" s="175">
        <v>68.508189439902111</v>
      </c>
      <c r="C8" s="175">
        <v>49.546276844205948</v>
      </c>
      <c r="D8" s="175">
        <v>60.631782550525806</v>
      </c>
      <c r="E8" s="175">
        <v>40.729544948662415</v>
      </c>
      <c r="F8" s="175">
        <v>58.840468450662051</v>
      </c>
      <c r="G8" s="175">
        <v>48.25246764563208</v>
      </c>
      <c r="H8" s="175">
        <v>54.40792809557923</v>
      </c>
      <c r="I8" s="175">
        <v>51.5</v>
      </c>
      <c r="J8" s="175">
        <f t="shared" si="1"/>
        <v>54.442125098078947</v>
      </c>
      <c r="K8" s="175">
        <v>23.3</v>
      </c>
      <c r="L8" s="175">
        <v>47.6</v>
      </c>
      <c r="M8" s="175">
        <v>33.4</v>
      </c>
      <c r="N8" s="175">
        <v>44</v>
      </c>
      <c r="O8" s="175">
        <v>52</v>
      </c>
      <c r="P8" s="175">
        <v>47.3</v>
      </c>
      <c r="Q8" s="175">
        <v>63.344523504538387</v>
      </c>
      <c r="R8" s="175">
        <v>50.220059024484897</v>
      </c>
      <c r="S8" s="175">
        <v>57.874747267221835</v>
      </c>
      <c r="T8" s="175">
        <v>29.428307408058242</v>
      </c>
      <c r="U8" s="175">
        <v>52.053437761091637</v>
      </c>
      <c r="V8" s="175">
        <v>38.857598832427847</v>
      </c>
      <c r="W8" s="175">
        <v>46.292724251611908</v>
      </c>
      <c r="X8" s="175">
        <v>51.141812974933586</v>
      </c>
      <c r="Y8" s="175">
        <v>48.313639490612701</v>
      </c>
      <c r="Z8" s="175">
        <v>19.65767382052125</v>
      </c>
      <c r="AA8" s="175">
        <v>48.941731809135334</v>
      </c>
      <c r="AB8" s="175">
        <v>31.862152316520721</v>
      </c>
      <c r="AC8" s="175">
        <v>37.316809820621643</v>
      </c>
      <c r="AD8" s="175">
        <v>50.400393680964939</v>
      </c>
      <c r="AE8" s="176">
        <v>42.769548574801483</v>
      </c>
      <c r="AF8"/>
      <c r="AG8"/>
      <c r="AH8"/>
      <c r="AI8"/>
      <c r="AJ8"/>
      <c r="AK8"/>
      <c r="AL8"/>
      <c r="AM8"/>
      <c r="AN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 ht="15.75" x14ac:dyDescent="0.25">
      <c r="A9" s="177" t="s">
        <v>67</v>
      </c>
      <c r="B9" s="178">
        <v>26.95</v>
      </c>
      <c r="C9" s="166"/>
      <c r="D9" s="166"/>
      <c r="E9" s="178">
        <v>8.7799999999999994</v>
      </c>
      <c r="F9" s="178"/>
      <c r="G9" s="178"/>
      <c r="H9" s="178">
        <v>17.82</v>
      </c>
      <c r="I9" s="166"/>
      <c r="J9" s="166"/>
      <c r="K9" s="178">
        <v>0</v>
      </c>
      <c r="L9" s="166"/>
      <c r="M9" s="166"/>
      <c r="N9" s="178">
        <v>11.44</v>
      </c>
      <c r="O9" s="166"/>
      <c r="P9" s="166"/>
      <c r="Q9" s="178">
        <v>24.74</v>
      </c>
      <c r="R9" s="166"/>
      <c r="S9" s="166"/>
      <c r="T9" s="178">
        <v>7.82</v>
      </c>
      <c r="U9" s="178"/>
      <c r="V9" s="178"/>
      <c r="W9" s="178">
        <v>16.23</v>
      </c>
      <c r="X9" s="166"/>
      <c r="Y9" s="166"/>
      <c r="Z9" s="178">
        <v>0</v>
      </c>
      <c r="AA9" s="166"/>
      <c r="AB9" s="166"/>
      <c r="AC9" s="178">
        <v>10.76</v>
      </c>
      <c r="AD9" s="166"/>
      <c r="AE9" s="167"/>
      <c r="AF9"/>
      <c r="AG9"/>
      <c r="AH9"/>
      <c r="AI9"/>
      <c r="AJ9"/>
      <c r="AK9"/>
      <c r="AL9"/>
      <c r="AM9"/>
      <c r="AN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21" spans="8:75" x14ac:dyDescent="0.25">
      <c r="BW21" s="130" t="s">
        <v>98</v>
      </c>
    </row>
    <row r="22" spans="8:75" x14ac:dyDescent="0.25">
      <c r="H22" s="179"/>
    </row>
  </sheetData>
  <mergeCells count="13">
    <mergeCell ref="A2:A3"/>
    <mergeCell ref="E3:G3"/>
    <mergeCell ref="H3:J3"/>
    <mergeCell ref="K3:M3"/>
    <mergeCell ref="N3:P3"/>
    <mergeCell ref="B2:P2"/>
    <mergeCell ref="B3:D3"/>
    <mergeCell ref="Q2:AE2"/>
    <mergeCell ref="T3:V3"/>
    <mergeCell ref="W3:Y3"/>
    <mergeCell ref="Z3:AB3"/>
    <mergeCell ref="AC3:AE3"/>
    <mergeCell ref="Q3:S3"/>
  </mergeCells>
  <pageMargins left="0.25" right="0.25" top="0.75" bottom="0.75" header="0.3" footer="0.3"/>
  <pageSetup paperSize="9" scale="2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showGridLines="0" zoomScale="80" zoomScaleNormal="80" workbookViewId="0">
      <pane xSplit="1" ySplit="3" topLeftCell="B4" activePane="bottomRight" state="frozen"/>
      <selection activeCell="B4" sqref="B4"/>
      <selection pane="topRight"/>
      <selection pane="bottomLeft"/>
      <selection pane="bottomRight" activeCell="G2" sqref="G2:K2"/>
    </sheetView>
  </sheetViews>
  <sheetFormatPr defaultRowHeight="15" x14ac:dyDescent="0.25"/>
  <cols>
    <col min="1" max="1" width="42" customWidth="1"/>
    <col min="2" max="7" width="11.7109375" style="74" customWidth="1"/>
    <col min="8" max="23" width="11.85546875" style="74" customWidth="1"/>
    <col min="24" max="24" width="9.85546875" bestFit="1" customWidth="1"/>
    <col min="25" max="25" width="14.28515625" customWidth="1"/>
    <col min="26" max="26" width="12.5703125" customWidth="1"/>
    <col min="27" max="27" width="11.42578125" customWidth="1"/>
    <col min="29" max="29" width="11.85546875" customWidth="1"/>
    <col min="32" max="32" width="11.7109375" customWidth="1"/>
    <col min="226" max="226" width="27" customWidth="1"/>
    <col min="227" max="239" width="11.7109375" customWidth="1"/>
    <col min="240" max="240" width="11.85546875" customWidth="1"/>
    <col min="241" max="242" width="12.7109375" customWidth="1"/>
    <col min="243" max="243" width="11.42578125" customWidth="1"/>
    <col min="244" max="244" width="11.85546875" customWidth="1"/>
    <col min="482" max="482" width="27" customWidth="1"/>
    <col min="483" max="495" width="11.7109375" customWidth="1"/>
    <col min="496" max="496" width="11.85546875" customWidth="1"/>
    <col min="497" max="498" width="12.7109375" customWidth="1"/>
    <col min="499" max="499" width="11.42578125" customWidth="1"/>
    <col min="500" max="500" width="11.85546875" customWidth="1"/>
    <col min="738" max="738" width="27" customWidth="1"/>
    <col min="739" max="751" width="11.7109375" customWidth="1"/>
    <col min="752" max="752" width="11.85546875" customWidth="1"/>
    <col min="753" max="754" width="12.7109375" customWidth="1"/>
    <col min="755" max="755" width="11.42578125" customWidth="1"/>
    <col min="756" max="756" width="11.85546875" customWidth="1"/>
    <col min="994" max="994" width="27" customWidth="1"/>
    <col min="995" max="1007" width="11.7109375" customWidth="1"/>
    <col min="1008" max="1008" width="11.85546875" customWidth="1"/>
    <col min="1009" max="1010" width="12.7109375" customWidth="1"/>
    <col min="1011" max="1011" width="11.42578125" customWidth="1"/>
    <col min="1012" max="1012" width="11.85546875" customWidth="1"/>
    <col min="1250" max="1250" width="27" customWidth="1"/>
    <col min="1251" max="1263" width="11.7109375" customWidth="1"/>
    <col min="1264" max="1264" width="11.85546875" customWidth="1"/>
    <col min="1265" max="1266" width="12.7109375" customWidth="1"/>
    <col min="1267" max="1267" width="11.42578125" customWidth="1"/>
    <col min="1268" max="1268" width="11.85546875" customWidth="1"/>
    <col min="1506" max="1506" width="27" customWidth="1"/>
    <col min="1507" max="1519" width="11.7109375" customWidth="1"/>
    <col min="1520" max="1520" width="11.85546875" customWidth="1"/>
    <col min="1521" max="1522" width="12.7109375" customWidth="1"/>
    <col min="1523" max="1523" width="11.42578125" customWidth="1"/>
    <col min="1524" max="1524" width="11.85546875" customWidth="1"/>
    <col min="1762" max="1762" width="27" customWidth="1"/>
    <col min="1763" max="1775" width="11.7109375" customWidth="1"/>
    <col min="1776" max="1776" width="11.85546875" customWidth="1"/>
    <col min="1777" max="1778" width="12.7109375" customWidth="1"/>
    <col min="1779" max="1779" width="11.42578125" customWidth="1"/>
    <col min="1780" max="1780" width="11.85546875" customWidth="1"/>
    <col min="2018" max="2018" width="27" customWidth="1"/>
    <col min="2019" max="2031" width="11.7109375" customWidth="1"/>
    <col min="2032" max="2032" width="11.85546875" customWidth="1"/>
    <col min="2033" max="2034" width="12.7109375" customWidth="1"/>
    <col min="2035" max="2035" width="11.42578125" customWidth="1"/>
    <col min="2036" max="2036" width="11.85546875" customWidth="1"/>
    <col min="2274" max="2274" width="27" customWidth="1"/>
    <col min="2275" max="2287" width="11.7109375" customWidth="1"/>
    <col min="2288" max="2288" width="11.85546875" customWidth="1"/>
    <col min="2289" max="2290" width="12.7109375" customWidth="1"/>
    <col min="2291" max="2291" width="11.42578125" customWidth="1"/>
    <col min="2292" max="2292" width="11.85546875" customWidth="1"/>
    <col min="2530" max="2530" width="27" customWidth="1"/>
    <col min="2531" max="2543" width="11.7109375" customWidth="1"/>
    <col min="2544" max="2544" width="11.85546875" customWidth="1"/>
    <col min="2545" max="2546" width="12.7109375" customWidth="1"/>
    <col min="2547" max="2547" width="11.42578125" customWidth="1"/>
    <col min="2548" max="2548" width="11.85546875" customWidth="1"/>
    <col min="2786" max="2786" width="27" customWidth="1"/>
    <col min="2787" max="2799" width="11.7109375" customWidth="1"/>
    <col min="2800" max="2800" width="11.85546875" customWidth="1"/>
    <col min="2801" max="2802" width="12.7109375" customWidth="1"/>
    <col min="2803" max="2803" width="11.42578125" customWidth="1"/>
    <col min="2804" max="2804" width="11.85546875" customWidth="1"/>
    <col min="3042" max="3042" width="27" customWidth="1"/>
    <col min="3043" max="3055" width="11.7109375" customWidth="1"/>
    <col min="3056" max="3056" width="11.85546875" customWidth="1"/>
    <col min="3057" max="3058" width="12.7109375" customWidth="1"/>
    <col min="3059" max="3059" width="11.42578125" customWidth="1"/>
    <col min="3060" max="3060" width="11.85546875" customWidth="1"/>
    <col min="3298" max="3298" width="27" customWidth="1"/>
    <col min="3299" max="3311" width="11.7109375" customWidth="1"/>
    <col min="3312" max="3312" width="11.85546875" customWidth="1"/>
    <col min="3313" max="3314" width="12.7109375" customWidth="1"/>
    <col min="3315" max="3315" width="11.42578125" customWidth="1"/>
    <col min="3316" max="3316" width="11.85546875" customWidth="1"/>
    <col min="3554" max="3554" width="27" customWidth="1"/>
    <col min="3555" max="3567" width="11.7109375" customWidth="1"/>
    <col min="3568" max="3568" width="11.85546875" customWidth="1"/>
    <col min="3569" max="3570" width="12.7109375" customWidth="1"/>
    <col min="3571" max="3571" width="11.42578125" customWidth="1"/>
    <col min="3572" max="3572" width="11.85546875" customWidth="1"/>
    <col min="3810" max="3810" width="27" customWidth="1"/>
    <col min="3811" max="3823" width="11.7109375" customWidth="1"/>
    <col min="3824" max="3824" width="11.85546875" customWidth="1"/>
    <col min="3825" max="3826" width="12.7109375" customWidth="1"/>
    <col min="3827" max="3827" width="11.42578125" customWidth="1"/>
    <col min="3828" max="3828" width="11.85546875" customWidth="1"/>
    <col min="4066" max="4066" width="27" customWidth="1"/>
    <col min="4067" max="4079" width="11.7109375" customWidth="1"/>
    <col min="4080" max="4080" width="11.85546875" customWidth="1"/>
    <col min="4081" max="4082" width="12.7109375" customWidth="1"/>
    <col min="4083" max="4083" width="11.42578125" customWidth="1"/>
    <col min="4084" max="4084" width="11.85546875" customWidth="1"/>
    <col min="4322" max="4322" width="27" customWidth="1"/>
    <col min="4323" max="4335" width="11.7109375" customWidth="1"/>
    <col min="4336" max="4336" width="11.85546875" customWidth="1"/>
    <col min="4337" max="4338" width="12.7109375" customWidth="1"/>
    <col min="4339" max="4339" width="11.42578125" customWidth="1"/>
    <col min="4340" max="4340" width="11.85546875" customWidth="1"/>
    <col min="4578" max="4578" width="27" customWidth="1"/>
    <col min="4579" max="4591" width="11.7109375" customWidth="1"/>
    <col min="4592" max="4592" width="11.85546875" customWidth="1"/>
    <col min="4593" max="4594" width="12.7109375" customWidth="1"/>
    <col min="4595" max="4595" width="11.42578125" customWidth="1"/>
    <col min="4596" max="4596" width="11.85546875" customWidth="1"/>
    <col min="4834" max="4834" width="27" customWidth="1"/>
    <col min="4835" max="4847" width="11.7109375" customWidth="1"/>
    <col min="4848" max="4848" width="11.85546875" customWidth="1"/>
    <col min="4849" max="4850" width="12.7109375" customWidth="1"/>
    <col min="4851" max="4851" width="11.42578125" customWidth="1"/>
    <col min="4852" max="4852" width="11.85546875" customWidth="1"/>
    <col min="5090" max="5090" width="27" customWidth="1"/>
    <col min="5091" max="5103" width="11.7109375" customWidth="1"/>
    <col min="5104" max="5104" width="11.85546875" customWidth="1"/>
    <col min="5105" max="5106" width="12.7109375" customWidth="1"/>
    <col min="5107" max="5107" width="11.42578125" customWidth="1"/>
    <col min="5108" max="5108" width="11.85546875" customWidth="1"/>
    <col min="5346" max="5346" width="27" customWidth="1"/>
    <col min="5347" max="5359" width="11.7109375" customWidth="1"/>
    <col min="5360" max="5360" width="11.85546875" customWidth="1"/>
    <col min="5361" max="5362" width="12.7109375" customWidth="1"/>
    <col min="5363" max="5363" width="11.42578125" customWidth="1"/>
    <col min="5364" max="5364" width="11.85546875" customWidth="1"/>
    <col min="5602" max="5602" width="27" customWidth="1"/>
    <col min="5603" max="5615" width="11.7109375" customWidth="1"/>
    <col min="5616" max="5616" width="11.85546875" customWidth="1"/>
    <col min="5617" max="5618" width="12.7109375" customWidth="1"/>
    <col min="5619" max="5619" width="11.42578125" customWidth="1"/>
    <col min="5620" max="5620" width="11.85546875" customWidth="1"/>
    <col min="5858" max="5858" width="27" customWidth="1"/>
    <col min="5859" max="5871" width="11.7109375" customWidth="1"/>
    <col min="5872" max="5872" width="11.85546875" customWidth="1"/>
    <col min="5873" max="5874" width="12.7109375" customWidth="1"/>
    <col min="5875" max="5875" width="11.42578125" customWidth="1"/>
    <col min="5876" max="5876" width="11.85546875" customWidth="1"/>
    <col min="6114" max="6114" width="27" customWidth="1"/>
    <col min="6115" max="6127" width="11.7109375" customWidth="1"/>
    <col min="6128" max="6128" width="11.85546875" customWidth="1"/>
    <col min="6129" max="6130" width="12.7109375" customWidth="1"/>
    <col min="6131" max="6131" width="11.42578125" customWidth="1"/>
    <col min="6132" max="6132" width="11.85546875" customWidth="1"/>
    <col min="6370" max="6370" width="27" customWidth="1"/>
    <col min="6371" max="6383" width="11.7109375" customWidth="1"/>
    <col min="6384" max="6384" width="11.85546875" customWidth="1"/>
    <col min="6385" max="6386" width="12.7109375" customWidth="1"/>
    <col min="6387" max="6387" width="11.42578125" customWidth="1"/>
    <col min="6388" max="6388" width="11.85546875" customWidth="1"/>
    <col min="6626" max="6626" width="27" customWidth="1"/>
    <col min="6627" max="6639" width="11.7109375" customWidth="1"/>
    <col min="6640" max="6640" width="11.85546875" customWidth="1"/>
    <col min="6641" max="6642" width="12.7109375" customWidth="1"/>
    <col min="6643" max="6643" width="11.42578125" customWidth="1"/>
    <col min="6644" max="6644" width="11.85546875" customWidth="1"/>
    <col min="6882" max="6882" width="27" customWidth="1"/>
    <col min="6883" max="6895" width="11.7109375" customWidth="1"/>
    <col min="6896" max="6896" width="11.85546875" customWidth="1"/>
    <col min="6897" max="6898" width="12.7109375" customWidth="1"/>
    <col min="6899" max="6899" width="11.42578125" customWidth="1"/>
    <col min="6900" max="6900" width="11.85546875" customWidth="1"/>
    <col min="7138" max="7138" width="27" customWidth="1"/>
    <col min="7139" max="7151" width="11.7109375" customWidth="1"/>
    <col min="7152" max="7152" width="11.85546875" customWidth="1"/>
    <col min="7153" max="7154" width="12.7109375" customWidth="1"/>
    <col min="7155" max="7155" width="11.42578125" customWidth="1"/>
    <col min="7156" max="7156" width="11.85546875" customWidth="1"/>
    <col min="7394" max="7394" width="27" customWidth="1"/>
    <col min="7395" max="7407" width="11.7109375" customWidth="1"/>
    <col min="7408" max="7408" width="11.85546875" customWidth="1"/>
    <col min="7409" max="7410" width="12.7109375" customWidth="1"/>
    <col min="7411" max="7411" width="11.42578125" customWidth="1"/>
    <col min="7412" max="7412" width="11.85546875" customWidth="1"/>
    <col min="7650" max="7650" width="27" customWidth="1"/>
    <col min="7651" max="7663" width="11.7109375" customWidth="1"/>
    <col min="7664" max="7664" width="11.85546875" customWidth="1"/>
    <col min="7665" max="7666" width="12.7109375" customWidth="1"/>
    <col min="7667" max="7667" width="11.42578125" customWidth="1"/>
    <col min="7668" max="7668" width="11.85546875" customWidth="1"/>
    <col min="7906" max="7906" width="27" customWidth="1"/>
    <col min="7907" max="7919" width="11.7109375" customWidth="1"/>
    <col min="7920" max="7920" width="11.85546875" customWidth="1"/>
    <col min="7921" max="7922" width="12.7109375" customWidth="1"/>
    <col min="7923" max="7923" width="11.42578125" customWidth="1"/>
    <col min="7924" max="7924" width="11.85546875" customWidth="1"/>
    <col min="8162" max="8162" width="27" customWidth="1"/>
    <col min="8163" max="8175" width="11.7109375" customWidth="1"/>
    <col min="8176" max="8176" width="11.85546875" customWidth="1"/>
    <col min="8177" max="8178" width="12.7109375" customWidth="1"/>
    <col min="8179" max="8179" width="11.42578125" customWidth="1"/>
    <col min="8180" max="8180" width="11.85546875" customWidth="1"/>
    <col min="8418" max="8418" width="27" customWidth="1"/>
    <col min="8419" max="8431" width="11.7109375" customWidth="1"/>
    <col min="8432" max="8432" width="11.85546875" customWidth="1"/>
    <col min="8433" max="8434" width="12.7109375" customWidth="1"/>
    <col min="8435" max="8435" width="11.42578125" customWidth="1"/>
    <col min="8436" max="8436" width="11.85546875" customWidth="1"/>
    <col min="8674" max="8674" width="27" customWidth="1"/>
    <col min="8675" max="8687" width="11.7109375" customWidth="1"/>
    <col min="8688" max="8688" width="11.85546875" customWidth="1"/>
    <col min="8689" max="8690" width="12.7109375" customWidth="1"/>
    <col min="8691" max="8691" width="11.42578125" customWidth="1"/>
    <col min="8692" max="8692" width="11.85546875" customWidth="1"/>
    <col min="8930" max="8930" width="27" customWidth="1"/>
    <col min="8931" max="8943" width="11.7109375" customWidth="1"/>
    <col min="8944" max="8944" width="11.85546875" customWidth="1"/>
    <col min="8945" max="8946" width="12.7109375" customWidth="1"/>
    <col min="8947" max="8947" width="11.42578125" customWidth="1"/>
    <col min="8948" max="8948" width="11.85546875" customWidth="1"/>
    <col min="9186" max="9186" width="27" customWidth="1"/>
    <col min="9187" max="9199" width="11.7109375" customWidth="1"/>
    <col min="9200" max="9200" width="11.85546875" customWidth="1"/>
    <col min="9201" max="9202" width="12.7109375" customWidth="1"/>
    <col min="9203" max="9203" width="11.42578125" customWidth="1"/>
    <col min="9204" max="9204" width="11.85546875" customWidth="1"/>
    <col min="9442" max="9442" width="27" customWidth="1"/>
    <col min="9443" max="9455" width="11.7109375" customWidth="1"/>
    <col min="9456" max="9456" width="11.85546875" customWidth="1"/>
    <col min="9457" max="9458" width="12.7109375" customWidth="1"/>
    <col min="9459" max="9459" width="11.42578125" customWidth="1"/>
    <col min="9460" max="9460" width="11.85546875" customWidth="1"/>
    <col min="9698" max="9698" width="27" customWidth="1"/>
    <col min="9699" max="9711" width="11.7109375" customWidth="1"/>
    <col min="9712" max="9712" width="11.85546875" customWidth="1"/>
    <col min="9713" max="9714" width="12.7109375" customWidth="1"/>
    <col min="9715" max="9715" width="11.42578125" customWidth="1"/>
    <col min="9716" max="9716" width="11.85546875" customWidth="1"/>
    <col min="9954" max="9954" width="27" customWidth="1"/>
    <col min="9955" max="9967" width="11.7109375" customWidth="1"/>
    <col min="9968" max="9968" width="11.85546875" customWidth="1"/>
    <col min="9969" max="9970" width="12.7109375" customWidth="1"/>
    <col min="9971" max="9971" width="11.42578125" customWidth="1"/>
    <col min="9972" max="9972" width="11.85546875" customWidth="1"/>
    <col min="10210" max="10210" width="27" customWidth="1"/>
    <col min="10211" max="10223" width="11.7109375" customWidth="1"/>
    <col min="10224" max="10224" width="11.85546875" customWidth="1"/>
    <col min="10225" max="10226" width="12.7109375" customWidth="1"/>
    <col min="10227" max="10227" width="11.42578125" customWidth="1"/>
    <col min="10228" max="10228" width="11.85546875" customWidth="1"/>
    <col min="10466" max="10466" width="27" customWidth="1"/>
    <col min="10467" max="10479" width="11.7109375" customWidth="1"/>
    <col min="10480" max="10480" width="11.85546875" customWidth="1"/>
    <col min="10481" max="10482" width="12.7109375" customWidth="1"/>
    <col min="10483" max="10483" width="11.42578125" customWidth="1"/>
    <col min="10484" max="10484" width="11.85546875" customWidth="1"/>
    <col min="10722" max="10722" width="27" customWidth="1"/>
    <col min="10723" max="10735" width="11.7109375" customWidth="1"/>
    <col min="10736" max="10736" width="11.85546875" customWidth="1"/>
    <col min="10737" max="10738" width="12.7109375" customWidth="1"/>
    <col min="10739" max="10739" width="11.42578125" customWidth="1"/>
    <col min="10740" max="10740" width="11.85546875" customWidth="1"/>
    <col min="10978" max="10978" width="27" customWidth="1"/>
    <col min="10979" max="10991" width="11.7109375" customWidth="1"/>
    <col min="10992" max="10992" width="11.85546875" customWidth="1"/>
    <col min="10993" max="10994" width="12.7109375" customWidth="1"/>
    <col min="10995" max="10995" width="11.42578125" customWidth="1"/>
    <col min="10996" max="10996" width="11.85546875" customWidth="1"/>
    <col min="11234" max="11234" width="27" customWidth="1"/>
    <col min="11235" max="11247" width="11.7109375" customWidth="1"/>
    <col min="11248" max="11248" width="11.85546875" customWidth="1"/>
    <col min="11249" max="11250" width="12.7109375" customWidth="1"/>
    <col min="11251" max="11251" width="11.42578125" customWidth="1"/>
    <col min="11252" max="11252" width="11.85546875" customWidth="1"/>
    <col min="11490" max="11490" width="27" customWidth="1"/>
    <col min="11491" max="11503" width="11.7109375" customWidth="1"/>
    <col min="11504" max="11504" width="11.85546875" customWidth="1"/>
    <col min="11505" max="11506" width="12.7109375" customWidth="1"/>
    <col min="11507" max="11507" width="11.42578125" customWidth="1"/>
    <col min="11508" max="11508" width="11.85546875" customWidth="1"/>
    <col min="11746" max="11746" width="27" customWidth="1"/>
    <col min="11747" max="11759" width="11.7109375" customWidth="1"/>
    <col min="11760" max="11760" width="11.85546875" customWidth="1"/>
    <col min="11761" max="11762" width="12.7109375" customWidth="1"/>
    <col min="11763" max="11763" width="11.42578125" customWidth="1"/>
    <col min="11764" max="11764" width="11.85546875" customWidth="1"/>
    <col min="12002" max="12002" width="27" customWidth="1"/>
    <col min="12003" max="12015" width="11.7109375" customWidth="1"/>
    <col min="12016" max="12016" width="11.85546875" customWidth="1"/>
    <col min="12017" max="12018" width="12.7109375" customWidth="1"/>
    <col min="12019" max="12019" width="11.42578125" customWidth="1"/>
    <col min="12020" max="12020" width="11.85546875" customWidth="1"/>
    <col min="12258" max="12258" width="27" customWidth="1"/>
    <col min="12259" max="12271" width="11.7109375" customWidth="1"/>
    <col min="12272" max="12272" width="11.85546875" customWidth="1"/>
    <col min="12273" max="12274" width="12.7109375" customWidth="1"/>
    <col min="12275" max="12275" width="11.42578125" customWidth="1"/>
    <col min="12276" max="12276" width="11.85546875" customWidth="1"/>
    <col min="12514" max="12514" width="27" customWidth="1"/>
    <col min="12515" max="12527" width="11.7109375" customWidth="1"/>
    <col min="12528" max="12528" width="11.85546875" customWidth="1"/>
    <col min="12529" max="12530" width="12.7109375" customWidth="1"/>
    <col min="12531" max="12531" width="11.42578125" customWidth="1"/>
    <col min="12532" max="12532" width="11.85546875" customWidth="1"/>
    <col min="12770" max="12770" width="27" customWidth="1"/>
    <col min="12771" max="12783" width="11.7109375" customWidth="1"/>
    <col min="12784" max="12784" width="11.85546875" customWidth="1"/>
    <col min="12785" max="12786" width="12.7109375" customWidth="1"/>
    <col min="12787" max="12787" width="11.42578125" customWidth="1"/>
    <col min="12788" max="12788" width="11.85546875" customWidth="1"/>
    <col min="13026" max="13026" width="27" customWidth="1"/>
    <col min="13027" max="13039" width="11.7109375" customWidth="1"/>
    <col min="13040" max="13040" width="11.85546875" customWidth="1"/>
    <col min="13041" max="13042" width="12.7109375" customWidth="1"/>
    <col min="13043" max="13043" width="11.42578125" customWidth="1"/>
    <col min="13044" max="13044" width="11.85546875" customWidth="1"/>
    <col min="13282" max="13282" width="27" customWidth="1"/>
    <col min="13283" max="13295" width="11.7109375" customWidth="1"/>
    <col min="13296" max="13296" width="11.85546875" customWidth="1"/>
    <col min="13297" max="13298" width="12.7109375" customWidth="1"/>
    <col min="13299" max="13299" width="11.42578125" customWidth="1"/>
    <col min="13300" max="13300" width="11.85546875" customWidth="1"/>
    <col min="13538" max="13538" width="27" customWidth="1"/>
    <col min="13539" max="13551" width="11.7109375" customWidth="1"/>
    <col min="13552" max="13552" width="11.85546875" customWidth="1"/>
    <col min="13553" max="13554" width="12.7109375" customWidth="1"/>
    <col min="13555" max="13555" width="11.42578125" customWidth="1"/>
    <col min="13556" max="13556" width="11.85546875" customWidth="1"/>
    <col min="13794" max="13794" width="27" customWidth="1"/>
    <col min="13795" max="13807" width="11.7109375" customWidth="1"/>
    <col min="13808" max="13808" width="11.85546875" customWidth="1"/>
    <col min="13809" max="13810" width="12.7109375" customWidth="1"/>
    <col min="13811" max="13811" width="11.42578125" customWidth="1"/>
    <col min="13812" max="13812" width="11.85546875" customWidth="1"/>
    <col min="14050" max="14050" width="27" customWidth="1"/>
    <col min="14051" max="14063" width="11.7109375" customWidth="1"/>
    <col min="14064" max="14064" width="11.85546875" customWidth="1"/>
    <col min="14065" max="14066" width="12.7109375" customWidth="1"/>
    <col min="14067" max="14067" width="11.42578125" customWidth="1"/>
    <col min="14068" max="14068" width="11.85546875" customWidth="1"/>
    <col min="14306" max="14306" width="27" customWidth="1"/>
    <col min="14307" max="14319" width="11.7109375" customWidth="1"/>
    <col min="14320" max="14320" width="11.85546875" customWidth="1"/>
    <col min="14321" max="14322" width="12.7109375" customWidth="1"/>
    <col min="14323" max="14323" width="11.42578125" customWidth="1"/>
    <col min="14324" max="14324" width="11.85546875" customWidth="1"/>
    <col min="14562" max="14562" width="27" customWidth="1"/>
    <col min="14563" max="14575" width="11.7109375" customWidth="1"/>
    <col min="14576" max="14576" width="11.85546875" customWidth="1"/>
    <col min="14577" max="14578" width="12.7109375" customWidth="1"/>
    <col min="14579" max="14579" width="11.42578125" customWidth="1"/>
    <col min="14580" max="14580" width="11.85546875" customWidth="1"/>
    <col min="14818" max="14818" width="27" customWidth="1"/>
    <col min="14819" max="14831" width="11.7109375" customWidth="1"/>
    <col min="14832" max="14832" width="11.85546875" customWidth="1"/>
    <col min="14833" max="14834" width="12.7109375" customWidth="1"/>
    <col min="14835" max="14835" width="11.42578125" customWidth="1"/>
    <col min="14836" max="14836" width="11.85546875" customWidth="1"/>
    <col min="15074" max="15074" width="27" customWidth="1"/>
    <col min="15075" max="15087" width="11.7109375" customWidth="1"/>
    <col min="15088" max="15088" width="11.85546875" customWidth="1"/>
    <col min="15089" max="15090" width="12.7109375" customWidth="1"/>
    <col min="15091" max="15091" width="11.42578125" customWidth="1"/>
    <col min="15092" max="15092" width="11.85546875" customWidth="1"/>
    <col min="15330" max="15330" width="27" customWidth="1"/>
    <col min="15331" max="15343" width="11.7109375" customWidth="1"/>
    <col min="15344" max="15344" width="11.85546875" customWidth="1"/>
    <col min="15345" max="15346" width="12.7109375" customWidth="1"/>
    <col min="15347" max="15347" width="11.42578125" customWidth="1"/>
    <col min="15348" max="15348" width="11.85546875" customWidth="1"/>
    <col min="15586" max="15586" width="27" customWidth="1"/>
    <col min="15587" max="15599" width="11.7109375" customWidth="1"/>
    <col min="15600" max="15600" width="11.85546875" customWidth="1"/>
    <col min="15601" max="15602" width="12.7109375" customWidth="1"/>
    <col min="15603" max="15603" width="11.42578125" customWidth="1"/>
    <col min="15604" max="15604" width="11.85546875" customWidth="1"/>
    <col min="15842" max="15842" width="27" customWidth="1"/>
    <col min="15843" max="15855" width="11.7109375" customWidth="1"/>
    <col min="15856" max="15856" width="11.85546875" customWidth="1"/>
    <col min="15857" max="15858" width="12.7109375" customWidth="1"/>
    <col min="15859" max="15859" width="11.42578125" customWidth="1"/>
    <col min="15860" max="15860" width="11.85546875" customWidth="1"/>
    <col min="16098" max="16098" width="27" customWidth="1"/>
    <col min="16099" max="16111" width="11.7109375" customWidth="1"/>
    <col min="16112" max="16112" width="11.85546875" customWidth="1"/>
    <col min="16113" max="16114" width="12.7109375" customWidth="1"/>
    <col min="16115" max="16115" width="11.42578125" customWidth="1"/>
    <col min="16116" max="16116" width="11.85546875" customWidth="1"/>
  </cols>
  <sheetData>
    <row r="1" spans="1:23" ht="18.75" customHeight="1" x14ac:dyDescent="0.25">
      <c r="A1" s="125" t="s">
        <v>68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/>
      <c r="M1"/>
      <c r="N1"/>
      <c r="O1"/>
      <c r="P1"/>
      <c r="Q1"/>
      <c r="R1"/>
      <c r="S1"/>
      <c r="T1"/>
      <c r="U1"/>
      <c r="V1"/>
      <c r="W1"/>
    </row>
    <row r="2" spans="1:23" ht="18.75" customHeight="1" x14ac:dyDescent="0.25">
      <c r="A2" s="269"/>
      <c r="B2" s="282">
        <v>2025</v>
      </c>
      <c r="C2" s="283"/>
      <c r="D2" s="283"/>
      <c r="E2" s="283"/>
      <c r="F2" s="283"/>
      <c r="G2" s="283">
        <v>2026</v>
      </c>
      <c r="H2" s="283"/>
      <c r="I2" s="283"/>
      <c r="J2" s="283"/>
      <c r="K2" s="283"/>
      <c r="L2"/>
      <c r="M2"/>
      <c r="N2"/>
      <c r="O2"/>
      <c r="P2"/>
      <c r="Q2"/>
      <c r="R2"/>
      <c r="S2"/>
      <c r="T2"/>
      <c r="U2"/>
      <c r="V2"/>
      <c r="W2"/>
    </row>
    <row r="3" spans="1:23" ht="18.75" customHeight="1" x14ac:dyDescent="0.25">
      <c r="A3" s="281"/>
      <c r="B3" s="78" t="s">
        <v>3</v>
      </c>
      <c r="C3" s="78" t="s">
        <v>7</v>
      </c>
      <c r="D3" s="78" t="s">
        <v>8</v>
      </c>
      <c r="E3" s="78" t="s">
        <v>12</v>
      </c>
      <c r="F3" s="78" t="s">
        <v>13</v>
      </c>
      <c r="G3" s="246" t="s">
        <v>3</v>
      </c>
      <c r="H3" s="246" t="s">
        <v>7</v>
      </c>
      <c r="I3" s="246" t="s">
        <v>8</v>
      </c>
      <c r="J3" s="246" t="s">
        <v>12</v>
      </c>
      <c r="K3" s="246" t="s">
        <v>13</v>
      </c>
      <c r="L3"/>
      <c r="M3"/>
      <c r="N3"/>
      <c r="O3"/>
      <c r="P3"/>
      <c r="Q3"/>
      <c r="R3"/>
      <c r="S3"/>
      <c r="T3"/>
      <c r="U3"/>
      <c r="V3"/>
      <c r="W3"/>
    </row>
    <row r="4" spans="1:23" ht="15.75" x14ac:dyDescent="0.25">
      <c r="A4" s="180" t="s">
        <v>69</v>
      </c>
      <c r="D4" s="181"/>
      <c r="E4" s="181"/>
      <c r="F4" s="181"/>
      <c r="G4" s="130"/>
      <c r="H4" s="130"/>
      <c r="I4" s="181"/>
      <c r="J4" s="181"/>
      <c r="K4" s="181"/>
      <c r="L4"/>
      <c r="M4"/>
      <c r="N4"/>
      <c r="O4"/>
      <c r="P4"/>
      <c r="Q4"/>
      <c r="R4"/>
      <c r="S4"/>
      <c r="T4"/>
      <c r="U4"/>
      <c r="V4"/>
      <c r="W4"/>
    </row>
    <row r="5" spans="1:23" ht="15.75" x14ac:dyDescent="0.25">
      <c r="A5" s="182" t="s">
        <v>70</v>
      </c>
      <c r="B5" s="183">
        <v>2134867.4700000002</v>
      </c>
      <c r="C5" s="183">
        <v>1412343.27</v>
      </c>
      <c r="D5" s="183">
        <f t="shared" ref="D5:D19" si="0">SUM(B5:C5)</f>
        <v>3547210.74</v>
      </c>
      <c r="E5" s="183">
        <v>1159898.58</v>
      </c>
      <c r="F5" s="183">
        <v>4707109.33</v>
      </c>
      <c r="G5" s="183">
        <v>2000476.74</v>
      </c>
      <c r="H5" s="183">
        <v>1486274.84</v>
      </c>
      <c r="I5" s="183">
        <f>SUM(G5:H5)</f>
        <v>3486751.58</v>
      </c>
      <c r="J5" s="183">
        <v>1171692.82</v>
      </c>
      <c r="K5" s="183">
        <f>I5+J5</f>
        <v>4658444.4000000004</v>
      </c>
      <c r="L5"/>
      <c r="M5"/>
      <c r="N5"/>
      <c r="O5"/>
      <c r="P5"/>
      <c r="Q5"/>
      <c r="R5"/>
      <c r="S5"/>
      <c r="T5"/>
      <c r="U5"/>
      <c r="V5"/>
      <c r="W5"/>
    </row>
    <row r="6" spans="1:23" ht="15.75" x14ac:dyDescent="0.25">
      <c r="A6" s="168" t="s">
        <v>71</v>
      </c>
      <c r="B6" s="184">
        <v>7184031.2000000002</v>
      </c>
      <c r="C6" s="184">
        <v>6113129.6299999999</v>
      </c>
      <c r="D6" s="184">
        <f t="shared" si="0"/>
        <v>13297160.83</v>
      </c>
      <c r="E6" s="184">
        <v>4263506.9000000004</v>
      </c>
      <c r="F6" s="184">
        <v>17560667.73</v>
      </c>
      <c r="G6" s="184">
        <v>6212990.7000000002</v>
      </c>
      <c r="H6" s="184">
        <v>4076342.97</v>
      </c>
      <c r="I6" s="184">
        <f t="shared" ref="I6:I11" si="1">SUM(G6:H6)</f>
        <v>10289333.67</v>
      </c>
      <c r="J6" s="184">
        <v>3535952.85</v>
      </c>
      <c r="K6" s="184">
        <f t="shared" ref="K6:K11" si="2">I6+J6</f>
        <v>13825286.52</v>
      </c>
      <c r="L6"/>
      <c r="M6"/>
      <c r="N6"/>
      <c r="O6"/>
      <c r="P6"/>
      <c r="Q6"/>
      <c r="R6"/>
      <c r="S6"/>
      <c r="T6"/>
      <c r="U6"/>
      <c r="V6"/>
      <c r="W6"/>
    </row>
    <row r="7" spans="1:23" ht="15.75" x14ac:dyDescent="0.25">
      <c r="A7" s="168" t="s">
        <v>72</v>
      </c>
      <c r="B7" s="184">
        <v>144835.65</v>
      </c>
      <c r="C7" s="184">
        <v>147914.64000000001</v>
      </c>
      <c r="D7" s="184">
        <f t="shared" si="0"/>
        <v>292750.29000000004</v>
      </c>
      <c r="E7" s="184">
        <v>85513.74</v>
      </c>
      <c r="F7" s="184">
        <v>378264.03</v>
      </c>
      <c r="G7" s="184">
        <v>-279508.15000000002</v>
      </c>
      <c r="H7" s="184">
        <v>-176376.63</v>
      </c>
      <c r="I7" s="184">
        <f t="shared" si="1"/>
        <v>-455884.78</v>
      </c>
      <c r="J7" s="184">
        <v>-214637.16</v>
      </c>
      <c r="K7" s="184">
        <f t="shared" si="2"/>
        <v>-670521.94000000006</v>
      </c>
      <c r="L7"/>
      <c r="M7"/>
      <c r="N7"/>
      <c r="O7"/>
      <c r="P7"/>
      <c r="Q7"/>
      <c r="R7"/>
      <c r="S7"/>
      <c r="T7"/>
      <c r="U7"/>
      <c r="V7"/>
      <c r="W7"/>
    </row>
    <row r="8" spans="1:23" s="74" customFormat="1" ht="15.75" x14ac:dyDescent="0.25">
      <c r="A8" s="168" t="s">
        <v>73</v>
      </c>
      <c r="B8" s="184">
        <v>7816.99</v>
      </c>
      <c r="C8" s="184">
        <v>7669.88</v>
      </c>
      <c r="D8" s="184">
        <f t="shared" si="0"/>
        <v>15486.869999999999</v>
      </c>
      <c r="E8" s="184">
        <v>9965.4</v>
      </c>
      <c r="F8" s="184">
        <v>25452.26</v>
      </c>
      <c r="G8" s="184">
        <v>8305.99</v>
      </c>
      <c r="H8" s="184">
        <v>8162.1</v>
      </c>
      <c r="I8" s="184">
        <f t="shared" si="1"/>
        <v>16468.09</v>
      </c>
      <c r="J8" s="184">
        <v>10179.120000000001</v>
      </c>
      <c r="K8" s="184">
        <f t="shared" si="2"/>
        <v>26647.21</v>
      </c>
    </row>
    <row r="9" spans="1:23" ht="15.75" x14ac:dyDescent="0.25">
      <c r="A9" s="168" t="s">
        <v>74</v>
      </c>
      <c r="B9" s="184">
        <v>0</v>
      </c>
      <c r="C9" s="184">
        <v>0</v>
      </c>
      <c r="D9" s="184">
        <f t="shared" si="0"/>
        <v>0</v>
      </c>
      <c r="E9" s="184">
        <v>0</v>
      </c>
      <c r="F9" s="184">
        <v>0</v>
      </c>
      <c r="G9" s="184">
        <v>0</v>
      </c>
      <c r="H9" s="184">
        <v>0</v>
      </c>
      <c r="I9" s="184">
        <f t="shared" si="1"/>
        <v>0</v>
      </c>
      <c r="J9" s="184">
        <v>0</v>
      </c>
      <c r="K9" s="184">
        <f t="shared" si="2"/>
        <v>0</v>
      </c>
      <c r="L9"/>
      <c r="M9"/>
      <c r="N9"/>
      <c r="O9"/>
      <c r="P9"/>
      <c r="Q9"/>
      <c r="R9"/>
      <c r="S9"/>
      <c r="T9"/>
      <c r="U9"/>
      <c r="V9"/>
      <c r="W9"/>
    </row>
    <row r="10" spans="1:23" ht="15.75" x14ac:dyDescent="0.25">
      <c r="A10" s="168" t="s">
        <v>75</v>
      </c>
      <c r="B10" s="185">
        <v>101731.3</v>
      </c>
      <c r="C10" s="185">
        <v>99548.07</v>
      </c>
      <c r="D10" s="185">
        <f t="shared" si="0"/>
        <v>201279.37</v>
      </c>
      <c r="E10" s="185">
        <v>88186.63</v>
      </c>
      <c r="F10" s="185">
        <v>289466.01</v>
      </c>
      <c r="G10" s="185">
        <v>85795.78</v>
      </c>
      <c r="H10" s="185">
        <v>99149.73</v>
      </c>
      <c r="I10" s="185">
        <f t="shared" si="1"/>
        <v>184945.51</v>
      </c>
      <c r="J10" s="185">
        <v>86164.54</v>
      </c>
      <c r="K10" s="185">
        <f t="shared" si="2"/>
        <v>271110.05</v>
      </c>
      <c r="L10"/>
      <c r="M10"/>
      <c r="N10"/>
      <c r="O10"/>
      <c r="P10"/>
      <c r="Q10"/>
      <c r="R10"/>
      <c r="S10"/>
      <c r="T10"/>
      <c r="U10"/>
      <c r="V10"/>
      <c r="W10"/>
    </row>
    <row r="11" spans="1:23" ht="15.75" x14ac:dyDescent="0.25">
      <c r="A11" s="186" t="s">
        <v>76</v>
      </c>
      <c r="B11" s="187">
        <f>SUM(B5:B10)</f>
        <v>9573282.6100000013</v>
      </c>
      <c r="C11" s="187">
        <f>SUM(C5:C10)</f>
        <v>7780605.4900000002</v>
      </c>
      <c r="D11" s="187">
        <f t="shared" si="0"/>
        <v>17353888.100000001</v>
      </c>
      <c r="E11" s="187">
        <f>SUM(E5:E10)</f>
        <v>5607071.2500000009</v>
      </c>
      <c r="F11" s="187">
        <f t="shared" ref="F11:H11" si="3">SUM(F5:F10)</f>
        <v>22960959.360000007</v>
      </c>
      <c r="G11" s="187">
        <f t="shared" si="3"/>
        <v>8028061.0600000005</v>
      </c>
      <c r="H11" s="187">
        <f t="shared" si="3"/>
        <v>5493553.0100000007</v>
      </c>
      <c r="I11" s="187">
        <f t="shared" si="1"/>
        <v>13521614.07</v>
      </c>
      <c r="J11" s="187">
        <f>SUM(J5:J10)</f>
        <v>4589352.17</v>
      </c>
      <c r="K11" s="187">
        <f t="shared" si="2"/>
        <v>18110966.240000002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ht="31.5" x14ac:dyDescent="0.25">
      <c r="A12" s="188" t="s">
        <v>77</v>
      </c>
      <c r="G12" s="130"/>
      <c r="H12" s="130"/>
      <c r="I12" s="130"/>
      <c r="J12" s="130"/>
      <c r="K12" s="130"/>
      <c r="L12"/>
      <c r="M12"/>
      <c r="N12"/>
      <c r="O12"/>
      <c r="P12"/>
      <c r="Q12"/>
      <c r="R12"/>
      <c r="S12"/>
      <c r="T12"/>
      <c r="U12"/>
      <c r="V12"/>
      <c r="W12"/>
    </row>
    <row r="13" spans="1:23" ht="15.75" x14ac:dyDescent="0.25">
      <c r="A13" s="182" t="s">
        <v>78</v>
      </c>
      <c r="B13" s="189">
        <v>1920.8</v>
      </c>
      <c r="C13" s="189">
        <v>1850.22</v>
      </c>
      <c r="D13" s="189">
        <f t="shared" si="0"/>
        <v>3771.02</v>
      </c>
      <c r="E13" s="189">
        <v>1710.02</v>
      </c>
      <c r="F13" s="189">
        <v>1827.01</v>
      </c>
      <c r="G13" s="189">
        <v>1799.34</v>
      </c>
      <c r="H13" s="189">
        <v>1716.63</v>
      </c>
      <c r="I13" s="189">
        <f>SUM(G13:H13)</f>
        <v>3515.9700000000003</v>
      </c>
      <c r="J13" s="189">
        <v>1642.16</v>
      </c>
      <c r="K13" s="189">
        <f>I13+J13</f>
        <v>5158.13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ht="15.75" x14ac:dyDescent="0.25">
      <c r="A14" s="168" t="s">
        <v>79</v>
      </c>
      <c r="B14" s="190">
        <v>87.61</v>
      </c>
      <c r="C14" s="190">
        <v>88.98</v>
      </c>
      <c r="D14" s="190">
        <f t="shared" si="0"/>
        <v>176.59</v>
      </c>
      <c r="E14" s="190">
        <v>91.6</v>
      </c>
      <c r="F14" s="190">
        <v>89.4</v>
      </c>
      <c r="G14" s="190">
        <v>-0.23</v>
      </c>
      <c r="H14" s="190">
        <v>-0.14000000000000001</v>
      </c>
      <c r="I14" s="190">
        <f t="shared" ref="I14:I20" si="4">SUM(G14:H14)</f>
        <v>-0.37</v>
      </c>
      <c r="J14" s="190">
        <v>0</v>
      </c>
      <c r="K14" s="190">
        <f t="shared" ref="K14:K20" si="5">I14+J14</f>
        <v>-0.37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ht="15.75" x14ac:dyDescent="0.25">
      <c r="A15" s="168" t="s">
        <v>80</v>
      </c>
      <c r="B15" s="190">
        <v>2006.29</v>
      </c>
      <c r="C15" s="190">
        <v>0</v>
      </c>
      <c r="D15" s="190">
        <f t="shared" si="0"/>
        <v>2006.29</v>
      </c>
      <c r="E15" s="190">
        <v>0</v>
      </c>
      <c r="F15" s="190">
        <v>668.76</v>
      </c>
      <c r="G15" s="190">
        <v>0</v>
      </c>
      <c r="H15" s="190">
        <v>0</v>
      </c>
      <c r="I15" s="190">
        <f t="shared" si="4"/>
        <v>0</v>
      </c>
      <c r="J15" s="190">
        <v>0</v>
      </c>
      <c r="K15" s="190">
        <f t="shared" si="5"/>
        <v>0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ht="15.75" x14ac:dyDescent="0.25">
      <c r="A16" s="168" t="s">
        <v>81</v>
      </c>
      <c r="B16" s="190">
        <v>0</v>
      </c>
      <c r="C16" s="190">
        <v>0</v>
      </c>
      <c r="D16" s="190">
        <f t="shared" si="0"/>
        <v>0</v>
      </c>
      <c r="E16" s="190">
        <v>0</v>
      </c>
      <c r="F16" s="190">
        <v>0</v>
      </c>
      <c r="G16" s="190">
        <v>-0.44</v>
      </c>
      <c r="H16" s="190">
        <v>-0.24</v>
      </c>
      <c r="I16" s="190">
        <f t="shared" si="4"/>
        <v>-0.67999999999999994</v>
      </c>
      <c r="J16" s="190">
        <v>0</v>
      </c>
      <c r="K16" s="190">
        <f t="shared" si="5"/>
        <v>-0.67999999999999994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ht="15.75" x14ac:dyDescent="0.25">
      <c r="A17" s="168" t="s">
        <v>82</v>
      </c>
      <c r="B17" s="191">
        <v>1664.14</v>
      </c>
      <c r="C17" s="191">
        <v>3580.03</v>
      </c>
      <c r="D17" s="191">
        <f t="shared" si="0"/>
        <v>5244.17</v>
      </c>
      <c r="E17" s="191">
        <v>3454.92</v>
      </c>
      <c r="F17" s="191">
        <v>2899.7</v>
      </c>
      <c r="G17" s="191">
        <v>3485.86</v>
      </c>
      <c r="H17" s="191">
        <v>3433.11</v>
      </c>
      <c r="I17" s="191">
        <f t="shared" si="4"/>
        <v>6918.97</v>
      </c>
      <c r="J17" s="191">
        <v>3298.34</v>
      </c>
      <c r="K17" s="191">
        <f t="shared" si="5"/>
        <v>10217.310000000001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74" customFormat="1" ht="15.75" x14ac:dyDescent="0.25">
      <c r="A18" s="168" t="s">
        <v>75</v>
      </c>
      <c r="B18" s="191">
        <v>21.71</v>
      </c>
      <c r="C18" s="191">
        <v>30.29</v>
      </c>
      <c r="D18" s="191">
        <f t="shared" si="0"/>
        <v>52</v>
      </c>
      <c r="E18" s="191">
        <v>21.49</v>
      </c>
      <c r="F18" s="191">
        <v>24.5</v>
      </c>
      <c r="G18" s="191">
        <v>24.1</v>
      </c>
      <c r="H18" s="191">
        <v>29.44</v>
      </c>
      <c r="I18" s="191">
        <f t="shared" si="4"/>
        <v>53.540000000000006</v>
      </c>
      <c r="J18" s="191">
        <v>22.27</v>
      </c>
      <c r="K18" s="191">
        <f t="shared" si="5"/>
        <v>75.81</v>
      </c>
    </row>
    <row r="19" spans="1:23" s="74" customFormat="1" ht="15.75" x14ac:dyDescent="0.25">
      <c r="A19" s="168" t="s">
        <v>83</v>
      </c>
      <c r="B19" s="191">
        <v>130.97999999999999</v>
      </c>
      <c r="C19" s="191">
        <v>177.52</v>
      </c>
      <c r="D19" s="191">
        <f t="shared" si="0"/>
        <v>308.5</v>
      </c>
      <c r="E19" s="191">
        <v>244.67</v>
      </c>
      <c r="F19" s="191">
        <v>184.39</v>
      </c>
      <c r="G19" s="191">
        <v>197.85</v>
      </c>
      <c r="H19" s="191">
        <v>216.86</v>
      </c>
      <c r="I19" s="191">
        <f t="shared" si="4"/>
        <v>414.71000000000004</v>
      </c>
      <c r="J19" s="191">
        <v>217.87</v>
      </c>
      <c r="K19" s="191">
        <f t="shared" si="5"/>
        <v>632.58000000000004</v>
      </c>
    </row>
    <row r="20" spans="1:23" ht="15.75" x14ac:dyDescent="0.25">
      <c r="A20" s="186" t="s">
        <v>76</v>
      </c>
      <c r="B20" s="192">
        <f>SUM(B13:B19)</f>
        <v>5831.53</v>
      </c>
      <c r="C20" s="192">
        <f>SUM(C13:C19)</f>
        <v>5727.0400000000009</v>
      </c>
      <c r="D20" s="192">
        <f>SUM(B20:C20)</f>
        <v>11558.57</v>
      </c>
      <c r="E20" s="192">
        <f>SUM(E13:E19)</f>
        <v>5522.7</v>
      </c>
      <c r="F20" s="192">
        <f t="shared" ref="F20:H20" si="6">SUM(F13:F19)</f>
        <v>5693.76</v>
      </c>
      <c r="G20" s="192">
        <f t="shared" si="6"/>
        <v>5506.4800000000005</v>
      </c>
      <c r="H20" s="192">
        <f t="shared" si="6"/>
        <v>5395.66</v>
      </c>
      <c r="I20" s="192">
        <f t="shared" si="4"/>
        <v>10902.14</v>
      </c>
      <c r="J20" s="192">
        <f>SUM(J13:J19)</f>
        <v>5180.6400000000003</v>
      </c>
      <c r="K20" s="192">
        <f t="shared" si="5"/>
        <v>16082.779999999999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ht="89.25" x14ac:dyDescent="0.25">
      <c r="A21" s="193" t="s">
        <v>84</v>
      </c>
      <c r="B21" s="194"/>
    </row>
    <row r="22" spans="1:23" x14ac:dyDescent="0.25">
      <c r="A22" s="195"/>
      <c r="D22" s="196"/>
    </row>
    <row r="23" spans="1:23" x14ac:dyDescent="0.25">
      <c r="A23" s="195"/>
    </row>
    <row r="24" spans="1:23" x14ac:dyDescent="0.25">
      <c r="A24" s="195"/>
    </row>
    <row r="25" spans="1:23" x14ac:dyDescent="0.25">
      <c r="A25" s="195"/>
    </row>
    <row r="26" spans="1:23" x14ac:dyDescent="0.25">
      <c r="A26" s="195"/>
    </row>
    <row r="27" spans="1:23" x14ac:dyDescent="0.25">
      <c r="A27" s="195"/>
    </row>
    <row r="28" spans="1:23" x14ac:dyDescent="0.25">
      <c r="A28" s="195"/>
    </row>
    <row r="29" spans="1:23" x14ac:dyDescent="0.25">
      <c r="A29" s="195"/>
    </row>
    <row r="30" spans="1:23" x14ac:dyDescent="0.25">
      <c r="A30" s="195"/>
    </row>
    <row r="31" spans="1:23" x14ac:dyDescent="0.25">
      <c r="A31" s="195"/>
    </row>
  </sheetData>
  <mergeCells count="3">
    <mergeCell ref="A2:A3"/>
    <mergeCell ref="B2:F2"/>
    <mergeCell ref="G2:K2"/>
  </mergeCells>
  <pageMargins left="0.7" right="0.7" top="0.75" bottom="0.75" header="0.3" footer="0.3"/>
  <pageSetup paperSize="9" scale="3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showGridLines="0" zoomScale="85" workbookViewId="0">
      <pane xSplit="1" ySplit="2" topLeftCell="B3" activePane="bottomRight" state="frozen"/>
      <selection activeCell="B3" sqref="B3"/>
      <selection pane="topRight"/>
      <selection pane="bottomLeft"/>
      <selection pane="bottomRight" activeCell="J18" sqref="J18"/>
    </sheetView>
  </sheetViews>
  <sheetFormatPr defaultRowHeight="15" x14ac:dyDescent="0.25"/>
  <cols>
    <col min="1" max="1" width="54.85546875" customWidth="1"/>
    <col min="2" max="22" width="10.7109375" style="74" customWidth="1"/>
    <col min="23" max="23" width="13.42578125" style="74" customWidth="1"/>
    <col min="24" max="24" width="14.42578125" style="74" bestFit="1" customWidth="1"/>
    <col min="25" max="25" width="12.7109375" style="74" customWidth="1"/>
    <col min="26" max="26" width="11.7109375" customWidth="1"/>
    <col min="27" max="27" width="12.28515625" customWidth="1"/>
    <col min="38" max="38" width="11.5703125" customWidth="1"/>
    <col min="40" max="40" width="11.42578125" customWidth="1"/>
    <col min="46" max="46" width="11.85546875" customWidth="1"/>
    <col min="47" max="47" width="9.7109375" customWidth="1"/>
    <col min="48" max="48" width="11.140625" customWidth="1"/>
    <col min="49" max="49" width="12" customWidth="1"/>
    <col min="226" max="226" width="18.42578125" customWidth="1"/>
    <col min="227" max="240" width="10.7109375" customWidth="1"/>
    <col min="241" max="241" width="12.85546875" customWidth="1"/>
    <col min="242" max="242" width="12.140625" customWidth="1"/>
    <col min="243" max="243" width="12.85546875" customWidth="1"/>
    <col min="244" max="244" width="12.140625" customWidth="1"/>
    <col min="482" max="482" width="18.42578125" customWidth="1"/>
    <col min="483" max="496" width="10.7109375" customWidth="1"/>
    <col min="497" max="497" width="12.85546875" customWidth="1"/>
    <col min="498" max="498" width="12.140625" customWidth="1"/>
    <col min="499" max="499" width="12.85546875" customWidth="1"/>
    <col min="500" max="500" width="12.140625" customWidth="1"/>
    <col min="738" max="738" width="18.42578125" customWidth="1"/>
    <col min="739" max="752" width="10.7109375" customWidth="1"/>
    <col min="753" max="753" width="12.85546875" customWidth="1"/>
    <col min="754" max="754" width="12.140625" customWidth="1"/>
    <col min="755" max="755" width="12.85546875" customWidth="1"/>
    <col min="756" max="756" width="12.140625" customWidth="1"/>
    <col min="994" max="994" width="18.42578125" customWidth="1"/>
    <col min="995" max="1008" width="10.7109375" customWidth="1"/>
    <col min="1009" max="1009" width="12.85546875" customWidth="1"/>
    <col min="1010" max="1010" width="12.140625" customWidth="1"/>
    <col min="1011" max="1011" width="12.85546875" customWidth="1"/>
    <col min="1012" max="1012" width="12.140625" customWidth="1"/>
    <col min="1250" max="1250" width="18.42578125" customWidth="1"/>
    <col min="1251" max="1264" width="10.7109375" customWidth="1"/>
    <col min="1265" max="1265" width="12.85546875" customWidth="1"/>
    <col min="1266" max="1266" width="12.140625" customWidth="1"/>
    <col min="1267" max="1267" width="12.85546875" customWidth="1"/>
    <col min="1268" max="1268" width="12.140625" customWidth="1"/>
    <col min="1506" max="1506" width="18.42578125" customWidth="1"/>
    <col min="1507" max="1520" width="10.7109375" customWidth="1"/>
    <col min="1521" max="1521" width="12.85546875" customWidth="1"/>
    <col min="1522" max="1522" width="12.140625" customWidth="1"/>
    <col min="1523" max="1523" width="12.85546875" customWidth="1"/>
    <col min="1524" max="1524" width="12.140625" customWidth="1"/>
    <col min="1762" max="1762" width="18.42578125" customWidth="1"/>
    <col min="1763" max="1776" width="10.7109375" customWidth="1"/>
    <col min="1777" max="1777" width="12.85546875" customWidth="1"/>
    <col min="1778" max="1778" width="12.140625" customWidth="1"/>
    <col min="1779" max="1779" width="12.85546875" customWidth="1"/>
    <col min="1780" max="1780" width="12.140625" customWidth="1"/>
    <col min="2018" max="2018" width="18.42578125" customWidth="1"/>
    <col min="2019" max="2032" width="10.7109375" customWidth="1"/>
    <col min="2033" max="2033" width="12.85546875" customWidth="1"/>
    <col min="2034" max="2034" width="12.140625" customWidth="1"/>
    <col min="2035" max="2035" width="12.85546875" customWidth="1"/>
    <col min="2036" max="2036" width="12.140625" customWidth="1"/>
    <col min="2274" max="2274" width="18.42578125" customWidth="1"/>
    <col min="2275" max="2288" width="10.7109375" customWidth="1"/>
    <col min="2289" max="2289" width="12.85546875" customWidth="1"/>
    <col min="2290" max="2290" width="12.140625" customWidth="1"/>
    <col min="2291" max="2291" width="12.85546875" customWidth="1"/>
    <col min="2292" max="2292" width="12.140625" customWidth="1"/>
    <col min="2530" max="2530" width="18.42578125" customWidth="1"/>
    <col min="2531" max="2544" width="10.7109375" customWidth="1"/>
    <col min="2545" max="2545" width="12.85546875" customWidth="1"/>
    <col min="2546" max="2546" width="12.140625" customWidth="1"/>
    <col min="2547" max="2547" width="12.85546875" customWidth="1"/>
    <col min="2548" max="2548" width="12.140625" customWidth="1"/>
    <col min="2786" max="2786" width="18.42578125" customWidth="1"/>
    <col min="2787" max="2800" width="10.7109375" customWidth="1"/>
    <col min="2801" max="2801" width="12.85546875" customWidth="1"/>
    <col min="2802" max="2802" width="12.140625" customWidth="1"/>
    <col min="2803" max="2803" width="12.85546875" customWidth="1"/>
    <col min="2804" max="2804" width="12.140625" customWidth="1"/>
    <col min="3042" max="3042" width="18.42578125" customWidth="1"/>
    <col min="3043" max="3056" width="10.7109375" customWidth="1"/>
    <col min="3057" max="3057" width="12.85546875" customWidth="1"/>
    <col min="3058" max="3058" width="12.140625" customWidth="1"/>
    <col min="3059" max="3059" width="12.85546875" customWidth="1"/>
    <col min="3060" max="3060" width="12.140625" customWidth="1"/>
    <col min="3298" max="3298" width="18.42578125" customWidth="1"/>
    <col min="3299" max="3312" width="10.7109375" customWidth="1"/>
    <col min="3313" max="3313" width="12.85546875" customWidth="1"/>
    <col min="3314" max="3314" width="12.140625" customWidth="1"/>
    <col min="3315" max="3315" width="12.85546875" customWidth="1"/>
    <col min="3316" max="3316" width="12.140625" customWidth="1"/>
    <col min="3554" max="3554" width="18.42578125" customWidth="1"/>
    <col min="3555" max="3568" width="10.7109375" customWidth="1"/>
    <col min="3569" max="3569" width="12.85546875" customWidth="1"/>
    <col min="3570" max="3570" width="12.140625" customWidth="1"/>
    <col min="3571" max="3571" width="12.85546875" customWidth="1"/>
    <col min="3572" max="3572" width="12.140625" customWidth="1"/>
    <col min="3810" max="3810" width="18.42578125" customWidth="1"/>
    <col min="3811" max="3824" width="10.7109375" customWidth="1"/>
    <col min="3825" max="3825" width="12.85546875" customWidth="1"/>
    <col min="3826" max="3826" width="12.140625" customWidth="1"/>
    <col min="3827" max="3827" width="12.85546875" customWidth="1"/>
    <col min="3828" max="3828" width="12.140625" customWidth="1"/>
    <col min="4066" max="4066" width="18.42578125" customWidth="1"/>
    <col min="4067" max="4080" width="10.7109375" customWidth="1"/>
    <col min="4081" max="4081" width="12.85546875" customWidth="1"/>
    <col min="4082" max="4082" width="12.140625" customWidth="1"/>
    <col min="4083" max="4083" width="12.85546875" customWidth="1"/>
    <col min="4084" max="4084" width="12.140625" customWidth="1"/>
    <col min="4322" max="4322" width="18.42578125" customWidth="1"/>
    <col min="4323" max="4336" width="10.7109375" customWidth="1"/>
    <col min="4337" max="4337" width="12.85546875" customWidth="1"/>
    <col min="4338" max="4338" width="12.140625" customWidth="1"/>
    <col min="4339" max="4339" width="12.85546875" customWidth="1"/>
    <col min="4340" max="4340" width="12.140625" customWidth="1"/>
    <col min="4578" max="4578" width="18.42578125" customWidth="1"/>
    <col min="4579" max="4592" width="10.7109375" customWidth="1"/>
    <col min="4593" max="4593" width="12.85546875" customWidth="1"/>
    <col min="4594" max="4594" width="12.140625" customWidth="1"/>
    <col min="4595" max="4595" width="12.85546875" customWidth="1"/>
    <col min="4596" max="4596" width="12.140625" customWidth="1"/>
    <col min="4834" max="4834" width="18.42578125" customWidth="1"/>
    <col min="4835" max="4848" width="10.7109375" customWidth="1"/>
    <col min="4849" max="4849" width="12.85546875" customWidth="1"/>
    <col min="4850" max="4850" width="12.140625" customWidth="1"/>
    <col min="4851" max="4851" width="12.85546875" customWidth="1"/>
    <col min="4852" max="4852" width="12.140625" customWidth="1"/>
    <col min="5090" max="5090" width="18.42578125" customWidth="1"/>
    <col min="5091" max="5104" width="10.7109375" customWidth="1"/>
    <col min="5105" max="5105" width="12.85546875" customWidth="1"/>
    <col min="5106" max="5106" width="12.140625" customWidth="1"/>
    <col min="5107" max="5107" width="12.85546875" customWidth="1"/>
    <col min="5108" max="5108" width="12.140625" customWidth="1"/>
    <col min="5346" max="5346" width="18.42578125" customWidth="1"/>
    <col min="5347" max="5360" width="10.7109375" customWidth="1"/>
    <col min="5361" max="5361" width="12.85546875" customWidth="1"/>
    <col min="5362" max="5362" width="12.140625" customWidth="1"/>
    <col min="5363" max="5363" width="12.85546875" customWidth="1"/>
    <col min="5364" max="5364" width="12.140625" customWidth="1"/>
    <col min="5602" max="5602" width="18.42578125" customWidth="1"/>
    <col min="5603" max="5616" width="10.7109375" customWidth="1"/>
    <col min="5617" max="5617" width="12.85546875" customWidth="1"/>
    <col min="5618" max="5618" width="12.140625" customWidth="1"/>
    <col min="5619" max="5619" width="12.85546875" customWidth="1"/>
    <col min="5620" max="5620" width="12.140625" customWidth="1"/>
    <col min="5858" max="5858" width="18.42578125" customWidth="1"/>
    <col min="5859" max="5872" width="10.7109375" customWidth="1"/>
    <col min="5873" max="5873" width="12.85546875" customWidth="1"/>
    <col min="5874" max="5874" width="12.140625" customWidth="1"/>
    <col min="5875" max="5875" width="12.85546875" customWidth="1"/>
    <col min="5876" max="5876" width="12.140625" customWidth="1"/>
    <col min="6114" max="6114" width="18.42578125" customWidth="1"/>
    <col min="6115" max="6128" width="10.7109375" customWidth="1"/>
    <col min="6129" max="6129" width="12.85546875" customWidth="1"/>
    <col min="6130" max="6130" width="12.140625" customWidth="1"/>
    <col min="6131" max="6131" width="12.85546875" customWidth="1"/>
    <col min="6132" max="6132" width="12.140625" customWidth="1"/>
    <col min="6370" max="6370" width="18.42578125" customWidth="1"/>
    <col min="6371" max="6384" width="10.7109375" customWidth="1"/>
    <col min="6385" max="6385" width="12.85546875" customWidth="1"/>
    <col min="6386" max="6386" width="12.140625" customWidth="1"/>
    <col min="6387" max="6387" width="12.85546875" customWidth="1"/>
    <col min="6388" max="6388" width="12.140625" customWidth="1"/>
    <col min="6626" max="6626" width="18.42578125" customWidth="1"/>
    <col min="6627" max="6640" width="10.7109375" customWidth="1"/>
    <col min="6641" max="6641" width="12.85546875" customWidth="1"/>
    <col min="6642" max="6642" width="12.140625" customWidth="1"/>
    <col min="6643" max="6643" width="12.85546875" customWidth="1"/>
    <col min="6644" max="6644" width="12.140625" customWidth="1"/>
    <col min="6882" max="6882" width="18.42578125" customWidth="1"/>
    <col min="6883" max="6896" width="10.7109375" customWidth="1"/>
    <col min="6897" max="6897" width="12.85546875" customWidth="1"/>
    <col min="6898" max="6898" width="12.140625" customWidth="1"/>
    <col min="6899" max="6899" width="12.85546875" customWidth="1"/>
    <col min="6900" max="6900" width="12.140625" customWidth="1"/>
    <col min="7138" max="7138" width="18.42578125" customWidth="1"/>
    <col min="7139" max="7152" width="10.7109375" customWidth="1"/>
    <col min="7153" max="7153" width="12.85546875" customWidth="1"/>
    <col min="7154" max="7154" width="12.140625" customWidth="1"/>
    <col min="7155" max="7155" width="12.85546875" customWidth="1"/>
    <col min="7156" max="7156" width="12.140625" customWidth="1"/>
    <col min="7394" max="7394" width="18.42578125" customWidth="1"/>
    <col min="7395" max="7408" width="10.7109375" customWidth="1"/>
    <col min="7409" max="7409" width="12.85546875" customWidth="1"/>
    <col min="7410" max="7410" width="12.140625" customWidth="1"/>
    <col min="7411" max="7411" width="12.85546875" customWidth="1"/>
    <col min="7412" max="7412" width="12.140625" customWidth="1"/>
    <col min="7650" max="7650" width="18.42578125" customWidth="1"/>
    <col min="7651" max="7664" width="10.7109375" customWidth="1"/>
    <col min="7665" max="7665" width="12.85546875" customWidth="1"/>
    <col min="7666" max="7666" width="12.140625" customWidth="1"/>
    <col min="7667" max="7667" width="12.85546875" customWidth="1"/>
    <col min="7668" max="7668" width="12.140625" customWidth="1"/>
    <col min="7906" max="7906" width="18.42578125" customWidth="1"/>
    <col min="7907" max="7920" width="10.7109375" customWidth="1"/>
    <col min="7921" max="7921" width="12.85546875" customWidth="1"/>
    <col min="7922" max="7922" width="12.140625" customWidth="1"/>
    <col min="7923" max="7923" width="12.85546875" customWidth="1"/>
    <col min="7924" max="7924" width="12.140625" customWidth="1"/>
    <col min="8162" max="8162" width="18.42578125" customWidth="1"/>
    <col min="8163" max="8176" width="10.7109375" customWidth="1"/>
    <col min="8177" max="8177" width="12.85546875" customWidth="1"/>
    <col min="8178" max="8178" width="12.140625" customWidth="1"/>
    <col min="8179" max="8179" width="12.85546875" customWidth="1"/>
    <col min="8180" max="8180" width="12.140625" customWidth="1"/>
    <col min="8418" max="8418" width="18.42578125" customWidth="1"/>
    <col min="8419" max="8432" width="10.7109375" customWidth="1"/>
    <col min="8433" max="8433" width="12.85546875" customWidth="1"/>
    <col min="8434" max="8434" width="12.140625" customWidth="1"/>
    <col min="8435" max="8435" width="12.85546875" customWidth="1"/>
    <col min="8436" max="8436" width="12.140625" customWidth="1"/>
    <col min="8674" max="8674" width="18.42578125" customWidth="1"/>
    <col min="8675" max="8688" width="10.7109375" customWidth="1"/>
    <col min="8689" max="8689" width="12.85546875" customWidth="1"/>
    <col min="8690" max="8690" width="12.140625" customWidth="1"/>
    <col min="8691" max="8691" width="12.85546875" customWidth="1"/>
    <col min="8692" max="8692" width="12.140625" customWidth="1"/>
    <col min="8930" max="8930" width="18.42578125" customWidth="1"/>
    <col min="8931" max="8944" width="10.7109375" customWidth="1"/>
    <col min="8945" max="8945" width="12.85546875" customWidth="1"/>
    <col min="8946" max="8946" width="12.140625" customWidth="1"/>
    <col min="8947" max="8947" width="12.85546875" customWidth="1"/>
    <col min="8948" max="8948" width="12.140625" customWidth="1"/>
    <col min="9186" max="9186" width="18.42578125" customWidth="1"/>
    <col min="9187" max="9200" width="10.7109375" customWidth="1"/>
    <col min="9201" max="9201" width="12.85546875" customWidth="1"/>
    <col min="9202" max="9202" width="12.140625" customWidth="1"/>
    <col min="9203" max="9203" width="12.85546875" customWidth="1"/>
    <col min="9204" max="9204" width="12.140625" customWidth="1"/>
    <col min="9442" max="9442" width="18.42578125" customWidth="1"/>
    <col min="9443" max="9456" width="10.7109375" customWidth="1"/>
    <col min="9457" max="9457" width="12.85546875" customWidth="1"/>
    <col min="9458" max="9458" width="12.140625" customWidth="1"/>
    <col min="9459" max="9459" width="12.85546875" customWidth="1"/>
    <col min="9460" max="9460" width="12.140625" customWidth="1"/>
    <col min="9698" max="9698" width="18.42578125" customWidth="1"/>
    <col min="9699" max="9712" width="10.7109375" customWidth="1"/>
    <col min="9713" max="9713" width="12.85546875" customWidth="1"/>
    <col min="9714" max="9714" width="12.140625" customWidth="1"/>
    <col min="9715" max="9715" width="12.85546875" customWidth="1"/>
    <col min="9716" max="9716" width="12.140625" customWidth="1"/>
    <col min="9954" max="9954" width="18.42578125" customWidth="1"/>
    <col min="9955" max="9968" width="10.7109375" customWidth="1"/>
    <col min="9969" max="9969" width="12.85546875" customWidth="1"/>
    <col min="9970" max="9970" width="12.140625" customWidth="1"/>
    <col min="9971" max="9971" width="12.85546875" customWidth="1"/>
    <col min="9972" max="9972" width="12.140625" customWidth="1"/>
    <col min="10210" max="10210" width="18.42578125" customWidth="1"/>
    <col min="10211" max="10224" width="10.7109375" customWidth="1"/>
    <col min="10225" max="10225" width="12.85546875" customWidth="1"/>
    <col min="10226" max="10226" width="12.140625" customWidth="1"/>
    <col min="10227" max="10227" width="12.85546875" customWidth="1"/>
    <col min="10228" max="10228" width="12.140625" customWidth="1"/>
    <col min="10466" max="10466" width="18.42578125" customWidth="1"/>
    <col min="10467" max="10480" width="10.7109375" customWidth="1"/>
    <col min="10481" max="10481" width="12.85546875" customWidth="1"/>
    <col min="10482" max="10482" width="12.140625" customWidth="1"/>
    <col min="10483" max="10483" width="12.85546875" customWidth="1"/>
    <col min="10484" max="10484" width="12.140625" customWidth="1"/>
    <col min="10722" max="10722" width="18.42578125" customWidth="1"/>
    <col min="10723" max="10736" width="10.7109375" customWidth="1"/>
    <col min="10737" max="10737" width="12.85546875" customWidth="1"/>
    <col min="10738" max="10738" width="12.140625" customWidth="1"/>
    <col min="10739" max="10739" width="12.85546875" customWidth="1"/>
    <col min="10740" max="10740" width="12.140625" customWidth="1"/>
    <col min="10978" max="10978" width="18.42578125" customWidth="1"/>
    <col min="10979" max="10992" width="10.7109375" customWidth="1"/>
    <col min="10993" max="10993" width="12.85546875" customWidth="1"/>
    <col min="10994" max="10994" width="12.140625" customWidth="1"/>
    <col min="10995" max="10995" width="12.85546875" customWidth="1"/>
    <col min="10996" max="10996" width="12.140625" customWidth="1"/>
    <col min="11234" max="11234" width="18.42578125" customWidth="1"/>
    <col min="11235" max="11248" width="10.7109375" customWidth="1"/>
    <col min="11249" max="11249" width="12.85546875" customWidth="1"/>
    <col min="11250" max="11250" width="12.140625" customWidth="1"/>
    <col min="11251" max="11251" width="12.85546875" customWidth="1"/>
    <col min="11252" max="11252" width="12.140625" customWidth="1"/>
    <col min="11490" max="11490" width="18.42578125" customWidth="1"/>
    <col min="11491" max="11504" width="10.7109375" customWidth="1"/>
    <col min="11505" max="11505" width="12.85546875" customWidth="1"/>
    <col min="11506" max="11506" width="12.140625" customWidth="1"/>
    <col min="11507" max="11507" width="12.85546875" customWidth="1"/>
    <col min="11508" max="11508" width="12.140625" customWidth="1"/>
    <col min="11746" max="11746" width="18.42578125" customWidth="1"/>
    <col min="11747" max="11760" width="10.7109375" customWidth="1"/>
    <col min="11761" max="11761" width="12.85546875" customWidth="1"/>
    <col min="11762" max="11762" width="12.140625" customWidth="1"/>
    <col min="11763" max="11763" width="12.85546875" customWidth="1"/>
    <col min="11764" max="11764" width="12.140625" customWidth="1"/>
    <col min="12002" max="12002" width="18.42578125" customWidth="1"/>
    <col min="12003" max="12016" width="10.7109375" customWidth="1"/>
    <col min="12017" max="12017" width="12.85546875" customWidth="1"/>
    <col min="12018" max="12018" width="12.140625" customWidth="1"/>
    <col min="12019" max="12019" width="12.85546875" customWidth="1"/>
    <col min="12020" max="12020" width="12.140625" customWidth="1"/>
    <col min="12258" max="12258" width="18.42578125" customWidth="1"/>
    <col min="12259" max="12272" width="10.7109375" customWidth="1"/>
    <col min="12273" max="12273" width="12.85546875" customWidth="1"/>
    <col min="12274" max="12274" width="12.140625" customWidth="1"/>
    <col min="12275" max="12275" width="12.85546875" customWidth="1"/>
    <col min="12276" max="12276" width="12.140625" customWidth="1"/>
    <col min="12514" max="12514" width="18.42578125" customWidth="1"/>
    <col min="12515" max="12528" width="10.7109375" customWidth="1"/>
    <col min="12529" max="12529" width="12.85546875" customWidth="1"/>
    <col min="12530" max="12530" width="12.140625" customWidth="1"/>
    <col min="12531" max="12531" width="12.85546875" customWidth="1"/>
    <col min="12532" max="12532" width="12.140625" customWidth="1"/>
    <col min="12770" max="12770" width="18.42578125" customWidth="1"/>
    <col min="12771" max="12784" width="10.7109375" customWidth="1"/>
    <col min="12785" max="12785" width="12.85546875" customWidth="1"/>
    <col min="12786" max="12786" width="12.140625" customWidth="1"/>
    <col min="12787" max="12787" width="12.85546875" customWidth="1"/>
    <col min="12788" max="12788" width="12.140625" customWidth="1"/>
    <col min="13026" max="13026" width="18.42578125" customWidth="1"/>
    <col min="13027" max="13040" width="10.7109375" customWidth="1"/>
    <col min="13041" max="13041" width="12.85546875" customWidth="1"/>
    <col min="13042" max="13042" width="12.140625" customWidth="1"/>
    <col min="13043" max="13043" width="12.85546875" customWidth="1"/>
    <col min="13044" max="13044" width="12.140625" customWidth="1"/>
    <col min="13282" max="13282" width="18.42578125" customWidth="1"/>
    <col min="13283" max="13296" width="10.7109375" customWidth="1"/>
    <col min="13297" max="13297" width="12.85546875" customWidth="1"/>
    <col min="13298" max="13298" width="12.140625" customWidth="1"/>
    <col min="13299" max="13299" width="12.85546875" customWidth="1"/>
    <col min="13300" max="13300" width="12.140625" customWidth="1"/>
    <col min="13538" max="13538" width="18.42578125" customWidth="1"/>
    <col min="13539" max="13552" width="10.7109375" customWidth="1"/>
    <col min="13553" max="13553" width="12.85546875" customWidth="1"/>
    <col min="13554" max="13554" width="12.140625" customWidth="1"/>
    <col min="13555" max="13555" width="12.85546875" customWidth="1"/>
    <col min="13556" max="13556" width="12.140625" customWidth="1"/>
    <col min="13794" max="13794" width="18.42578125" customWidth="1"/>
    <col min="13795" max="13808" width="10.7109375" customWidth="1"/>
    <col min="13809" max="13809" width="12.85546875" customWidth="1"/>
    <col min="13810" max="13810" width="12.140625" customWidth="1"/>
    <col min="13811" max="13811" width="12.85546875" customWidth="1"/>
    <col min="13812" max="13812" width="12.140625" customWidth="1"/>
    <col min="14050" max="14050" width="18.42578125" customWidth="1"/>
    <col min="14051" max="14064" width="10.7109375" customWidth="1"/>
    <col min="14065" max="14065" width="12.85546875" customWidth="1"/>
    <col min="14066" max="14066" width="12.140625" customWidth="1"/>
    <col min="14067" max="14067" width="12.85546875" customWidth="1"/>
    <col min="14068" max="14068" width="12.140625" customWidth="1"/>
    <col min="14306" max="14306" width="18.42578125" customWidth="1"/>
    <col min="14307" max="14320" width="10.7109375" customWidth="1"/>
    <col min="14321" max="14321" width="12.85546875" customWidth="1"/>
    <col min="14322" max="14322" width="12.140625" customWidth="1"/>
    <col min="14323" max="14323" width="12.85546875" customWidth="1"/>
    <col min="14324" max="14324" width="12.140625" customWidth="1"/>
    <col min="14562" max="14562" width="18.42578125" customWidth="1"/>
    <col min="14563" max="14576" width="10.7109375" customWidth="1"/>
    <col min="14577" max="14577" width="12.85546875" customWidth="1"/>
    <col min="14578" max="14578" width="12.140625" customWidth="1"/>
    <col min="14579" max="14579" width="12.85546875" customWidth="1"/>
    <col min="14580" max="14580" width="12.140625" customWidth="1"/>
    <col min="14818" max="14818" width="18.42578125" customWidth="1"/>
    <col min="14819" max="14832" width="10.7109375" customWidth="1"/>
    <col min="14833" max="14833" width="12.85546875" customWidth="1"/>
    <col min="14834" max="14834" width="12.140625" customWidth="1"/>
    <col min="14835" max="14835" width="12.85546875" customWidth="1"/>
    <col min="14836" max="14836" width="12.140625" customWidth="1"/>
    <col min="15074" max="15074" width="18.42578125" customWidth="1"/>
    <col min="15075" max="15088" width="10.7109375" customWidth="1"/>
    <col min="15089" max="15089" width="12.85546875" customWidth="1"/>
    <col min="15090" max="15090" width="12.140625" customWidth="1"/>
    <col min="15091" max="15091" width="12.85546875" customWidth="1"/>
    <col min="15092" max="15092" width="12.140625" customWidth="1"/>
    <col min="15330" max="15330" width="18.42578125" customWidth="1"/>
    <col min="15331" max="15344" width="10.7109375" customWidth="1"/>
    <col min="15345" max="15345" width="12.85546875" customWidth="1"/>
    <col min="15346" max="15346" width="12.140625" customWidth="1"/>
    <col min="15347" max="15347" width="12.85546875" customWidth="1"/>
    <col min="15348" max="15348" width="12.140625" customWidth="1"/>
    <col min="15586" max="15586" width="18.42578125" customWidth="1"/>
    <col min="15587" max="15600" width="10.7109375" customWidth="1"/>
    <col min="15601" max="15601" width="12.85546875" customWidth="1"/>
    <col min="15602" max="15602" width="12.140625" customWidth="1"/>
    <col min="15603" max="15603" width="12.85546875" customWidth="1"/>
    <col min="15604" max="15604" width="12.140625" customWidth="1"/>
    <col min="15842" max="15842" width="18.42578125" customWidth="1"/>
    <col min="15843" max="15856" width="10.7109375" customWidth="1"/>
    <col min="15857" max="15857" width="12.85546875" customWidth="1"/>
    <col min="15858" max="15858" width="12.140625" customWidth="1"/>
    <col min="15859" max="15859" width="12.85546875" customWidth="1"/>
    <col min="15860" max="15860" width="12.140625" customWidth="1"/>
    <col min="16098" max="16098" width="18.42578125" customWidth="1"/>
    <col min="16099" max="16112" width="10.7109375" customWidth="1"/>
    <col min="16113" max="16113" width="12.85546875" customWidth="1"/>
    <col min="16114" max="16114" width="12.140625" customWidth="1"/>
    <col min="16115" max="16115" width="12.85546875" customWidth="1"/>
    <col min="16116" max="16116" width="12.140625" customWidth="1"/>
  </cols>
  <sheetData>
    <row r="1" spans="1:25" ht="18.75" customHeight="1" x14ac:dyDescent="0.25">
      <c r="A1" s="197" t="s">
        <v>85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8.75" customHeight="1" x14ac:dyDescent="0.25">
      <c r="A2" s="286"/>
      <c r="B2" s="288">
        <v>2025</v>
      </c>
      <c r="C2" s="289"/>
      <c r="D2" s="289"/>
      <c r="E2" s="289"/>
      <c r="F2" s="289"/>
      <c r="G2" s="290">
        <v>2026</v>
      </c>
      <c r="H2" s="290"/>
      <c r="I2" s="290"/>
      <c r="J2" s="290"/>
      <c r="K2" s="290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 ht="18.75" customHeight="1" x14ac:dyDescent="0.25">
      <c r="A3" s="287"/>
      <c r="B3" s="200" t="s">
        <v>3</v>
      </c>
      <c r="C3" s="200" t="s">
        <v>7</v>
      </c>
      <c r="D3" s="201" t="s">
        <v>8</v>
      </c>
      <c r="E3" s="199" t="s">
        <v>12</v>
      </c>
      <c r="F3" s="199" t="s">
        <v>13</v>
      </c>
      <c r="G3" s="200" t="s">
        <v>3</v>
      </c>
      <c r="H3" s="200" t="s">
        <v>7</v>
      </c>
      <c r="I3" s="201" t="s">
        <v>8</v>
      </c>
      <c r="J3" s="199" t="s">
        <v>12</v>
      </c>
      <c r="K3" s="199" t="s">
        <v>13</v>
      </c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ht="15.75" x14ac:dyDescent="0.25">
      <c r="A4" s="202" t="s">
        <v>86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15.75" x14ac:dyDescent="0.25">
      <c r="A5" s="204" t="s">
        <v>71</v>
      </c>
      <c r="B5" s="205">
        <v>799095.76</v>
      </c>
      <c r="C5" s="205">
        <v>555548.88</v>
      </c>
      <c r="D5" s="205">
        <v>1354644.64</v>
      </c>
      <c r="E5" s="205">
        <v>528920.48</v>
      </c>
      <c r="F5" s="205">
        <v>1883565.12</v>
      </c>
      <c r="G5" s="205">
        <v>714134.71</v>
      </c>
      <c r="H5" s="205">
        <v>586975.44999999995</v>
      </c>
      <c r="I5" s="205">
        <f>SUM(G5:H5)</f>
        <v>1301110.1599999999</v>
      </c>
      <c r="J5" s="205">
        <v>481719.21</v>
      </c>
      <c r="K5" s="205">
        <f>SUM(J5+I5)</f>
        <v>1782829.3699999999</v>
      </c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15.75" x14ac:dyDescent="0.25">
      <c r="A6" s="204" t="s">
        <v>72</v>
      </c>
      <c r="B6" s="206">
        <v>331723.81</v>
      </c>
      <c r="C6" s="206">
        <v>344086.3</v>
      </c>
      <c r="D6" s="206">
        <v>675810.61</v>
      </c>
      <c r="E6" s="206">
        <v>258931.57</v>
      </c>
      <c r="F6" s="206">
        <v>934742.18</v>
      </c>
      <c r="G6" s="206">
        <v>401883.89</v>
      </c>
      <c r="H6" s="206">
        <v>277193.01</v>
      </c>
      <c r="I6" s="206">
        <f t="shared" ref="I6" si="0">SUM(G6:H6)</f>
        <v>679076.9</v>
      </c>
      <c r="J6" s="206">
        <v>320096.99</v>
      </c>
      <c r="K6" s="206">
        <f t="shared" ref="K6" si="1">SUM(J6+I6)</f>
        <v>999173.89</v>
      </c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15.75" x14ac:dyDescent="0.25">
      <c r="A7" s="207" t="s">
        <v>76</v>
      </c>
      <c r="B7" s="208">
        <f>SUM(B5:B6)</f>
        <v>1130819.57</v>
      </c>
      <c r="C7" s="208">
        <f t="shared" ref="C7:D7" si="2">SUM(C5:C6)</f>
        <v>899635.17999999993</v>
      </c>
      <c r="D7" s="208">
        <f t="shared" si="2"/>
        <v>2030455.25</v>
      </c>
      <c r="E7" s="208">
        <f>SUM(E5:E6)</f>
        <v>787852.05</v>
      </c>
      <c r="F7" s="208">
        <f>SUM(F5:F6)</f>
        <v>2818307.3000000003</v>
      </c>
      <c r="G7" s="208">
        <f>SUM(G5:G6)</f>
        <v>1116018.6000000001</v>
      </c>
      <c r="H7" s="208">
        <f>SUM(H5:H6)</f>
        <v>864168.46</v>
      </c>
      <c r="I7" s="208">
        <f>SUM(G7:H7)</f>
        <v>1980187.06</v>
      </c>
      <c r="J7" s="208">
        <f>SUM(J5:J6)</f>
        <v>801816.2</v>
      </c>
      <c r="K7" s="208">
        <f>SUM(K5:K6)</f>
        <v>2782003.26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15.75" x14ac:dyDescent="0.25">
      <c r="A8" s="209" t="s">
        <v>87</v>
      </c>
      <c r="B8" s="203"/>
      <c r="C8" s="203"/>
      <c r="D8" s="203"/>
      <c r="E8" s="203"/>
      <c r="F8" s="203"/>
      <c r="G8" s="203"/>
      <c r="H8" s="203"/>
      <c r="I8" s="248"/>
      <c r="J8" s="203"/>
      <c r="K8" s="203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15.75" x14ac:dyDescent="0.25">
      <c r="A9" s="210" t="s">
        <v>79</v>
      </c>
      <c r="B9" s="211">
        <v>0.24</v>
      </c>
      <c r="C9" s="211">
        <v>0.51</v>
      </c>
      <c r="D9" s="211">
        <v>0.37</v>
      </c>
      <c r="E9" s="211">
        <v>0.36</v>
      </c>
      <c r="F9" s="211">
        <v>0.37</v>
      </c>
      <c r="G9" s="211">
        <v>0.23</v>
      </c>
      <c r="H9" s="211">
        <v>0.14000000000000001</v>
      </c>
      <c r="I9" s="211">
        <v>0.19</v>
      </c>
      <c r="J9" s="211">
        <v>0.26</v>
      </c>
      <c r="K9" s="211">
        <v>0.21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15.75" x14ac:dyDescent="0.25">
      <c r="A10" s="210" t="s">
        <v>88</v>
      </c>
      <c r="B10" s="212">
        <v>0.24</v>
      </c>
      <c r="C10" s="212">
        <v>0.55000000000000004</v>
      </c>
      <c r="D10" s="212">
        <v>0.4</v>
      </c>
      <c r="E10" s="212">
        <v>0.41</v>
      </c>
      <c r="F10" s="212">
        <v>0.4</v>
      </c>
      <c r="G10" s="212">
        <v>0.35</v>
      </c>
      <c r="H10" s="212">
        <v>0.25</v>
      </c>
      <c r="I10" s="212">
        <v>0.3</v>
      </c>
      <c r="J10" s="212">
        <v>0.51</v>
      </c>
      <c r="K10" s="212">
        <v>0.37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15.75" x14ac:dyDescent="0.25">
      <c r="A11" s="210" t="s">
        <v>89</v>
      </c>
      <c r="B11" s="213">
        <v>0.32</v>
      </c>
      <c r="C11" s="213">
        <v>0.68</v>
      </c>
      <c r="D11" s="213">
        <v>0.5</v>
      </c>
      <c r="E11" s="213">
        <v>0.5</v>
      </c>
      <c r="F11" s="213">
        <v>0.5</v>
      </c>
      <c r="G11" s="213">
        <v>0.44</v>
      </c>
      <c r="H11" s="213">
        <v>0.24</v>
      </c>
      <c r="I11" s="213">
        <v>0.34</v>
      </c>
      <c r="J11" s="213">
        <v>0.63</v>
      </c>
      <c r="K11" s="213">
        <v>0.44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15.75" x14ac:dyDescent="0.25">
      <c r="A12" s="210" t="s">
        <v>82</v>
      </c>
      <c r="B12" s="214">
        <v>4.43</v>
      </c>
      <c r="C12" s="214">
        <v>9.31</v>
      </c>
      <c r="D12" s="214">
        <v>6.87</v>
      </c>
      <c r="E12" s="214">
        <v>6.4</v>
      </c>
      <c r="F12" s="214">
        <v>6.72</v>
      </c>
      <c r="G12" s="214">
        <v>31.97</v>
      </c>
      <c r="H12" s="214">
        <v>4.42</v>
      </c>
      <c r="I12" s="214">
        <v>18.190000000000001</v>
      </c>
      <c r="J12" s="214">
        <v>17.760000000000002</v>
      </c>
      <c r="K12" s="214">
        <v>17.05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15.75" x14ac:dyDescent="0.25">
      <c r="A13" s="210" t="s">
        <v>90</v>
      </c>
      <c r="B13" s="214">
        <v>0.56999999999999995</v>
      </c>
      <c r="C13" s="214">
        <v>1.19</v>
      </c>
      <c r="D13" s="214">
        <v>0.88</v>
      </c>
      <c r="E13" s="214">
        <v>0.9</v>
      </c>
      <c r="F13" s="214">
        <v>0.88</v>
      </c>
      <c r="G13" s="214">
        <v>0.73</v>
      </c>
      <c r="H13" s="214">
        <v>0.55000000000000004</v>
      </c>
      <c r="I13" s="214">
        <v>0.64</v>
      </c>
      <c r="J13" s="214">
        <v>1.07</v>
      </c>
      <c r="K13" s="214">
        <v>0.78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s="74" customFormat="1" ht="15.75" x14ac:dyDescent="0.25">
      <c r="A14" s="210" t="s">
        <v>83</v>
      </c>
      <c r="B14" s="214">
        <v>0.2</v>
      </c>
      <c r="C14" s="214">
        <v>0.61</v>
      </c>
      <c r="D14" s="214">
        <v>0.41</v>
      </c>
      <c r="E14" s="214">
        <v>0.46</v>
      </c>
      <c r="F14" s="214">
        <v>0.42</v>
      </c>
      <c r="G14" s="214">
        <v>0.44</v>
      </c>
      <c r="H14" s="214">
        <v>0.34</v>
      </c>
      <c r="I14" s="214">
        <v>0.39</v>
      </c>
      <c r="J14" s="214">
        <v>0.67</v>
      </c>
      <c r="K14" s="214">
        <v>0.49</v>
      </c>
    </row>
    <row r="15" spans="1:25" ht="15.75" x14ac:dyDescent="0.25">
      <c r="A15" s="215" t="s">
        <v>76</v>
      </c>
      <c r="B15" s="217">
        <f t="shared" ref="B15:H15" si="3">SUM(B9:B14)</f>
        <v>6</v>
      </c>
      <c r="C15" s="217">
        <f t="shared" si="3"/>
        <v>12.85</v>
      </c>
      <c r="D15" s="216">
        <f t="shared" si="3"/>
        <v>9.4300000000000015</v>
      </c>
      <c r="E15" s="216">
        <f t="shared" si="3"/>
        <v>9.0300000000000011</v>
      </c>
      <c r="F15" s="216">
        <f t="shared" si="3"/>
        <v>9.2900000000000009</v>
      </c>
      <c r="G15" s="216">
        <f t="shared" si="3"/>
        <v>34.159999999999997</v>
      </c>
      <c r="H15" s="216">
        <f t="shared" si="3"/>
        <v>5.9399999999999995</v>
      </c>
      <c r="I15" s="216">
        <f>SUM(G15:H15)</f>
        <v>40.099999999999994</v>
      </c>
      <c r="J15" s="216">
        <f>SUM(J9:J14)</f>
        <v>20.900000000000002</v>
      </c>
      <c r="K15" s="216">
        <f>SUM(K9:K14)</f>
        <v>19.34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ht="15" customHeight="1" x14ac:dyDescent="0.25">
      <c r="A16" s="284" t="s">
        <v>91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x14ac:dyDescent="0.25">
      <c r="A17" s="285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x14ac:dyDescent="0.25">
      <c r="A18" s="285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x14ac:dyDescent="0.25">
      <c r="A19" s="285"/>
    </row>
    <row r="20" spans="1:25" x14ac:dyDescent="0.25">
      <c r="A20" s="285"/>
    </row>
    <row r="21" spans="1:25" x14ac:dyDescent="0.25">
      <c r="A21" s="285"/>
    </row>
    <row r="22" spans="1:25" x14ac:dyDescent="0.25">
      <c r="A22" s="285"/>
    </row>
    <row r="23" spans="1:25" x14ac:dyDescent="0.25">
      <c r="A23" s="285"/>
    </row>
    <row r="33" spans="14:14" x14ac:dyDescent="0.25">
      <c r="N33" s="74" t="s">
        <v>98</v>
      </c>
    </row>
  </sheetData>
  <protectedRanges>
    <protectedRange sqref="A1:A15 B1:F1 B3:K3" name="Диапазон2"/>
    <protectedRange sqref="B8:F15 J8:J14" name="Диапазон2_2"/>
    <protectedRange sqref="B5:F7 J5:K5 J6 K6:K15" name="Диапазон2_1_1"/>
    <protectedRange sqref="B4:K4" name="Диапазон2_1"/>
    <protectedRange sqref="G8:H15" name="Диапазон2_2_2"/>
    <protectedRange sqref="G5:I7 I8:I15 J7 J15" name="Диапазон2_1_1_2"/>
  </protectedRanges>
  <mergeCells count="4">
    <mergeCell ref="A16:A23"/>
    <mergeCell ref="A2:A3"/>
    <mergeCell ref="B2:F2"/>
    <mergeCell ref="G2:K2"/>
  </mergeCells>
  <pageMargins left="0.25" right="0.25" top="0.75" bottom="0.75" header="0.3" footer="0.3"/>
  <pageSetup paperSize="9" scale="4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"/>
  <sheetViews>
    <sheetView tabSelected="1" zoomScale="85" zoomScaleNormal="85" workbookViewId="0">
      <pane xSplit="1" topLeftCell="B1" activePane="topRight" state="frozen"/>
      <selection activeCell="DK3" sqref="DK3"/>
      <selection pane="topRight" activeCell="L29" sqref="L29"/>
    </sheetView>
  </sheetViews>
  <sheetFormatPr defaultColWidth="8.85546875" defaultRowHeight="15" x14ac:dyDescent="0.25"/>
  <cols>
    <col min="1" max="1" width="45.85546875" style="74" customWidth="1"/>
    <col min="2" max="2" width="9.85546875" style="74" customWidth="1"/>
    <col min="3" max="5" width="8.85546875" style="74"/>
    <col min="6" max="6" width="10.140625" style="74" customWidth="1"/>
    <col min="7" max="9" width="8.85546875" style="74"/>
    <col min="10" max="10" width="11.7109375" style="74" customWidth="1"/>
    <col min="11" max="12" width="8.85546875" style="74"/>
    <col min="13" max="13" width="8.85546875" style="74" customWidth="1"/>
    <col min="14" max="14" width="9.85546875" style="74" customWidth="1"/>
    <col min="15" max="17" width="7.7109375" style="74" customWidth="1"/>
    <col min="18" max="19" width="11.140625" style="74" customWidth="1"/>
    <col min="20" max="20" width="10.7109375" style="74" customWidth="1"/>
    <col min="21" max="21" width="7.7109375" style="74" customWidth="1"/>
    <col min="22" max="22" width="10.140625" style="74" customWidth="1"/>
    <col min="23" max="23" width="9" style="74" customWidth="1"/>
    <col min="24" max="24" width="10.7109375" style="74" customWidth="1"/>
    <col min="25" max="25" width="7.7109375" style="74" customWidth="1"/>
    <col min="26" max="26" width="11.42578125" style="74" bestFit="1" customWidth="1"/>
    <col min="27" max="29" width="8.85546875" style="74"/>
    <col min="30" max="30" width="11.28515625" style="74" customWidth="1"/>
    <col min="31" max="37" width="8.85546875" style="74"/>
    <col min="38" max="38" width="9.42578125" style="74" customWidth="1"/>
    <col min="39" max="65" width="8.85546875" style="74"/>
    <col min="66" max="66" width="10.7109375" style="74" bestFit="1" customWidth="1"/>
    <col min="67" max="73" width="8.85546875" style="74"/>
    <col min="74" max="74" width="11.85546875" style="74" bestFit="1" customWidth="1"/>
    <col min="75" max="81" width="8.85546875" style="74"/>
    <col min="82" max="82" width="11.85546875" style="74" bestFit="1" customWidth="1"/>
    <col min="83" max="85" width="8.85546875" style="74"/>
    <col min="86" max="86" width="10.85546875" style="74" customWidth="1"/>
    <col min="87" max="89" width="8.85546875" style="74"/>
    <col min="90" max="90" width="10.140625" style="74" customWidth="1"/>
    <col min="91" max="93" width="8.85546875" style="74"/>
    <col min="94" max="94" width="9.7109375" style="74" customWidth="1"/>
    <col min="95" max="101" width="8.85546875" style="74"/>
    <col min="102" max="102" width="10.7109375" style="74" customWidth="1"/>
    <col min="103" max="105" width="8.85546875" style="74"/>
    <col min="106" max="106" width="11" style="74" customWidth="1"/>
    <col min="107" max="107" width="8.85546875" style="74"/>
    <col min="108" max="108" width="10.7109375" style="74" customWidth="1"/>
    <col min="109" max="109" width="8.85546875" style="74"/>
    <col min="110" max="110" width="12" style="74" customWidth="1"/>
    <col min="111" max="111" width="8.85546875" style="74"/>
    <col min="112" max="112" width="10.28515625" style="74" customWidth="1"/>
    <col min="113" max="113" width="8.85546875" style="74"/>
    <col min="114" max="114" width="11.7109375" style="74" customWidth="1"/>
    <col min="115" max="121" width="8.85546875" style="74"/>
    <col min="122" max="122" width="10.28515625" style="74" customWidth="1"/>
    <col min="123" max="16384" width="8.85546875" style="74"/>
  </cols>
  <sheetData>
    <row r="1" spans="1:141" ht="18.75" x14ac:dyDescent="0.3">
      <c r="A1" s="292"/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2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57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</row>
    <row r="2" spans="1:141" ht="18.75" x14ac:dyDescent="0.3">
      <c r="A2" s="269"/>
      <c r="B2" s="292">
        <v>2025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1">
        <v>2026</v>
      </c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</row>
    <row r="3" spans="1:141" ht="18.75" x14ac:dyDescent="0.3">
      <c r="A3" s="269"/>
      <c r="B3" s="294" t="s">
        <v>3</v>
      </c>
      <c r="C3" s="273"/>
      <c r="D3" s="273"/>
      <c r="E3" s="295"/>
      <c r="F3" s="294" t="s">
        <v>7</v>
      </c>
      <c r="G3" s="273"/>
      <c r="H3" s="273"/>
      <c r="I3" s="295"/>
      <c r="J3" s="219"/>
      <c r="K3" s="273" t="s">
        <v>92</v>
      </c>
      <c r="L3" s="296"/>
      <c r="M3" s="218"/>
      <c r="N3" s="270" t="s">
        <v>12</v>
      </c>
      <c r="O3" s="271"/>
      <c r="P3" s="271"/>
      <c r="Q3" s="274"/>
      <c r="R3" s="270" t="s">
        <v>13</v>
      </c>
      <c r="S3" s="271"/>
      <c r="T3" s="271"/>
      <c r="U3" s="274"/>
      <c r="V3" s="270" t="s">
        <v>3</v>
      </c>
      <c r="W3" s="271"/>
      <c r="X3" s="271"/>
      <c r="Y3" s="274"/>
      <c r="Z3" s="294" t="s">
        <v>7</v>
      </c>
      <c r="AA3" s="273"/>
      <c r="AB3" s="273"/>
      <c r="AC3" s="295"/>
      <c r="AD3" s="270" t="s">
        <v>92</v>
      </c>
      <c r="AE3" s="271" t="s">
        <v>92</v>
      </c>
      <c r="AF3" s="271"/>
      <c r="AG3" s="274"/>
      <c r="AH3" s="270" t="s">
        <v>12</v>
      </c>
      <c r="AI3" s="271"/>
      <c r="AJ3" s="271"/>
      <c r="AK3" s="274"/>
      <c r="AL3" s="270" t="s">
        <v>13</v>
      </c>
      <c r="AM3" s="271"/>
      <c r="AN3" s="271"/>
      <c r="AO3" s="274"/>
    </row>
    <row r="4" spans="1:141" ht="30" x14ac:dyDescent="0.25">
      <c r="A4" s="269"/>
      <c r="B4" s="126" t="s">
        <v>93</v>
      </c>
      <c r="C4" s="126" t="s">
        <v>94</v>
      </c>
      <c r="D4" s="126" t="s">
        <v>95</v>
      </c>
      <c r="E4" s="126" t="s">
        <v>96</v>
      </c>
      <c r="F4" s="126" t="s">
        <v>93</v>
      </c>
      <c r="G4" s="126" t="s">
        <v>94</v>
      </c>
      <c r="H4" s="126" t="s">
        <v>95</v>
      </c>
      <c r="I4" s="126" t="s">
        <v>96</v>
      </c>
      <c r="J4" s="126" t="s">
        <v>93</v>
      </c>
      <c r="K4" s="126" t="s">
        <v>94</v>
      </c>
      <c r="L4" s="126" t="s">
        <v>95</v>
      </c>
      <c r="M4" s="126" t="s">
        <v>96</v>
      </c>
      <c r="N4" s="126" t="s">
        <v>93</v>
      </c>
      <c r="O4" s="126" t="s">
        <v>94</v>
      </c>
      <c r="P4" s="126" t="s">
        <v>95</v>
      </c>
      <c r="Q4" s="126" t="s">
        <v>96</v>
      </c>
      <c r="R4" s="126" t="s">
        <v>93</v>
      </c>
      <c r="S4" s="126" t="s">
        <v>94</v>
      </c>
      <c r="T4" s="126" t="s">
        <v>95</v>
      </c>
      <c r="U4" s="126" t="s">
        <v>96</v>
      </c>
      <c r="V4" s="126" t="s">
        <v>93</v>
      </c>
      <c r="W4" s="126" t="s">
        <v>94</v>
      </c>
      <c r="X4" s="126" t="s">
        <v>95</v>
      </c>
      <c r="Y4" s="126" t="s">
        <v>96</v>
      </c>
      <c r="Z4" s="126" t="s">
        <v>93</v>
      </c>
      <c r="AA4" s="126" t="s">
        <v>94</v>
      </c>
      <c r="AB4" s="126" t="s">
        <v>95</v>
      </c>
      <c r="AC4" s="126" t="s">
        <v>96</v>
      </c>
      <c r="AD4" s="126" t="s">
        <v>93</v>
      </c>
      <c r="AE4" s="126" t="s">
        <v>94</v>
      </c>
      <c r="AF4" s="126" t="s">
        <v>95</v>
      </c>
      <c r="AG4" s="126" t="s">
        <v>96</v>
      </c>
      <c r="AH4" s="126" t="s">
        <v>93</v>
      </c>
      <c r="AI4" s="126" t="s">
        <v>94</v>
      </c>
      <c r="AJ4" s="126" t="s">
        <v>95</v>
      </c>
      <c r="AK4" s="126" t="s">
        <v>96</v>
      </c>
      <c r="AL4" s="126" t="s">
        <v>93</v>
      </c>
      <c r="AM4" s="126" t="s">
        <v>94</v>
      </c>
      <c r="AN4" s="126" t="s">
        <v>95</v>
      </c>
      <c r="AO4" s="126" t="s">
        <v>96</v>
      </c>
    </row>
    <row r="5" spans="1:141" ht="19.5" thickBot="1" x14ac:dyDescent="0.3">
      <c r="A5" s="128" t="s">
        <v>17</v>
      </c>
      <c r="F5" s="129"/>
      <c r="G5" s="129"/>
      <c r="H5" s="129"/>
      <c r="I5" s="129"/>
      <c r="V5" s="130"/>
      <c r="W5" s="130"/>
      <c r="X5" s="130"/>
      <c r="Y5" s="130"/>
      <c r="Z5" s="129"/>
      <c r="AA5" s="129"/>
      <c r="AB5" s="129"/>
      <c r="AC5" s="129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</row>
    <row r="6" spans="1:141" ht="15.75" x14ac:dyDescent="0.25">
      <c r="A6" s="131" t="s">
        <v>18</v>
      </c>
      <c r="B6" s="220">
        <v>200914</v>
      </c>
      <c r="C6" s="220">
        <v>4</v>
      </c>
      <c r="D6" s="220">
        <v>0</v>
      </c>
      <c r="E6" s="221">
        <v>0</v>
      </c>
      <c r="F6" s="220">
        <v>89164</v>
      </c>
      <c r="G6" s="220">
        <v>0</v>
      </c>
      <c r="H6" s="220">
        <v>0</v>
      </c>
      <c r="I6" s="221">
        <v>0</v>
      </c>
      <c r="J6" s="220">
        <v>290078</v>
      </c>
      <c r="K6" s="220">
        <v>4</v>
      </c>
      <c r="L6" s="220">
        <v>0</v>
      </c>
      <c r="M6" s="221">
        <v>0</v>
      </c>
      <c r="N6" s="220">
        <v>20645</v>
      </c>
      <c r="O6" s="220">
        <v>0</v>
      </c>
      <c r="P6" s="220">
        <v>0</v>
      </c>
      <c r="Q6" s="221">
        <v>0</v>
      </c>
      <c r="R6" s="220">
        <v>310723</v>
      </c>
      <c r="S6" s="220">
        <v>4</v>
      </c>
      <c r="T6" s="220">
        <v>0</v>
      </c>
      <c r="U6" s="221">
        <v>0</v>
      </c>
      <c r="V6" s="220">
        <v>196783</v>
      </c>
      <c r="W6" s="220">
        <v>5</v>
      </c>
      <c r="X6" s="220">
        <v>0</v>
      </c>
      <c r="Y6" s="221">
        <v>0</v>
      </c>
      <c r="Z6" s="249">
        <v>60828</v>
      </c>
      <c r="AA6" s="220">
        <v>1</v>
      </c>
      <c r="AB6" s="221">
        <v>0</v>
      </c>
      <c r="AC6" s="221">
        <v>0</v>
      </c>
      <c r="AD6" s="220">
        <v>257611</v>
      </c>
      <c r="AE6" s="220">
        <v>6</v>
      </c>
      <c r="AF6" s="220">
        <v>0</v>
      </c>
      <c r="AG6" s="221">
        <v>0</v>
      </c>
      <c r="AH6" s="220">
        <v>19965</v>
      </c>
      <c r="AI6" s="220">
        <v>0</v>
      </c>
      <c r="AJ6" s="220">
        <v>0</v>
      </c>
      <c r="AK6" s="221">
        <v>0</v>
      </c>
      <c r="AL6" s="220">
        <f>AH6+AD6</f>
        <v>277576</v>
      </c>
      <c r="AM6" s="220">
        <f>AE6+AI6</f>
        <v>6</v>
      </c>
      <c r="AN6" s="220">
        <f>AJ6+AF6</f>
        <v>0</v>
      </c>
      <c r="AO6" s="221">
        <f>AK6+AG6</f>
        <v>0</v>
      </c>
    </row>
    <row r="7" spans="1:141" ht="15.75" x14ac:dyDescent="0.25">
      <c r="A7" s="134" t="s">
        <v>19</v>
      </c>
      <c r="B7" s="222">
        <v>332222</v>
      </c>
      <c r="C7" s="222">
        <v>15</v>
      </c>
      <c r="D7" s="222">
        <v>0</v>
      </c>
      <c r="E7" s="223">
        <v>0</v>
      </c>
      <c r="F7" s="222">
        <v>200999</v>
      </c>
      <c r="G7" s="222">
        <v>9</v>
      </c>
      <c r="H7" s="222">
        <v>0</v>
      </c>
      <c r="I7" s="223">
        <v>0</v>
      </c>
      <c r="J7" s="222">
        <v>533221</v>
      </c>
      <c r="K7" s="222">
        <v>24</v>
      </c>
      <c r="L7" s="222">
        <v>0</v>
      </c>
      <c r="M7" s="223">
        <v>0</v>
      </c>
      <c r="N7" s="222">
        <v>121086</v>
      </c>
      <c r="O7" s="222">
        <v>0</v>
      </c>
      <c r="P7" s="222">
        <v>0</v>
      </c>
      <c r="Q7" s="223">
        <v>0</v>
      </c>
      <c r="R7" s="222">
        <v>654307</v>
      </c>
      <c r="S7" s="222">
        <v>24</v>
      </c>
      <c r="T7" s="222">
        <v>0</v>
      </c>
      <c r="U7" s="223">
        <v>0</v>
      </c>
      <c r="V7" s="222">
        <v>349192</v>
      </c>
      <c r="W7" s="222">
        <v>25</v>
      </c>
      <c r="X7" s="222">
        <v>0</v>
      </c>
      <c r="Y7" s="223">
        <v>0</v>
      </c>
      <c r="Z7" s="250">
        <v>135379</v>
      </c>
      <c r="AA7" s="222">
        <v>4</v>
      </c>
      <c r="AB7" s="223">
        <v>0</v>
      </c>
      <c r="AC7" s="223">
        <v>0</v>
      </c>
      <c r="AD7" s="222">
        <v>484571</v>
      </c>
      <c r="AE7" s="222">
        <v>29</v>
      </c>
      <c r="AF7" s="222">
        <v>0</v>
      </c>
      <c r="AG7" s="223">
        <v>0</v>
      </c>
      <c r="AH7" s="222">
        <v>105130</v>
      </c>
      <c r="AI7" s="222">
        <v>0</v>
      </c>
      <c r="AJ7" s="222">
        <v>0</v>
      </c>
      <c r="AK7" s="223">
        <v>0</v>
      </c>
      <c r="AL7" s="222">
        <f t="shared" ref="AL7:AL21" si="0">AH7+AD7</f>
        <v>589701</v>
      </c>
      <c r="AM7" s="222">
        <f t="shared" ref="AM7:AM22" si="1">AE7+AI7</f>
        <v>29</v>
      </c>
      <c r="AN7" s="222">
        <f t="shared" ref="AN7:AN22" si="2">AJ7+AF7</f>
        <v>0</v>
      </c>
      <c r="AO7" s="223">
        <f t="shared" ref="AO7:AO22" si="3">AK7+AG7</f>
        <v>0</v>
      </c>
    </row>
    <row r="8" spans="1:141" ht="15.75" x14ac:dyDescent="0.25">
      <c r="A8" s="134" t="s">
        <v>20</v>
      </c>
      <c r="B8" s="222">
        <v>178449</v>
      </c>
      <c r="C8" s="222">
        <v>22</v>
      </c>
      <c r="D8" s="222">
        <v>0</v>
      </c>
      <c r="E8" s="223">
        <v>0</v>
      </c>
      <c r="F8" s="222">
        <v>93285</v>
      </c>
      <c r="G8" s="222">
        <v>0</v>
      </c>
      <c r="H8" s="222">
        <v>0</v>
      </c>
      <c r="I8" s="223">
        <v>0</v>
      </c>
      <c r="J8" s="222">
        <v>271734</v>
      </c>
      <c r="K8" s="222">
        <v>22</v>
      </c>
      <c r="L8" s="222">
        <v>0</v>
      </c>
      <c r="M8" s="223">
        <v>0</v>
      </c>
      <c r="N8" s="222">
        <v>40317</v>
      </c>
      <c r="O8" s="222">
        <v>0</v>
      </c>
      <c r="P8" s="222">
        <v>0</v>
      </c>
      <c r="Q8" s="223">
        <v>0</v>
      </c>
      <c r="R8" s="222">
        <v>312051</v>
      </c>
      <c r="S8" s="222">
        <v>22</v>
      </c>
      <c r="T8" s="222">
        <v>0</v>
      </c>
      <c r="U8" s="223">
        <v>0</v>
      </c>
      <c r="V8" s="222">
        <v>193072</v>
      </c>
      <c r="W8" s="222">
        <v>22</v>
      </c>
      <c r="X8" s="222">
        <v>0</v>
      </c>
      <c r="Y8" s="223">
        <v>0</v>
      </c>
      <c r="Z8" s="250">
        <v>78778</v>
      </c>
      <c r="AA8" s="222">
        <v>0</v>
      </c>
      <c r="AB8" s="223">
        <v>0</v>
      </c>
      <c r="AC8" s="223">
        <v>0</v>
      </c>
      <c r="AD8" s="222">
        <v>271850</v>
      </c>
      <c r="AE8" s="222">
        <v>22</v>
      </c>
      <c r="AF8" s="222">
        <v>0</v>
      </c>
      <c r="AG8" s="223">
        <v>0</v>
      </c>
      <c r="AH8" s="222">
        <v>42612</v>
      </c>
      <c r="AI8" s="222">
        <v>2</v>
      </c>
      <c r="AJ8" s="222">
        <v>0</v>
      </c>
      <c r="AK8" s="223">
        <v>0</v>
      </c>
      <c r="AL8" s="222">
        <f t="shared" si="0"/>
        <v>314462</v>
      </c>
      <c r="AM8" s="222">
        <f t="shared" si="1"/>
        <v>24</v>
      </c>
      <c r="AN8" s="222">
        <f t="shared" si="2"/>
        <v>0</v>
      </c>
      <c r="AO8" s="223">
        <f t="shared" si="3"/>
        <v>0</v>
      </c>
    </row>
    <row r="9" spans="1:141" ht="15.75" x14ac:dyDescent="0.25">
      <c r="A9" s="134" t="s">
        <v>21</v>
      </c>
      <c r="B9" s="222">
        <v>212788</v>
      </c>
      <c r="C9" s="222">
        <v>46</v>
      </c>
      <c r="D9" s="222">
        <v>0</v>
      </c>
      <c r="E9" s="223">
        <v>0</v>
      </c>
      <c r="F9" s="222">
        <v>141649</v>
      </c>
      <c r="G9" s="222">
        <v>0</v>
      </c>
      <c r="H9" s="222">
        <v>0</v>
      </c>
      <c r="I9" s="223">
        <v>0</v>
      </c>
      <c r="J9" s="222">
        <v>354437</v>
      </c>
      <c r="K9" s="222">
        <v>46</v>
      </c>
      <c r="L9" s="222">
        <v>0</v>
      </c>
      <c r="M9" s="223">
        <v>0</v>
      </c>
      <c r="N9" s="222">
        <v>76184</v>
      </c>
      <c r="O9" s="222">
        <v>0</v>
      </c>
      <c r="P9" s="222">
        <v>0</v>
      </c>
      <c r="Q9" s="223">
        <v>0</v>
      </c>
      <c r="R9" s="222">
        <v>430621</v>
      </c>
      <c r="S9" s="222">
        <v>46</v>
      </c>
      <c r="T9" s="222">
        <v>0</v>
      </c>
      <c r="U9" s="223">
        <v>0</v>
      </c>
      <c r="V9" s="222">
        <v>221659</v>
      </c>
      <c r="W9" s="222">
        <v>61</v>
      </c>
      <c r="X9" s="222">
        <v>0</v>
      </c>
      <c r="Y9" s="223">
        <v>0</v>
      </c>
      <c r="Z9" s="250">
        <v>97612</v>
      </c>
      <c r="AA9" s="222">
        <v>0</v>
      </c>
      <c r="AB9" s="223">
        <v>0</v>
      </c>
      <c r="AC9" s="223">
        <v>0</v>
      </c>
      <c r="AD9" s="222">
        <v>319271</v>
      </c>
      <c r="AE9" s="222">
        <v>61</v>
      </c>
      <c r="AF9" s="222">
        <v>0</v>
      </c>
      <c r="AG9" s="223">
        <v>0</v>
      </c>
      <c r="AH9" s="222">
        <v>72664</v>
      </c>
      <c r="AI9" s="222">
        <v>0</v>
      </c>
      <c r="AJ9" s="222">
        <v>0</v>
      </c>
      <c r="AK9" s="223">
        <v>0</v>
      </c>
      <c r="AL9" s="222">
        <f t="shared" si="0"/>
        <v>391935</v>
      </c>
      <c r="AM9" s="222">
        <f t="shared" si="1"/>
        <v>61</v>
      </c>
      <c r="AN9" s="222">
        <f t="shared" si="2"/>
        <v>0</v>
      </c>
      <c r="AO9" s="223">
        <f t="shared" si="3"/>
        <v>0</v>
      </c>
    </row>
    <row r="10" spans="1:141" ht="15.75" x14ac:dyDescent="0.25">
      <c r="A10" s="134" t="s">
        <v>22</v>
      </c>
      <c r="B10" s="222">
        <v>305266</v>
      </c>
      <c r="C10" s="222">
        <v>41</v>
      </c>
      <c r="D10" s="222">
        <v>0</v>
      </c>
      <c r="E10" s="223">
        <v>0</v>
      </c>
      <c r="F10" s="222">
        <v>148473</v>
      </c>
      <c r="G10" s="222">
        <v>0</v>
      </c>
      <c r="H10" s="222">
        <v>0</v>
      </c>
      <c r="I10" s="223">
        <v>0</v>
      </c>
      <c r="J10" s="222">
        <v>453739</v>
      </c>
      <c r="K10" s="222">
        <v>41</v>
      </c>
      <c r="L10" s="222">
        <v>0</v>
      </c>
      <c r="M10" s="223">
        <v>0</v>
      </c>
      <c r="N10" s="222">
        <v>78670</v>
      </c>
      <c r="O10" s="222">
        <v>0</v>
      </c>
      <c r="P10" s="222">
        <v>0</v>
      </c>
      <c r="Q10" s="223">
        <v>0</v>
      </c>
      <c r="R10" s="222">
        <v>532409</v>
      </c>
      <c r="S10" s="222">
        <v>41</v>
      </c>
      <c r="T10" s="222">
        <v>0</v>
      </c>
      <c r="U10" s="223">
        <v>0</v>
      </c>
      <c r="V10" s="222">
        <v>282153</v>
      </c>
      <c r="W10" s="222">
        <v>0</v>
      </c>
      <c r="X10" s="222">
        <v>0</v>
      </c>
      <c r="Y10" s="223">
        <v>0</v>
      </c>
      <c r="Z10" s="250">
        <v>121141</v>
      </c>
      <c r="AA10" s="222">
        <v>27</v>
      </c>
      <c r="AB10" s="223">
        <v>0</v>
      </c>
      <c r="AC10" s="223">
        <v>0</v>
      </c>
      <c r="AD10" s="222">
        <v>403294</v>
      </c>
      <c r="AE10" s="222">
        <v>27</v>
      </c>
      <c r="AF10" s="222">
        <v>0</v>
      </c>
      <c r="AG10" s="223">
        <v>0</v>
      </c>
      <c r="AH10" s="222">
        <v>87463</v>
      </c>
      <c r="AI10" s="222">
        <v>0</v>
      </c>
      <c r="AJ10" s="222">
        <v>0</v>
      </c>
      <c r="AK10" s="223">
        <v>0</v>
      </c>
      <c r="AL10" s="222">
        <f t="shared" si="0"/>
        <v>490757</v>
      </c>
      <c r="AM10" s="222">
        <f t="shared" si="1"/>
        <v>27</v>
      </c>
      <c r="AN10" s="222">
        <f t="shared" si="2"/>
        <v>0</v>
      </c>
      <c r="AO10" s="223">
        <f t="shared" si="3"/>
        <v>0</v>
      </c>
    </row>
    <row r="11" spans="1:141" ht="15.75" x14ac:dyDescent="0.25">
      <c r="A11" s="134" t="s">
        <v>23</v>
      </c>
      <c r="B11" s="222">
        <v>127587</v>
      </c>
      <c r="C11" s="222">
        <v>10</v>
      </c>
      <c r="D11" s="222">
        <v>0</v>
      </c>
      <c r="E11" s="223">
        <v>0</v>
      </c>
      <c r="F11" s="222">
        <v>84254</v>
      </c>
      <c r="G11" s="222">
        <v>11</v>
      </c>
      <c r="H11" s="222">
        <v>0</v>
      </c>
      <c r="I11" s="223">
        <v>0</v>
      </c>
      <c r="J11" s="222">
        <v>211841</v>
      </c>
      <c r="K11" s="222">
        <v>21</v>
      </c>
      <c r="L11" s="222">
        <v>0</v>
      </c>
      <c r="M11" s="223">
        <v>0</v>
      </c>
      <c r="N11" s="222">
        <v>32789</v>
      </c>
      <c r="O11" s="222">
        <v>0</v>
      </c>
      <c r="P11" s="222">
        <v>0</v>
      </c>
      <c r="Q11" s="223">
        <v>0</v>
      </c>
      <c r="R11" s="222">
        <v>244630</v>
      </c>
      <c r="S11" s="222">
        <v>21</v>
      </c>
      <c r="T11" s="222">
        <v>0</v>
      </c>
      <c r="U11" s="223">
        <v>0</v>
      </c>
      <c r="V11" s="222">
        <v>150036</v>
      </c>
      <c r="W11" s="222">
        <v>42</v>
      </c>
      <c r="X11" s="222">
        <v>0</v>
      </c>
      <c r="Y11" s="223">
        <v>0</v>
      </c>
      <c r="Z11" s="250">
        <v>77892</v>
      </c>
      <c r="AA11" s="222">
        <v>4</v>
      </c>
      <c r="AB11" s="223">
        <v>0</v>
      </c>
      <c r="AC11" s="223">
        <v>0</v>
      </c>
      <c r="AD11" s="222">
        <v>227928</v>
      </c>
      <c r="AE11" s="222">
        <v>46</v>
      </c>
      <c r="AF11" s="222">
        <v>0</v>
      </c>
      <c r="AG11" s="223">
        <v>0</v>
      </c>
      <c r="AH11" s="222">
        <v>41197</v>
      </c>
      <c r="AI11" s="222">
        <v>0</v>
      </c>
      <c r="AJ11" s="222">
        <v>0</v>
      </c>
      <c r="AK11" s="223">
        <v>0</v>
      </c>
      <c r="AL11" s="222">
        <f t="shared" si="0"/>
        <v>269125</v>
      </c>
      <c r="AM11" s="222">
        <f t="shared" si="1"/>
        <v>46</v>
      </c>
      <c r="AN11" s="222">
        <f t="shared" si="2"/>
        <v>0</v>
      </c>
      <c r="AO11" s="223">
        <f t="shared" si="3"/>
        <v>0</v>
      </c>
    </row>
    <row r="12" spans="1:141" ht="15.75" x14ac:dyDescent="0.25">
      <c r="A12" s="134" t="s">
        <v>24</v>
      </c>
      <c r="B12" s="222">
        <v>317773</v>
      </c>
      <c r="C12" s="222">
        <v>65</v>
      </c>
      <c r="D12" s="222">
        <v>0</v>
      </c>
      <c r="E12" s="223">
        <v>0</v>
      </c>
      <c r="F12" s="222">
        <v>184552</v>
      </c>
      <c r="G12" s="222">
        <v>50</v>
      </c>
      <c r="H12" s="222">
        <v>0</v>
      </c>
      <c r="I12" s="223">
        <v>0</v>
      </c>
      <c r="J12" s="222">
        <v>502325</v>
      </c>
      <c r="K12" s="222">
        <v>115</v>
      </c>
      <c r="L12" s="222">
        <v>0</v>
      </c>
      <c r="M12" s="223">
        <v>0</v>
      </c>
      <c r="N12" s="222">
        <v>88306</v>
      </c>
      <c r="O12" s="222">
        <v>0</v>
      </c>
      <c r="P12" s="222">
        <v>0</v>
      </c>
      <c r="Q12" s="223">
        <v>0</v>
      </c>
      <c r="R12" s="222">
        <v>590631</v>
      </c>
      <c r="S12" s="222">
        <v>115</v>
      </c>
      <c r="T12" s="222">
        <v>0</v>
      </c>
      <c r="U12" s="223">
        <v>0</v>
      </c>
      <c r="V12" s="222">
        <v>350679</v>
      </c>
      <c r="W12" s="222">
        <v>92</v>
      </c>
      <c r="X12" s="222">
        <v>0</v>
      </c>
      <c r="Y12" s="223">
        <v>0</v>
      </c>
      <c r="Z12" s="250">
        <v>180394</v>
      </c>
      <c r="AA12" s="222">
        <v>30</v>
      </c>
      <c r="AB12" s="223">
        <v>0</v>
      </c>
      <c r="AC12" s="223">
        <v>0</v>
      </c>
      <c r="AD12" s="222">
        <v>531073</v>
      </c>
      <c r="AE12" s="222">
        <v>122</v>
      </c>
      <c r="AF12" s="222">
        <v>0</v>
      </c>
      <c r="AG12" s="223">
        <v>0</v>
      </c>
      <c r="AH12" s="222">
        <v>94552</v>
      </c>
      <c r="AI12" s="222">
        <v>0</v>
      </c>
      <c r="AJ12" s="222">
        <v>0</v>
      </c>
      <c r="AK12" s="223">
        <v>0</v>
      </c>
      <c r="AL12" s="222">
        <f t="shared" si="0"/>
        <v>625625</v>
      </c>
      <c r="AM12" s="222">
        <f t="shared" si="1"/>
        <v>122</v>
      </c>
      <c r="AN12" s="222">
        <f t="shared" si="2"/>
        <v>0</v>
      </c>
      <c r="AO12" s="223">
        <f t="shared" si="3"/>
        <v>0</v>
      </c>
    </row>
    <row r="13" spans="1:141" ht="16.5" thickBot="1" x14ac:dyDescent="0.3">
      <c r="A13" s="137" t="s">
        <v>25</v>
      </c>
      <c r="B13" s="224">
        <v>595518</v>
      </c>
      <c r="C13" s="224">
        <v>88</v>
      </c>
      <c r="D13" s="224">
        <v>0</v>
      </c>
      <c r="E13" s="225">
        <v>0</v>
      </c>
      <c r="F13" s="224">
        <v>301330</v>
      </c>
      <c r="G13" s="224">
        <v>6</v>
      </c>
      <c r="H13" s="224">
        <v>0</v>
      </c>
      <c r="I13" s="225">
        <v>0</v>
      </c>
      <c r="J13" s="224">
        <v>896848</v>
      </c>
      <c r="K13" s="224">
        <v>94</v>
      </c>
      <c r="L13" s="224">
        <v>0</v>
      </c>
      <c r="M13" s="225">
        <v>0</v>
      </c>
      <c r="N13" s="224">
        <v>199261</v>
      </c>
      <c r="O13" s="224">
        <v>0</v>
      </c>
      <c r="P13" s="224">
        <v>0</v>
      </c>
      <c r="Q13" s="225">
        <v>0</v>
      </c>
      <c r="R13" s="224">
        <v>1096109</v>
      </c>
      <c r="S13" s="224">
        <v>94</v>
      </c>
      <c r="T13" s="224">
        <v>0</v>
      </c>
      <c r="U13" s="225">
        <v>0</v>
      </c>
      <c r="V13" s="224">
        <v>564240</v>
      </c>
      <c r="W13" s="224">
        <v>62</v>
      </c>
      <c r="X13" s="224">
        <v>0</v>
      </c>
      <c r="Y13" s="225">
        <v>0</v>
      </c>
      <c r="Z13" s="250">
        <v>226279</v>
      </c>
      <c r="AA13" s="224">
        <v>31</v>
      </c>
      <c r="AB13" s="225">
        <v>0</v>
      </c>
      <c r="AC13" s="225">
        <v>0</v>
      </c>
      <c r="AD13" s="224">
        <v>790519</v>
      </c>
      <c r="AE13" s="224">
        <v>93</v>
      </c>
      <c r="AF13" s="224">
        <v>0</v>
      </c>
      <c r="AG13" s="225">
        <v>0</v>
      </c>
      <c r="AH13" s="224">
        <v>138161</v>
      </c>
      <c r="AI13" s="224">
        <v>0</v>
      </c>
      <c r="AJ13" s="224">
        <v>0</v>
      </c>
      <c r="AK13" s="225">
        <v>0</v>
      </c>
      <c r="AL13" s="224">
        <f t="shared" si="0"/>
        <v>928680</v>
      </c>
      <c r="AM13" s="224">
        <f t="shared" si="1"/>
        <v>93</v>
      </c>
      <c r="AN13" s="224">
        <f t="shared" si="2"/>
        <v>0</v>
      </c>
      <c r="AO13" s="225">
        <f t="shared" si="3"/>
        <v>0</v>
      </c>
    </row>
    <row r="14" spans="1:141" ht="16.5" thickBot="1" x14ac:dyDescent="0.3">
      <c r="A14" s="140" t="s">
        <v>29</v>
      </c>
      <c r="B14" s="226">
        <f>SUM(B6:B13)</f>
        <v>2270517</v>
      </c>
      <c r="C14" s="226">
        <f t="shared" ref="C14:E14" si="4">SUM(C6:C13)</f>
        <v>291</v>
      </c>
      <c r="D14" s="226">
        <f t="shared" si="4"/>
        <v>0</v>
      </c>
      <c r="E14" s="226">
        <f t="shared" si="4"/>
        <v>0</v>
      </c>
      <c r="F14" s="226">
        <f t="shared" ref="F14:U14" si="5">SUM(F6:F13)</f>
        <v>1243706</v>
      </c>
      <c r="G14" s="226">
        <f t="shared" si="5"/>
        <v>76</v>
      </c>
      <c r="H14" s="226">
        <f t="shared" si="5"/>
        <v>0</v>
      </c>
      <c r="I14" s="226">
        <f t="shared" si="5"/>
        <v>0</v>
      </c>
      <c r="J14" s="226">
        <f t="shared" si="5"/>
        <v>3514223</v>
      </c>
      <c r="K14" s="226">
        <f t="shared" si="5"/>
        <v>367</v>
      </c>
      <c r="L14" s="226">
        <f t="shared" si="5"/>
        <v>0</v>
      </c>
      <c r="M14" s="226">
        <f t="shared" si="5"/>
        <v>0</v>
      </c>
      <c r="N14" s="226">
        <f t="shared" si="5"/>
        <v>657258</v>
      </c>
      <c r="O14" s="226">
        <f t="shared" si="5"/>
        <v>0</v>
      </c>
      <c r="P14" s="226">
        <f t="shared" si="5"/>
        <v>0</v>
      </c>
      <c r="Q14" s="226">
        <f t="shared" si="5"/>
        <v>0</v>
      </c>
      <c r="R14" s="226">
        <f t="shared" si="5"/>
        <v>4171481</v>
      </c>
      <c r="S14" s="226">
        <f t="shared" si="5"/>
        <v>367</v>
      </c>
      <c r="T14" s="226">
        <f t="shared" si="5"/>
        <v>0</v>
      </c>
      <c r="U14" s="226">
        <f t="shared" si="5"/>
        <v>0</v>
      </c>
      <c r="V14" s="226">
        <v>2307814</v>
      </c>
      <c r="W14" s="226">
        <v>309</v>
      </c>
      <c r="X14" s="226">
        <v>0</v>
      </c>
      <c r="Y14" s="226">
        <v>0</v>
      </c>
      <c r="Z14" s="226"/>
      <c r="AA14" s="226">
        <v>97</v>
      </c>
      <c r="AB14" s="226">
        <v>0</v>
      </c>
      <c r="AC14" s="226">
        <v>0</v>
      </c>
      <c r="AD14" s="226">
        <v>3286117</v>
      </c>
      <c r="AE14" s="226">
        <v>406</v>
      </c>
      <c r="AF14" s="226">
        <v>0</v>
      </c>
      <c r="AG14" s="226">
        <v>0</v>
      </c>
      <c r="AH14" s="226">
        <v>601744</v>
      </c>
      <c r="AI14" s="226">
        <v>2</v>
      </c>
      <c r="AJ14" s="226">
        <v>0</v>
      </c>
      <c r="AK14" s="226">
        <v>0</v>
      </c>
      <c r="AL14" s="226">
        <f>AH14+AD14</f>
        <v>3887861</v>
      </c>
      <c r="AM14" s="226">
        <f>AE14+AI14</f>
        <v>408</v>
      </c>
      <c r="AN14" s="226">
        <f t="shared" si="2"/>
        <v>0</v>
      </c>
      <c r="AO14" s="226">
        <f t="shared" si="3"/>
        <v>0</v>
      </c>
    </row>
    <row r="15" spans="1:141" ht="18.75" x14ac:dyDescent="0.25">
      <c r="A15" s="143" t="s">
        <v>30</v>
      </c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</row>
    <row r="16" spans="1:141" ht="15.75" x14ac:dyDescent="0.25">
      <c r="A16" s="131" t="s">
        <v>31</v>
      </c>
      <c r="B16" s="227">
        <v>198508</v>
      </c>
      <c r="C16" s="227">
        <v>2471</v>
      </c>
      <c r="D16" s="227">
        <v>0</v>
      </c>
      <c r="E16" s="228">
        <v>0</v>
      </c>
      <c r="F16" s="227">
        <v>118685</v>
      </c>
      <c r="G16" s="227">
        <v>0</v>
      </c>
      <c r="H16" s="227">
        <v>0</v>
      </c>
      <c r="I16" s="228">
        <v>0</v>
      </c>
      <c r="J16" s="227">
        <v>317193</v>
      </c>
      <c r="K16" s="227">
        <v>2471</v>
      </c>
      <c r="L16" s="227">
        <v>0</v>
      </c>
      <c r="M16" s="228">
        <v>0</v>
      </c>
      <c r="N16" s="227">
        <v>104655</v>
      </c>
      <c r="O16" s="227">
        <v>0</v>
      </c>
      <c r="P16" s="227">
        <v>0</v>
      </c>
      <c r="Q16" s="228">
        <v>0</v>
      </c>
      <c r="R16" s="227">
        <v>421848</v>
      </c>
      <c r="S16" s="227">
        <v>2471</v>
      </c>
      <c r="T16" s="227">
        <v>0</v>
      </c>
      <c r="U16" s="228">
        <v>0</v>
      </c>
      <c r="V16" s="227">
        <v>200406</v>
      </c>
      <c r="W16" s="227">
        <v>35</v>
      </c>
      <c r="X16" s="227">
        <v>0</v>
      </c>
      <c r="Y16" s="228">
        <v>0</v>
      </c>
      <c r="Z16" s="227">
        <v>120317</v>
      </c>
      <c r="AA16" s="227">
        <v>0</v>
      </c>
      <c r="AB16" s="228">
        <v>0</v>
      </c>
      <c r="AC16" s="228">
        <v>0</v>
      </c>
      <c r="AD16" s="227">
        <v>320723</v>
      </c>
      <c r="AE16" s="227">
        <v>35</v>
      </c>
      <c r="AF16" s="227">
        <v>0</v>
      </c>
      <c r="AG16" s="228">
        <v>0</v>
      </c>
      <c r="AH16" s="227">
        <v>90581</v>
      </c>
      <c r="AI16" s="227">
        <v>0</v>
      </c>
      <c r="AJ16" s="227">
        <v>0</v>
      </c>
      <c r="AK16" s="228">
        <v>0</v>
      </c>
      <c r="AL16" s="227">
        <f t="shared" si="0"/>
        <v>411304</v>
      </c>
      <c r="AM16" s="227">
        <f t="shared" si="1"/>
        <v>35</v>
      </c>
      <c r="AN16" s="227">
        <f t="shared" si="2"/>
        <v>0</v>
      </c>
      <c r="AO16" s="228">
        <f t="shared" si="3"/>
        <v>0</v>
      </c>
    </row>
    <row r="17" spans="1:48" ht="16.5" thickBot="1" x14ac:dyDescent="0.3">
      <c r="A17" s="134" t="s">
        <v>49</v>
      </c>
      <c r="B17" s="229">
        <v>0</v>
      </c>
      <c r="C17" s="229">
        <v>0</v>
      </c>
      <c r="D17" s="229">
        <v>2508.5740000000001</v>
      </c>
      <c r="E17" s="230">
        <v>2065.83</v>
      </c>
      <c r="F17" s="229">
        <v>0</v>
      </c>
      <c r="G17" s="229">
        <v>0</v>
      </c>
      <c r="H17" s="229">
        <v>994</v>
      </c>
      <c r="I17" s="230">
        <v>809</v>
      </c>
      <c r="J17" s="229">
        <v>0</v>
      </c>
      <c r="K17" s="229">
        <v>0</v>
      </c>
      <c r="L17" s="229">
        <v>3502</v>
      </c>
      <c r="M17" s="230">
        <v>2875</v>
      </c>
      <c r="N17" s="229">
        <v>0</v>
      </c>
      <c r="O17" s="229">
        <v>0</v>
      </c>
      <c r="P17" s="229">
        <v>0</v>
      </c>
      <c r="Q17" s="230">
        <v>0</v>
      </c>
      <c r="R17" s="229">
        <v>0</v>
      </c>
      <c r="S17" s="229">
        <v>0</v>
      </c>
      <c r="T17" s="229">
        <v>3502</v>
      </c>
      <c r="U17" s="230">
        <v>2875</v>
      </c>
      <c r="V17" s="229">
        <v>0</v>
      </c>
      <c r="W17" s="229">
        <v>0</v>
      </c>
      <c r="X17" s="229">
        <v>0</v>
      </c>
      <c r="Y17" s="230">
        <v>0</v>
      </c>
      <c r="Z17" s="229">
        <v>0</v>
      </c>
      <c r="AA17" s="229">
        <v>0</v>
      </c>
      <c r="AB17" s="230">
        <v>0</v>
      </c>
      <c r="AC17" s="230">
        <v>0</v>
      </c>
      <c r="AD17" s="229">
        <v>0</v>
      </c>
      <c r="AE17" s="229">
        <v>0</v>
      </c>
      <c r="AF17" s="229">
        <v>0</v>
      </c>
      <c r="AG17" s="230">
        <v>0</v>
      </c>
      <c r="AH17" s="229">
        <v>0</v>
      </c>
      <c r="AI17" s="229">
        <v>0</v>
      </c>
      <c r="AJ17" s="229">
        <v>0</v>
      </c>
      <c r="AK17" s="230">
        <v>0</v>
      </c>
      <c r="AL17" s="229">
        <f t="shared" si="0"/>
        <v>0</v>
      </c>
      <c r="AM17" s="229">
        <f t="shared" si="1"/>
        <v>0</v>
      </c>
      <c r="AN17" s="229">
        <f t="shared" si="2"/>
        <v>0</v>
      </c>
      <c r="AO17" s="230">
        <f t="shared" si="3"/>
        <v>0</v>
      </c>
    </row>
    <row r="18" spans="1:48" ht="16.5" thickBot="1" x14ac:dyDescent="0.3">
      <c r="A18" s="92" t="s">
        <v>35</v>
      </c>
      <c r="B18" s="231">
        <f>SUM(B16:B17)</f>
        <v>198508</v>
      </c>
      <c r="C18" s="231">
        <f t="shared" ref="C18:E18" si="6">SUM(C16:C17)</f>
        <v>2471</v>
      </c>
      <c r="D18" s="231">
        <f t="shared" si="6"/>
        <v>2508.5740000000001</v>
      </c>
      <c r="E18" s="231">
        <f t="shared" si="6"/>
        <v>2065.83</v>
      </c>
      <c r="F18" s="231">
        <f t="shared" ref="F18:U18" si="7">SUM(F16:F17)</f>
        <v>118685</v>
      </c>
      <c r="G18" s="231">
        <f t="shared" si="7"/>
        <v>0</v>
      </c>
      <c r="H18" s="231">
        <f t="shared" si="7"/>
        <v>994</v>
      </c>
      <c r="I18" s="231">
        <f t="shared" si="7"/>
        <v>809</v>
      </c>
      <c r="J18" s="231">
        <f t="shared" si="7"/>
        <v>317193</v>
      </c>
      <c r="K18" s="231">
        <f t="shared" si="7"/>
        <v>2471</v>
      </c>
      <c r="L18" s="231">
        <f t="shared" si="7"/>
        <v>3502</v>
      </c>
      <c r="M18" s="231">
        <f t="shared" si="7"/>
        <v>2875</v>
      </c>
      <c r="N18" s="231">
        <f t="shared" si="7"/>
        <v>104655</v>
      </c>
      <c r="O18" s="231">
        <f t="shared" si="7"/>
        <v>0</v>
      </c>
      <c r="P18" s="231">
        <f t="shared" si="7"/>
        <v>0</v>
      </c>
      <c r="Q18" s="231">
        <f t="shared" si="7"/>
        <v>0</v>
      </c>
      <c r="R18" s="231">
        <f t="shared" si="7"/>
        <v>421848</v>
      </c>
      <c r="S18" s="231">
        <f t="shared" si="7"/>
        <v>2471</v>
      </c>
      <c r="T18" s="231">
        <f t="shared" si="7"/>
        <v>3502</v>
      </c>
      <c r="U18" s="231">
        <f t="shared" si="7"/>
        <v>2875</v>
      </c>
      <c r="V18" s="231">
        <v>200406</v>
      </c>
      <c r="W18" s="231">
        <v>35</v>
      </c>
      <c r="X18" s="231">
        <v>0</v>
      </c>
      <c r="Y18" s="231">
        <v>0</v>
      </c>
      <c r="Z18" s="231">
        <v>120317</v>
      </c>
      <c r="AA18" s="231">
        <v>0</v>
      </c>
      <c r="AB18" s="231">
        <v>0</v>
      </c>
      <c r="AC18" s="231">
        <v>0</v>
      </c>
      <c r="AD18" s="231">
        <v>320723</v>
      </c>
      <c r="AE18" s="231">
        <v>35</v>
      </c>
      <c r="AF18" s="231">
        <v>0</v>
      </c>
      <c r="AG18" s="231">
        <v>0</v>
      </c>
      <c r="AH18" s="231">
        <v>90581</v>
      </c>
      <c r="AI18" s="231">
        <v>0</v>
      </c>
      <c r="AJ18" s="231">
        <v>0</v>
      </c>
      <c r="AK18" s="231">
        <v>0</v>
      </c>
      <c r="AL18" s="231">
        <f t="shared" si="0"/>
        <v>411304</v>
      </c>
      <c r="AM18" s="231">
        <f t="shared" si="1"/>
        <v>35</v>
      </c>
      <c r="AN18" s="231">
        <f t="shared" si="2"/>
        <v>0</v>
      </c>
      <c r="AO18" s="231">
        <f t="shared" si="3"/>
        <v>0</v>
      </c>
    </row>
    <row r="19" spans="1:48" ht="18.75" x14ac:dyDescent="0.25">
      <c r="A19" s="143" t="s">
        <v>36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</row>
    <row r="20" spans="1:48" ht="16.5" thickBot="1" x14ac:dyDescent="0.3">
      <c r="A20" s="151" t="s">
        <v>37</v>
      </c>
      <c r="B20" s="232">
        <v>0</v>
      </c>
      <c r="C20" s="232">
        <v>343</v>
      </c>
      <c r="D20" s="232">
        <v>122958</v>
      </c>
      <c r="E20" s="233">
        <v>0</v>
      </c>
      <c r="F20" s="232">
        <v>0</v>
      </c>
      <c r="G20" s="232">
        <v>184</v>
      </c>
      <c r="H20" s="232">
        <v>72361</v>
      </c>
      <c r="I20" s="233">
        <v>0</v>
      </c>
      <c r="J20" s="232">
        <v>0</v>
      </c>
      <c r="K20" s="232">
        <v>527</v>
      </c>
      <c r="L20" s="232">
        <v>195319</v>
      </c>
      <c r="M20" s="233">
        <v>0</v>
      </c>
      <c r="N20" s="232">
        <v>0</v>
      </c>
      <c r="O20" s="232">
        <v>99</v>
      </c>
      <c r="P20" s="232">
        <v>29455</v>
      </c>
      <c r="Q20" s="233">
        <v>0</v>
      </c>
      <c r="R20" s="232">
        <v>0</v>
      </c>
      <c r="S20" s="232">
        <v>626</v>
      </c>
      <c r="T20" s="232">
        <v>224764</v>
      </c>
      <c r="U20" s="233">
        <v>0</v>
      </c>
      <c r="V20" s="232">
        <v>0</v>
      </c>
      <c r="W20" s="232">
        <v>412</v>
      </c>
      <c r="X20" s="232">
        <v>134354</v>
      </c>
      <c r="Y20" s="233">
        <v>0</v>
      </c>
      <c r="Z20" s="233">
        <v>0</v>
      </c>
      <c r="AA20" s="232">
        <v>325</v>
      </c>
      <c r="AB20" s="233">
        <v>63229</v>
      </c>
      <c r="AC20" s="233">
        <v>0</v>
      </c>
      <c r="AD20" s="232">
        <v>0</v>
      </c>
      <c r="AE20" s="232">
        <v>737</v>
      </c>
      <c r="AF20" s="232">
        <v>197583</v>
      </c>
      <c r="AG20" s="233">
        <v>0</v>
      </c>
      <c r="AH20" s="232">
        <v>0</v>
      </c>
      <c r="AI20" s="232">
        <v>151</v>
      </c>
      <c r="AJ20" s="232">
        <v>34684</v>
      </c>
      <c r="AK20" s="233">
        <v>0</v>
      </c>
      <c r="AL20" s="232">
        <f t="shared" si="0"/>
        <v>0</v>
      </c>
      <c r="AM20" s="232">
        <f t="shared" si="1"/>
        <v>888</v>
      </c>
      <c r="AN20" s="232">
        <f t="shared" si="2"/>
        <v>232267</v>
      </c>
      <c r="AO20" s="233">
        <f t="shared" si="3"/>
        <v>0</v>
      </c>
    </row>
    <row r="21" spans="1:48" ht="16.5" thickBot="1" x14ac:dyDescent="0.3">
      <c r="A21" s="140" t="s">
        <v>41</v>
      </c>
      <c r="B21" s="234">
        <v>0</v>
      </c>
      <c r="C21" s="234">
        <v>343</v>
      </c>
      <c r="D21" s="234">
        <f>D20</f>
        <v>122958</v>
      </c>
      <c r="E21" s="234">
        <v>0</v>
      </c>
      <c r="F21" s="234">
        <v>0</v>
      </c>
      <c r="G21" s="234">
        <v>184</v>
      </c>
      <c r="H21" s="234">
        <v>72361</v>
      </c>
      <c r="I21" s="234">
        <v>0</v>
      </c>
      <c r="J21" s="234">
        <v>0</v>
      </c>
      <c r="K21" s="234">
        <v>527</v>
      </c>
      <c r="L21" s="234">
        <v>195319</v>
      </c>
      <c r="M21" s="234">
        <v>0</v>
      </c>
      <c r="N21" s="234">
        <v>0</v>
      </c>
      <c r="O21" s="234">
        <v>99</v>
      </c>
      <c r="P21" s="234">
        <v>29455</v>
      </c>
      <c r="Q21" s="234">
        <v>0</v>
      </c>
      <c r="R21" s="234">
        <v>0</v>
      </c>
      <c r="S21" s="234">
        <v>626</v>
      </c>
      <c r="T21" s="234">
        <v>224764</v>
      </c>
      <c r="U21" s="234">
        <v>0</v>
      </c>
      <c r="V21" s="234">
        <v>0</v>
      </c>
      <c r="W21" s="234">
        <v>412</v>
      </c>
      <c r="X21" s="234">
        <v>134354</v>
      </c>
      <c r="Y21" s="234">
        <v>0</v>
      </c>
      <c r="Z21" s="234">
        <v>0</v>
      </c>
      <c r="AA21" s="234">
        <v>325</v>
      </c>
      <c r="AB21" s="234">
        <v>63229</v>
      </c>
      <c r="AC21" s="234">
        <v>0</v>
      </c>
      <c r="AD21" s="234">
        <v>0</v>
      </c>
      <c r="AE21" s="234">
        <v>737</v>
      </c>
      <c r="AF21" s="234">
        <v>197583</v>
      </c>
      <c r="AG21" s="234">
        <v>0</v>
      </c>
      <c r="AH21" s="234">
        <v>0</v>
      </c>
      <c r="AI21" s="234">
        <v>151</v>
      </c>
      <c r="AJ21" s="234">
        <v>34684</v>
      </c>
      <c r="AK21" s="234">
        <v>0</v>
      </c>
      <c r="AL21" s="234">
        <f t="shared" si="0"/>
        <v>0</v>
      </c>
      <c r="AM21" s="234">
        <f t="shared" si="1"/>
        <v>888</v>
      </c>
      <c r="AN21" s="234">
        <f t="shared" si="2"/>
        <v>232267</v>
      </c>
      <c r="AO21" s="234">
        <f t="shared" si="3"/>
        <v>0</v>
      </c>
    </row>
    <row r="22" spans="1:48" ht="32.25" thickBot="1" x14ac:dyDescent="0.3">
      <c r="A22" s="156" t="s">
        <v>97</v>
      </c>
      <c r="B22" s="235">
        <f>SUM(B14,B18,B21)</f>
        <v>2469025</v>
      </c>
      <c r="C22" s="235">
        <f t="shared" ref="C22:E22" si="8">SUM(C14,C18,C21)</f>
        <v>3105</v>
      </c>
      <c r="D22" s="235">
        <f t="shared" si="8"/>
        <v>125466.57399999999</v>
      </c>
      <c r="E22" s="235">
        <f t="shared" si="8"/>
        <v>2065.83</v>
      </c>
      <c r="F22" s="235">
        <v>1362391</v>
      </c>
      <c r="G22" s="235">
        <v>260</v>
      </c>
      <c r="H22" s="235">
        <v>73355</v>
      </c>
      <c r="I22" s="235">
        <v>809</v>
      </c>
      <c r="J22" s="235">
        <v>3831416</v>
      </c>
      <c r="K22" s="235">
        <v>3365</v>
      </c>
      <c r="L22" s="235">
        <v>198821</v>
      </c>
      <c r="M22" s="235">
        <v>2875</v>
      </c>
      <c r="N22" s="235">
        <v>761913</v>
      </c>
      <c r="O22" s="235">
        <v>99</v>
      </c>
      <c r="P22" s="235">
        <v>29445</v>
      </c>
      <c r="Q22" s="235">
        <v>0</v>
      </c>
      <c r="R22" s="235">
        <v>4593329</v>
      </c>
      <c r="S22" s="235">
        <v>3464</v>
      </c>
      <c r="T22" s="235">
        <v>228266</v>
      </c>
      <c r="U22" s="235">
        <v>2875</v>
      </c>
      <c r="V22" s="235">
        <f>V18+V21+V14</f>
        <v>2508220</v>
      </c>
      <c r="W22" s="235">
        <f t="shared" ref="W22:AK22" si="9">W18+W21+W14</f>
        <v>756</v>
      </c>
      <c r="X22" s="235">
        <f t="shared" si="9"/>
        <v>134354</v>
      </c>
      <c r="Y22" s="235">
        <f t="shared" si="9"/>
        <v>0</v>
      </c>
      <c r="Z22" s="235">
        <f t="shared" si="9"/>
        <v>120317</v>
      </c>
      <c r="AA22" s="235">
        <f t="shared" si="9"/>
        <v>422</v>
      </c>
      <c r="AB22" s="235">
        <f t="shared" si="9"/>
        <v>63229</v>
      </c>
      <c r="AC22" s="235">
        <f t="shared" si="9"/>
        <v>0</v>
      </c>
      <c r="AD22" s="235">
        <f t="shared" si="9"/>
        <v>3606840</v>
      </c>
      <c r="AE22" s="235">
        <f t="shared" si="9"/>
        <v>1178</v>
      </c>
      <c r="AF22" s="235">
        <f t="shared" si="9"/>
        <v>197583</v>
      </c>
      <c r="AG22" s="235">
        <f t="shared" si="9"/>
        <v>0</v>
      </c>
      <c r="AH22" s="235">
        <f t="shared" si="9"/>
        <v>692325</v>
      </c>
      <c r="AI22" s="235">
        <f t="shared" si="9"/>
        <v>153</v>
      </c>
      <c r="AJ22" s="235">
        <f t="shared" si="9"/>
        <v>34684</v>
      </c>
      <c r="AK22" s="235">
        <f t="shared" si="9"/>
        <v>0</v>
      </c>
      <c r="AL22" s="235">
        <f>AH22+AD22</f>
        <v>4299165</v>
      </c>
      <c r="AM22" s="235">
        <f t="shared" si="1"/>
        <v>1331</v>
      </c>
      <c r="AN22" s="235">
        <f t="shared" si="2"/>
        <v>232267</v>
      </c>
      <c r="AO22" s="235">
        <f t="shared" si="3"/>
        <v>0</v>
      </c>
    </row>
    <row r="23" spans="1:48" ht="15.75" x14ac:dyDescent="0.25">
      <c r="A23" s="159" t="s">
        <v>58</v>
      </c>
      <c r="B23" s="236"/>
      <c r="C23" s="236">
        <v>127524</v>
      </c>
      <c r="D23" s="236"/>
      <c r="E23" s="237"/>
      <c r="F23" s="236"/>
      <c r="G23" s="236">
        <v>74180</v>
      </c>
      <c r="H23" s="236"/>
      <c r="I23" s="237"/>
      <c r="J23" s="236"/>
      <c r="K23" s="236">
        <v>201704</v>
      </c>
      <c r="L23" s="236"/>
      <c r="M23" s="237"/>
      <c r="N23" s="236"/>
      <c r="O23" s="236">
        <v>24881</v>
      </c>
      <c r="P23" s="236"/>
      <c r="Q23" s="237"/>
      <c r="R23" s="236"/>
      <c r="S23" s="236">
        <v>226585</v>
      </c>
      <c r="T23" s="236"/>
      <c r="U23" s="237"/>
      <c r="V23" s="236"/>
      <c r="W23" s="236">
        <v>139414</v>
      </c>
      <c r="X23" s="236"/>
      <c r="Y23" s="237"/>
      <c r="Z23" s="236"/>
      <c r="AA23" s="236">
        <v>63689</v>
      </c>
      <c r="AB23" s="236"/>
      <c r="AC23" s="237"/>
      <c r="AD23" s="236"/>
      <c r="AE23" s="236">
        <v>203103</v>
      </c>
      <c r="AF23" s="236"/>
      <c r="AG23" s="237"/>
      <c r="AH23" s="236">
        <v>33015</v>
      </c>
      <c r="AI23" s="236"/>
      <c r="AJ23" s="236"/>
      <c r="AK23" s="237"/>
      <c r="AL23" s="236">
        <f>AH23+AE23</f>
        <v>236118</v>
      </c>
      <c r="AM23" s="236"/>
      <c r="AN23" s="236"/>
      <c r="AO23" s="237"/>
    </row>
    <row r="25" spans="1:48" x14ac:dyDescent="0.25">
      <c r="AA25" s="196"/>
    </row>
    <row r="26" spans="1:48" x14ac:dyDescent="0.25">
      <c r="AP26" s="196"/>
      <c r="AV26" s="196"/>
    </row>
    <row r="27" spans="1:48" x14ac:dyDescent="0.25">
      <c r="AT27" s="196"/>
    </row>
    <row r="28" spans="1:48" x14ac:dyDescent="0.25">
      <c r="AK28" s="196"/>
    </row>
    <row r="31" spans="1:48" x14ac:dyDescent="0.25">
      <c r="AU31" s="196"/>
    </row>
  </sheetData>
  <mergeCells count="15">
    <mergeCell ref="A1:T1"/>
    <mergeCell ref="U1:AN1"/>
    <mergeCell ref="V2:AO2"/>
    <mergeCell ref="A2:A4"/>
    <mergeCell ref="B2:U2"/>
    <mergeCell ref="B3:E3"/>
    <mergeCell ref="F3:I3"/>
    <mergeCell ref="K3:L3"/>
    <mergeCell ref="N3:Q3"/>
    <mergeCell ref="R3:U3"/>
    <mergeCell ref="V3:Y3"/>
    <mergeCell ref="Z3:AC3"/>
    <mergeCell ref="AH3:AK3"/>
    <mergeCell ref="AL3:AO3"/>
    <mergeCell ref="AD3:AG3"/>
  </mergeCells>
  <conditionalFormatting sqref="Z10">
    <cfRule type="cellIs" dxfId="7" priority="19" operator="lessThan">
      <formula>0</formula>
    </cfRule>
  </conditionalFormatting>
  <conditionalFormatting sqref="Z11">
    <cfRule type="cellIs" dxfId="6" priority="18" operator="lessThan">
      <formula>0</formula>
    </cfRule>
  </conditionalFormatting>
  <conditionalFormatting sqref="Z6">
    <cfRule type="cellIs" dxfId="5" priority="22" operator="lessThan">
      <formula>0</formula>
    </cfRule>
  </conditionalFormatting>
  <conditionalFormatting sqref="Z7">
    <cfRule type="cellIs" dxfId="4" priority="21" operator="lessThan">
      <formula>0</formula>
    </cfRule>
  </conditionalFormatting>
  <conditionalFormatting sqref="Z8">
    <cfRule type="cellIs" dxfId="3" priority="20" operator="lessThan">
      <formula>0</formula>
    </cfRule>
  </conditionalFormatting>
  <conditionalFormatting sqref="Z13">
    <cfRule type="cellIs" dxfId="2" priority="16" operator="lessThan">
      <formula>0</formula>
    </cfRule>
  </conditionalFormatting>
  <conditionalFormatting sqref="Z9">
    <cfRule type="cellIs" dxfId="1" priority="15" operator="lessThan">
      <formula>0</formula>
    </cfRule>
  </conditionalFormatting>
  <conditionalFormatting sqref="Z12">
    <cfRule type="cellIs" dxfId="0" priority="17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1. Выработка электроэнергии</vt:lpstr>
      <vt:lpstr>2. Отпуск теплоэнергии</vt:lpstr>
      <vt:lpstr>3. УРУТ</vt:lpstr>
      <vt:lpstr>4. КИУМ</vt:lpstr>
      <vt:lpstr>5. Реализация э.э. и мощности</vt:lpstr>
      <vt:lpstr>6. Покупка э.э. и мощности</vt:lpstr>
      <vt:lpstr>7. Потребление топлива</vt:lpstr>
      <vt:lpstr>'1. Выработка электроэнергии'!Область_печати</vt:lpstr>
    </vt:vector>
  </TitlesOfParts>
  <Company>JSC TGC1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Игнатова Елена Павловна</dc:creator>
  <cp:lastModifiedBy>Назирова Арина Камаловна</cp:lastModifiedBy>
  <cp:revision>6</cp:revision>
  <dcterms:created xsi:type="dcterms:W3CDTF">2019-05-24T06:43:52Z</dcterms:created>
  <dcterms:modified xsi:type="dcterms:W3CDTF">2026-10-26T13:04:57Z</dcterms:modified>
</cp:coreProperties>
</file>