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ef\DE\Общая\диск R\ТГК\Тарифы 2026\Тарифы на электроэнергию\РД\публикация на сайте\"/>
    </mc:Choice>
  </mc:AlternateContent>
  <bookViews>
    <workbookView xWindow="480" yWindow="75" windowWidth="18195" windowHeight="11820" firstSheet="26" activeTab="28"/>
  </bookViews>
  <sheets>
    <sheet name="Раздел 1" sheetId="68" r:id="rId1"/>
    <sheet name=" ЦТЭЦ (ГТУ-1) ДПМ" sheetId="36" r:id="rId2"/>
    <sheet name="ЦТЭЦ (ГТУ-2) ДПМ" sheetId="37" r:id="rId3"/>
    <sheet name="ТЭЦ-5 Бл-1" sheetId="59" r:id="rId4"/>
    <sheet name="ТЭЦ-5 ПГУ-450" sheetId="6" r:id="rId5"/>
    <sheet name="ТЭЦ-7 ТГ-3" sheetId="8" r:id="rId6"/>
    <sheet name="ТЭЦ-7 ТГ-4,5" sheetId="65" r:id="rId7"/>
    <sheet name="ТЭЦ-14 БЛ-1" sheetId="11" r:id="rId8"/>
    <sheet name="ТЭЦ-14 БЛ-2" sheetId="12" r:id="rId9"/>
    <sheet name="ТЭЦ-15 без ДПМ" sheetId="13" r:id="rId10"/>
    <sheet name="ТЭЦ-15 Г-6 (МОД) " sheetId="71" r:id="rId11"/>
    <sheet name="ТЭЦ-15 Г-7 (МОД)" sheetId="69" r:id="rId12"/>
    <sheet name="ТЭЦ-17" sheetId="14" r:id="rId13"/>
    <sheet name="ТЭЦ-21 Г-4" sheetId="72" r:id="rId14"/>
    <sheet name="ТЭЦ-21 без ДПМ" sheetId="66" r:id="rId15"/>
    <sheet name="ТЭЦ-22 без ДПМ" sheetId="16" r:id="rId16"/>
    <sheet name="ТЭЦ-22 БЛ-4 " sheetId="17" r:id="rId17"/>
    <sheet name="ГЭС-6" sheetId="19" r:id="rId18"/>
    <sheet name="ГЭС-13" sheetId="20" r:id="rId19"/>
    <sheet name=" ГЭС-10 ГГ-1" sheetId="21" r:id="rId20"/>
    <sheet name="ГЭС-10  ГГ-2" sheetId="48" r:id="rId21"/>
    <sheet name="ГЭС-10  ГГ-3" sheetId="49" r:id="rId22"/>
    <sheet name="ГЭС-10  ГГ-4" sheetId="50" r:id="rId23"/>
    <sheet name="ГЭС-11 ГГ-1" sheetId="25" r:id="rId24"/>
    <sheet name="ГЭС-11 ГГ-2" sheetId="51" r:id="rId25"/>
    <sheet name="ГЭС-11 ГГ-3" sheetId="52" r:id="rId26"/>
    <sheet name="ГЭС-11 ГГ-4" sheetId="53" r:id="rId27"/>
    <sheet name="Каскад-2" sheetId="29" r:id="rId28"/>
    <sheet name="Каскады Кольских ГЭС" sheetId="60" r:id="rId29"/>
    <sheet name="Апатитская ТЭЦ" sheetId="61" r:id="rId30"/>
    <sheet name="Петрозаводская ТЭЦ" sheetId="70" r:id="rId31"/>
    <sheet name="Каскад Выгских ГЭС" sheetId="62" r:id="rId32"/>
    <sheet name="Каскад Кемских ГЭС" sheetId="63" r:id="rId33"/>
  </sheets>
  <externalReferences>
    <externalReference r:id="rId34"/>
    <externalReference r:id="rId35"/>
  </externalReferences>
  <definedNames>
    <definedName name="price_zone">[1]Титульный!$E$18</definedName>
    <definedName name="_xlnm.Print_Titles" localSheetId="19">' ГЭС-10 ГГ-1'!$8:$8</definedName>
    <definedName name="_xlnm.Print_Titles" localSheetId="1">' ЦТЭЦ (ГТУ-1) ДПМ'!$8:$8</definedName>
    <definedName name="_xlnm.Print_Titles" localSheetId="29">'Апатитская ТЭЦ'!$7:$7</definedName>
    <definedName name="_xlnm.Print_Titles" localSheetId="20">'ГЭС-10  ГГ-2'!$8:$8</definedName>
    <definedName name="_xlnm.Print_Titles" localSheetId="21">'ГЭС-10  ГГ-3'!$8:$8</definedName>
    <definedName name="_xlnm.Print_Titles" localSheetId="22">'ГЭС-10  ГГ-4'!$8:$8</definedName>
    <definedName name="_xlnm.Print_Titles" localSheetId="23">'ГЭС-11 ГГ-1'!$8:$8</definedName>
    <definedName name="_xlnm.Print_Titles" localSheetId="24">'ГЭС-11 ГГ-2'!$8:$8</definedName>
    <definedName name="_xlnm.Print_Titles" localSheetId="25">'ГЭС-11 ГГ-3'!$8:$8</definedName>
    <definedName name="_xlnm.Print_Titles" localSheetId="26">'ГЭС-11 ГГ-4'!$8:$8</definedName>
    <definedName name="_xlnm.Print_Titles" localSheetId="18">'ГЭС-13'!$8:$8</definedName>
    <definedName name="_xlnm.Print_Titles" localSheetId="17">'ГЭС-6'!$8:$8</definedName>
    <definedName name="_xlnm.Print_Titles" localSheetId="31">'Каскад Выгских ГЭС'!$8:$8</definedName>
    <definedName name="_xlnm.Print_Titles" localSheetId="32">'Каскад Кемских ГЭС'!$8:$8</definedName>
    <definedName name="_xlnm.Print_Titles" localSheetId="27">'Каскад-2'!$8:$8</definedName>
    <definedName name="_xlnm.Print_Titles" localSheetId="28">'Каскады Кольских ГЭС'!$7:$7</definedName>
    <definedName name="_xlnm.Print_Titles" localSheetId="30">'Петрозаводская ТЭЦ'!$10:$10</definedName>
    <definedName name="_xlnm.Print_Titles" localSheetId="7">'ТЭЦ-14 БЛ-1'!$8:$8</definedName>
    <definedName name="_xlnm.Print_Titles" localSheetId="8">'ТЭЦ-14 БЛ-2'!$8:$8</definedName>
    <definedName name="_xlnm.Print_Titles" localSheetId="9">'ТЭЦ-15 без ДПМ'!$8:$8</definedName>
    <definedName name="_xlnm.Print_Titles" localSheetId="10">'ТЭЦ-15 Г-6 (МОД) '!$8:$8</definedName>
    <definedName name="_xlnm.Print_Titles" localSheetId="11">'ТЭЦ-15 Г-7 (МОД)'!$8:$8</definedName>
    <definedName name="_xlnm.Print_Titles" localSheetId="12">'ТЭЦ-17'!$8:$8</definedName>
    <definedName name="_xlnm.Print_Titles" localSheetId="14">'ТЭЦ-21 без ДПМ'!$8:$8</definedName>
    <definedName name="_xlnm.Print_Titles" localSheetId="13">'ТЭЦ-21 Г-4'!$8:$8</definedName>
    <definedName name="_xlnm.Print_Titles" localSheetId="15">'ТЭЦ-22 без ДПМ'!$8:$8</definedName>
    <definedName name="_xlnm.Print_Titles" localSheetId="16">'ТЭЦ-22 БЛ-4 '!$8:$8</definedName>
    <definedName name="_xlnm.Print_Titles" localSheetId="3">'ТЭЦ-5 Бл-1'!$8:$8</definedName>
    <definedName name="_xlnm.Print_Titles" localSheetId="4">'ТЭЦ-5 ПГУ-450'!$8:$8</definedName>
    <definedName name="_xlnm.Print_Titles" localSheetId="5">'ТЭЦ-7 ТГ-3'!$8:$8</definedName>
    <definedName name="_xlnm.Print_Titles" localSheetId="6">'ТЭЦ-7 ТГ-4,5'!$8:$8</definedName>
    <definedName name="_xlnm.Print_Titles" localSheetId="2">'ЦТЭЦ (ГТУ-2) ДПМ'!$8:$8</definedName>
    <definedName name="_xlnm.Print_Area" localSheetId="29">'Апатитская ТЭЦ'!$A$1:$I$65</definedName>
    <definedName name="_xlnm.Print_Area" localSheetId="28">'Каскады Кольских ГЭС'!$A$1:$I$67</definedName>
    <definedName name="_xlnm.Print_Area" localSheetId="3">'ТЭЦ-5 Бл-1'!$A$1:$I$66</definedName>
    <definedName name="_xlnm.Print_Area" localSheetId="5">'ТЭЦ-7 ТГ-3'!$A$1:$F$51</definedName>
    <definedName name="_xlnm.Print_Area" localSheetId="6">'ТЭЦ-7 ТГ-4,5'!$A$1:$F$51</definedName>
  </definedNames>
  <calcPr calcId="162913"/>
</workbook>
</file>

<file path=xl/calcChain.xml><?xml version="1.0" encoding="utf-8"?>
<calcChain xmlns="http://schemas.openxmlformats.org/spreadsheetml/2006/main">
  <c r="F17" i="29" l="1"/>
  <c r="F16" i="29"/>
  <c r="E17" i="29"/>
  <c r="E16" i="29"/>
  <c r="F17" i="53" l="1"/>
  <c r="E17" i="53"/>
  <c r="F17" i="52" l="1"/>
  <c r="E17" i="52"/>
  <c r="F17" i="51" l="1"/>
  <c r="E17" i="51"/>
  <c r="F17" i="25" l="1"/>
  <c r="F16" i="25"/>
  <c r="E17" i="25"/>
  <c r="E16" i="25"/>
  <c r="F17" i="50" l="1"/>
  <c r="E17" i="50"/>
  <c r="F17" i="49" l="1"/>
  <c r="F16" i="49"/>
  <c r="E17" i="49"/>
  <c r="E16" i="49"/>
  <c r="F17" i="48" l="1"/>
  <c r="F16" i="48"/>
  <c r="E17" i="48"/>
  <c r="E16" i="48"/>
  <c r="F17" i="21" l="1"/>
  <c r="E17" i="21"/>
  <c r="F16" i="21" l="1"/>
  <c r="E16" i="21"/>
  <c r="F17" i="19" l="1"/>
  <c r="F16" i="19"/>
  <c r="E17" i="19"/>
  <c r="E16" i="19"/>
  <c r="D21" i="17" l="1"/>
  <c r="D19" i="17"/>
  <c r="F21" i="17"/>
  <c r="F19" i="17"/>
  <c r="E21" i="17"/>
  <c r="E19" i="17"/>
  <c r="F17" i="17"/>
  <c r="F16" i="17"/>
  <c r="E17" i="17"/>
  <c r="E16" i="17"/>
  <c r="D21" i="16" l="1"/>
  <c r="D19" i="16"/>
  <c r="F21" i="16"/>
  <c r="E21" i="16"/>
  <c r="F19" i="16"/>
  <c r="E19" i="16"/>
  <c r="F17" i="16"/>
  <c r="F16" i="16"/>
  <c r="E17" i="16"/>
  <c r="E16" i="16"/>
  <c r="D21" i="66" l="1"/>
  <c r="D19" i="66"/>
  <c r="F21" i="66" l="1"/>
  <c r="E21" i="66"/>
  <c r="F19" i="66"/>
  <c r="E19" i="66"/>
  <c r="F17" i="66"/>
  <c r="F16" i="66"/>
  <c r="E17" i="66"/>
  <c r="E16" i="66"/>
  <c r="D46" i="72" l="1"/>
  <c r="D46" i="66"/>
  <c r="F19" i="72"/>
  <c r="F21" i="72"/>
  <c r="F31" i="72"/>
  <c r="F30" i="72"/>
  <c r="F29" i="72"/>
  <c r="F15" i="72"/>
  <c r="F17" i="72"/>
  <c r="F16" i="72"/>
  <c r="D21" i="14" l="1"/>
  <c r="D19" i="14"/>
  <c r="F21" i="14" l="1"/>
  <c r="E21" i="14"/>
  <c r="F19" i="14"/>
  <c r="E19" i="14"/>
  <c r="F17" i="14"/>
  <c r="F16" i="14"/>
  <c r="E17" i="14"/>
  <c r="E16" i="14"/>
  <c r="D21" i="69" l="1"/>
  <c r="D19" i="69"/>
  <c r="I64" i="69" l="1"/>
  <c r="H64" i="69"/>
  <c r="H63" i="69"/>
  <c r="F21" i="69"/>
  <c r="E21" i="69"/>
  <c r="F19" i="69"/>
  <c r="E19" i="69"/>
  <c r="F17" i="69"/>
  <c r="F16" i="69"/>
  <c r="E17" i="69"/>
  <c r="E16" i="69"/>
  <c r="D19" i="71" l="1"/>
  <c r="D21" i="71"/>
  <c r="F21" i="71"/>
  <c r="F19" i="71"/>
  <c r="E21" i="71"/>
  <c r="E19" i="71"/>
  <c r="F17" i="71"/>
  <c r="F16" i="71"/>
  <c r="E17" i="71"/>
  <c r="E16" i="71"/>
  <c r="H64" i="13" l="1"/>
  <c r="H65" i="13"/>
  <c r="H63" i="13"/>
  <c r="F64" i="13"/>
  <c r="F65" i="13"/>
  <c r="F63" i="13"/>
  <c r="D21" i="13"/>
  <c r="D19" i="13"/>
  <c r="F21" i="13"/>
  <c r="E21" i="13"/>
  <c r="F19" i="13"/>
  <c r="E19" i="13"/>
  <c r="F17" i="13"/>
  <c r="F16" i="13"/>
  <c r="E17" i="13"/>
  <c r="E16" i="13"/>
  <c r="H63" i="12" l="1"/>
  <c r="H64" i="12"/>
  <c r="H62" i="12"/>
  <c r="F63" i="12"/>
  <c r="F64" i="12"/>
  <c r="F62" i="12"/>
  <c r="D21" i="12"/>
  <c r="D19" i="12"/>
  <c r="F21" i="12"/>
  <c r="E21" i="12"/>
  <c r="F19" i="12"/>
  <c r="E19" i="12"/>
  <c r="F17" i="12"/>
  <c r="F16" i="12"/>
  <c r="E17" i="12"/>
  <c r="E16" i="12"/>
  <c r="F61" i="11" l="1"/>
  <c r="F62" i="11"/>
  <c r="F63" i="11"/>
  <c r="H62" i="11"/>
  <c r="H63" i="11"/>
  <c r="H61" i="11"/>
  <c r="D21" i="11"/>
  <c r="D19" i="11"/>
  <c r="F21" i="11"/>
  <c r="E21" i="11"/>
  <c r="F19" i="11"/>
  <c r="E19" i="11"/>
  <c r="F17" i="11"/>
  <c r="F16" i="11"/>
  <c r="E17" i="11"/>
  <c r="E16" i="11"/>
  <c r="F62" i="65" l="1"/>
  <c r="F63" i="65"/>
  <c r="F61" i="65"/>
  <c r="F62" i="8"/>
  <c r="F63" i="8"/>
  <c r="F61" i="8"/>
  <c r="F62" i="6"/>
  <c r="F63" i="6"/>
  <c r="F61" i="6"/>
  <c r="F63" i="59"/>
  <c r="F64" i="59"/>
  <c r="F62" i="59"/>
  <c r="F63" i="37"/>
  <c r="F62" i="37"/>
  <c r="H62" i="65" l="1"/>
  <c r="H63" i="65"/>
  <c r="H61" i="65"/>
  <c r="D21" i="65"/>
  <c r="D19" i="65"/>
  <c r="F21" i="65"/>
  <c r="E21" i="65"/>
  <c r="F19" i="65"/>
  <c r="E19" i="65"/>
  <c r="F17" i="65"/>
  <c r="F16" i="65"/>
  <c r="E17" i="65"/>
  <c r="E16" i="65"/>
  <c r="H62" i="8" l="1"/>
  <c r="H63" i="8"/>
  <c r="H61" i="8"/>
  <c r="D21" i="8"/>
  <c r="D19" i="8"/>
  <c r="F17" i="8" l="1"/>
  <c r="F16" i="8"/>
  <c r="E17" i="8"/>
  <c r="E16" i="8"/>
  <c r="F21" i="8"/>
  <c r="E21" i="8"/>
  <c r="F19" i="8"/>
  <c r="E19" i="8"/>
  <c r="H62" i="6" l="1"/>
  <c r="H63" i="6"/>
  <c r="H61" i="6"/>
  <c r="H64" i="59" l="1"/>
  <c r="H63" i="59"/>
  <c r="H62" i="59"/>
  <c r="H63" i="37" l="1"/>
  <c r="H62" i="37"/>
  <c r="D19" i="6" l="1"/>
  <c r="F21" i="6"/>
  <c r="F19" i="6"/>
  <c r="E21" i="6"/>
  <c r="E19" i="6"/>
  <c r="F17" i="6"/>
  <c r="F16" i="6"/>
  <c r="E17" i="6"/>
  <c r="E16" i="6"/>
  <c r="D46" i="17" l="1"/>
  <c r="D46" i="16"/>
  <c r="D46" i="14"/>
  <c r="D46" i="69"/>
  <c r="D46" i="71"/>
  <c r="D46" i="13"/>
  <c r="D46" i="12"/>
  <c r="D46" i="11"/>
  <c r="D46" i="65"/>
  <c r="D46" i="8"/>
  <c r="D46" i="6"/>
  <c r="D46" i="59"/>
  <c r="F21" i="59"/>
  <c r="F19" i="59"/>
  <c r="E21" i="59"/>
  <c r="E19" i="59"/>
  <c r="F17" i="59"/>
  <c r="F16" i="59"/>
  <c r="E17" i="59"/>
  <c r="E16" i="59"/>
  <c r="D21" i="37" l="1"/>
  <c r="D19" i="37"/>
  <c r="D21" i="36"/>
  <c r="D19" i="36"/>
  <c r="H59" i="63" l="1"/>
  <c r="F59" i="63"/>
  <c r="D59" i="63"/>
  <c r="H59" i="62"/>
  <c r="F59" i="62"/>
  <c r="D59" i="62"/>
  <c r="H65" i="70"/>
  <c r="F65" i="70"/>
  <c r="D65" i="70"/>
  <c r="H59" i="61"/>
  <c r="F59" i="61"/>
  <c r="D59" i="61"/>
  <c r="H59" i="60"/>
  <c r="F59" i="60"/>
  <c r="D59" i="60"/>
  <c r="H60" i="29"/>
  <c r="F60" i="29"/>
  <c r="D60" i="29"/>
  <c r="H59" i="53"/>
  <c r="F59" i="53"/>
  <c r="D59" i="53"/>
  <c r="H61" i="52"/>
  <c r="F61" i="52"/>
  <c r="D61" i="52"/>
  <c r="H60" i="51"/>
  <c r="F60" i="51"/>
  <c r="D60" i="51"/>
  <c r="H60" i="25"/>
  <c r="F60" i="25"/>
  <c r="D60" i="25"/>
  <c r="H59" i="50"/>
  <c r="F59" i="50"/>
  <c r="D59" i="50"/>
  <c r="H60" i="49"/>
  <c r="F60" i="49"/>
  <c r="D60" i="49"/>
  <c r="H60" i="48"/>
  <c r="F60" i="48"/>
  <c r="D60" i="48"/>
  <c r="H60" i="21"/>
  <c r="F60" i="21"/>
  <c r="D60" i="21"/>
  <c r="H59" i="20"/>
  <c r="F59" i="20"/>
  <c r="D59" i="20"/>
  <c r="H60" i="19"/>
  <c r="F60" i="19"/>
  <c r="D60" i="19"/>
  <c r="H60" i="17"/>
  <c r="F60" i="17"/>
  <c r="D60" i="17"/>
  <c r="H60" i="16"/>
  <c r="F60" i="16"/>
  <c r="D60" i="16"/>
  <c r="H60" i="66"/>
  <c r="F60" i="66"/>
  <c r="D60" i="66"/>
  <c r="H60" i="72"/>
  <c r="F60" i="72"/>
  <c r="D60" i="72"/>
  <c r="H59" i="14"/>
  <c r="F59" i="14"/>
  <c r="D59" i="14"/>
  <c r="H60" i="69"/>
  <c r="F60" i="69"/>
  <c r="D60" i="69"/>
  <c r="H60" i="71"/>
  <c r="F60" i="71"/>
  <c r="D60" i="71"/>
  <c r="H60" i="13"/>
  <c r="F60" i="13"/>
  <c r="D60" i="13"/>
  <c r="H59" i="12"/>
  <c r="F59" i="12"/>
  <c r="D59" i="12"/>
  <c r="H58" i="11"/>
  <c r="F58" i="11"/>
  <c r="D58" i="11"/>
  <c r="H58" i="65"/>
  <c r="F58" i="65"/>
  <c r="D58" i="65"/>
  <c r="H58" i="8"/>
  <c r="F58" i="8"/>
  <c r="D58" i="8"/>
  <c r="H58" i="6"/>
  <c r="F58" i="6"/>
  <c r="D58" i="6"/>
  <c r="H59" i="59"/>
  <c r="F59" i="59"/>
  <c r="D59" i="59"/>
  <c r="H59" i="37"/>
  <c r="F59" i="37"/>
  <c r="D59" i="37"/>
  <c r="H62" i="36"/>
  <c r="H61" i="36"/>
  <c r="F62" i="36"/>
  <c r="F61" i="36"/>
  <c r="E53" i="63"/>
  <c r="E53" i="62"/>
  <c r="E56" i="70"/>
  <c r="E53" i="61"/>
  <c r="E53" i="60"/>
  <c r="E54" i="29"/>
  <c r="E53" i="53"/>
  <c r="E55" i="52"/>
  <c r="E54" i="51"/>
  <c r="E54" i="25"/>
  <c r="E53" i="50"/>
  <c r="E54" i="49"/>
  <c r="E54" i="48"/>
  <c r="E54" i="21"/>
  <c r="E53" i="20"/>
  <c r="E54" i="19"/>
  <c r="E54" i="17"/>
  <c r="E54" i="16"/>
  <c r="E54" i="66"/>
  <c r="E54" i="72"/>
  <c r="E53" i="14"/>
  <c r="E54" i="69"/>
  <c r="E54" i="71"/>
  <c r="E54" i="13"/>
  <c r="E53" i="12"/>
  <c r="E52" i="11"/>
  <c r="E52" i="65"/>
  <c r="E52" i="8"/>
  <c r="E52" i="6"/>
  <c r="E53" i="59"/>
  <c r="E53" i="37"/>
  <c r="F17" i="37"/>
  <c r="F16" i="37"/>
  <c r="F15" i="37" s="1"/>
  <c r="E16" i="37"/>
  <c r="F31" i="36" l="1"/>
  <c r="F15" i="36"/>
  <c r="F21" i="36"/>
  <c r="E21" i="36"/>
  <c r="F19" i="36"/>
  <c r="E19" i="36"/>
  <c r="F8" i="63" l="1"/>
  <c r="E8" i="63"/>
  <c r="D8" i="63"/>
  <c r="F8" i="62"/>
  <c r="E8" i="62"/>
  <c r="D8" i="62"/>
  <c r="F10" i="70"/>
  <c r="E10" i="70"/>
  <c r="D10" i="70"/>
  <c r="F7" i="61"/>
  <c r="E7" i="61"/>
  <c r="D7" i="61"/>
  <c r="F7" i="60"/>
  <c r="E7" i="60"/>
  <c r="D7" i="60"/>
  <c r="F8" i="29"/>
  <c r="E8" i="29"/>
  <c r="D8" i="29"/>
  <c r="F8" i="53"/>
  <c r="E8" i="53"/>
  <c r="D8" i="53"/>
  <c r="F8" i="52"/>
  <c r="E8" i="52"/>
  <c r="D8" i="52"/>
  <c r="F8" i="51"/>
  <c r="E8" i="51"/>
  <c r="D8" i="51"/>
  <c r="F8" i="25"/>
  <c r="E8" i="25"/>
  <c r="D8" i="25"/>
  <c r="F8" i="50"/>
  <c r="E8" i="50"/>
  <c r="D8" i="50"/>
  <c r="F8" i="49"/>
  <c r="E8" i="49"/>
  <c r="D8" i="49"/>
  <c r="F8" i="48"/>
  <c r="E8" i="48"/>
  <c r="D8" i="48"/>
  <c r="F8" i="21"/>
  <c r="E8" i="21"/>
  <c r="D8" i="21"/>
  <c r="F8" i="20"/>
  <c r="E8" i="20"/>
  <c r="D8" i="20"/>
  <c r="F8" i="19"/>
  <c r="E8" i="19"/>
  <c r="D8" i="19"/>
  <c r="F8" i="17"/>
  <c r="E8" i="17"/>
  <c r="D8" i="17"/>
  <c r="F8" i="16"/>
  <c r="E8" i="16"/>
  <c r="D8" i="16"/>
  <c r="F8" i="66"/>
  <c r="E8" i="66"/>
  <c r="D8" i="66"/>
  <c r="F8" i="72"/>
  <c r="E8" i="72"/>
  <c r="D8" i="72"/>
  <c r="F8" i="14"/>
  <c r="E8" i="14"/>
  <c r="D8" i="14"/>
  <c r="F8" i="69"/>
  <c r="E8" i="69"/>
  <c r="D8" i="69"/>
  <c r="F8" i="71"/>
  <c r="E8" i="71"/>
  <c r="D8" i="71"/>
  <c r="F8" i="13"/>
  <c r="E8" i="13"/>
  <c r="D8" i="13"/>
  <c r="F8" i="12"/>
  <c r="E8" i="12"/>
  <c r="D8" i="12"/>
  <c r="F8" i="11"/>
  <c r="E8" i="11"/>
  <c r="D8" i="11"/>
  <c r="F8" i="65"/>
  <c r="E8" i="65"/>
  <c r="D8" i="65"/>
  <c r="F8" i="8"/>
  <c r="E8" i="8"/>
  <c r="D8" i="8"/>
  <c r="F8" i="6"/>
  <c r="E8" i="6"/>
  <c r="D8" i="6"/>
  <c r="F8" i="59"/>
  <c r="E8" i="59"/>
  <c r="D8" i="59"/>
  <c r="F8" i="37"/>
  <c r="E8" i="37"/>
  <c r="D8" i="37"/>
  <c r="D2" i="63"/>
  <c r="D2" i="62"/>
  <c r="D2" i="70"/>
  <c r="D2" i="61"/>
  <c r="D2" i="60"/>
  <c r="D2" i="29"/>
  <c r="D2" i="53"/>
  <c r="D2" i="52"/>
  <c r="D2" i="51"/>
  <c r="D2" i="25"/>
  <c r="D2" i="50"/>
  <c r="D2" i="49"/>
  <c r="D2" i="48"/>
  <c r="D2" i="21"/>
  <c r="D2" i="20"/>
  <c r="D2" i="19"/>
  <c r="D2" i="17"/>
  <c r="D2" i="16"/>
  <c r="D2" i="66"/>
  <c r="D2" i="72"/>
  <c r="D2" i="14"/>
  <c r="D2" i="69"/>
  <c r="D2" i="71"/>
  <c r="D2" i="13"/>
  <c r="D2" i="12"/>
  <c r="D2" i="11"/>
  <c r="D2" i="65"/>
  <c r="D2" i="8"/>
  <c r="D2" i="6"/>
  <c r="D2" i="59"/>
  <c r="D2" i="37"/>
  <c r="F30" i="63" l="1"/>
  <c r="F29" i="63" s="1"/>
  <c r="F31" i="63"/>
  <c r="E31" i="63"/>
  <c r="E30" i="63"/>
  <c r="E29" i="63" s="1"/>
  <c r="F15" i="63"/>
  <c r="E15" i="63"/>
  <c r="F29" i="61" l="1"/>
  <c r="F30" i="61"/>
  <c r="E30" i="61"/>
  <c r="E29" i="61"/>
  <c r="E14" i="61"/>
  <c r="F14" i="61" l="1"/>
  <c r="F29" i="60" l="1"/>
  <c r="F28" i="60" s="1"/>
  <c r="F30" i="60"/>
  <c r="E30" i="60"/>
  <c r="E29" i="60"/>
  <c r="E28" i="60" s="1"/>
  <c r="F14" i="60"/>
  <c r="E14" i="60"/>
  <c r="F30" i="29" l="1"/>
  <c r="F31" i="29"/>
  <c r="E31" i="29"/>
  <c r="E30" i="29"/>
  <c r="E15" i="29"/>
  <c r="F29" i="29" l="1"/>
  <c r="E29" i="29"/>
  <c r="F15" i="29"/>
  <c r="F30" i="53" l="1"/>
  <c r="F31" i="53"/>
  <c r="E31" i="53"/>
  <c r="E30" i="53"/>
  <c r="F15" i="53"/>
  <c r="E15" i="53"/>
  <c r="F29" i="53" l="1"/>
  <c r="E29" i="53"/>
  <c r="F30" i="52"/>
  <c r="F31" i="52"/>
  <c r="F29" i="52" s="1"/>
  <c r="E31" i="52"/>
  <c r="E30" i="52"/>
  <c r="E15" i="52"/>
  <c r="F15" i="52"/>
  <c r="E29" i="52" l="1"/>
  <c r="F30" i="51"/>
  <c r="F31" i="51"/>
  <c r="E31" i="51"/>
  <c r="E30" i="51"/>
  <c r="F29" i="51" l="1"/>
  <c r="E29" i="51"/>
  <c r="F15" i="51"/>
  <c r="E15" i="51"/>
  <c r="F30" i="17" l="1"/>
  <c r="F31" i="17"/>
  <c r="E31" i="17"/>
  <c r="E30" i="17"/>
  <c r="F15" i="17"/>
  <c r="E15" i="17" l="1"/>
  <c r="F30" i="16" l="1"/>
  <c r="F31" i="16"/>
  <c r="E31" i="16"/>
  <c r="E30" i="16"/>
  <c r="E15" i="16"/>
  <c r="F15" i="16" l="1"/>
  <c r="F30" i="66" l="1"/>
  <c r="F31" i="66"/>
  <c r="E31" i="66"/>
  <c r="E30" i="66"/>
  <c r="F15" i="66" l="1"/>
  <c r="E15" i="66"/>
  <c r="F30" i="14" l="1"/>
  <c r="F31" i="14"/>
  <c r="E31" i="14"/>
  <c r="E30" i="14"/>
  <c r="F15" i="14"/>
  <c r="E15" i="14"/>
  <c r="F30" i="69" l="1"/>
  <c r="F31" i="69"/>
  <c r="E31" i="69"/>
  <c r="E30" i="69"/>
  <c r="F30" i="71" l="1"/>
  <c r="F31" i="71"/>
  <c r="E31" i="71"/>
  <c r="E30" i="71"/>
  <c r="F30" i="13" l="1"/>
  <c r="F31" i="13"/>
  <c r="E31" i="13"/>
  <c r="E30" i="13"/>
  <c r="F15" i="13"/>
  <c r="E15" i="13"/>
  <c r="E15" i="12" l="1"/>
  <c r="F15" i="12"/>
  <c r="F30" i="12"/>
  <c r="F31" i="12"/>
  <c r="E31" i="12"/>
  <c r="E30" i="12"/>
  <c r="F30" i="11" l="1"/>
  <c r="F31" i="11"/>
  <c r="E31" i="11"/>
  <c r="E30" i="11"/>
  <c r="F15" i="11" l="1"/>
  <c r="E15" i="11" l="1"/>
  <c r="F30" i="65" l="1"/>
  <c r="F31" i="65"/>
  <c r="E31" i="65"/>
  <c r="E30" i="65"/>
  <c r="F15" i="65" l="1"/>
  <c r="E15" i="65"/>
  <c r="F30" i="8" l="1"/>
  <c r="F31" i="8"/>
  <c r="E31" i="8"/>
  <c r="E30" i="8"/>
  <c r="F15" i="8"/>
  <c r="E15" i="8"/>
  <c r="F30" i="6" l="1"/>
  <c r="F31" i="6"/>
  <c r="E31" i="6"/>
  <c r="E30" i="6"/>
  <c r="E15" i="6"/>
  <c r="F15" i="6"/>
  <c r="F30" i="59" l="1"/>
  <c r="F31" i="59"/>
  <c r="E31" i="59"/>
  <c r="E30" i="59"/>
  <c r="F15" i="59"/>
  <c r="E15" i="59" l="1"/>
  <c r="E15" i="37" l="1"/>
  <c r="F30" i="37"/>
  <c r="E30" i="37"/>
  <c r="E29" i="37" s="1"/>
  <c r="F30" i="36" l="1"/>
  <c r="E30" i="36"/>
  <c r="E29" i="36" s="1"/>
  <c r="E15" i="36"/>
  <c r="F30" i="25" l="1"/>
  <c r="F31" i="25"/>
  <c r="E31" i="25"/>
  <c r="E30" i="25"/>
  <c r="F15" i="25"/>
  <c r="E15" i="25"/>
  <c r="F29" i="25" l="1"/>
  <c r="E29" i="25"/>
  <c r="F30" i="50"/>
  <c r="F31" i="50"/>
  <c r="E31" i="50"/>
  <c r="E30" i="50"/>
  <c r="F15" i="50"/>
  <c r="E15" i="50"/>
  <c r="F29" i="50" l="1"/>
  <c r="E29" i="50"/>
  <c r="F29" i="71"/>
  <c r="E29" i="71"/>
  <c r="F15" i="71"/>
  <c r="E15" i="71"/>
  <c r="F30" i="49" l="1"/>
  <c r="F31" i="49"/>
  <c r="E31" i="49"/>
  <c r="E30" i="49"/>
  <c r="F15" i="49"/>
  <c r="E15" i="49"/>
  <c r="E29" i="49" l="1"/>
  <c r="F29" i="49"/>
  <c r="F30" i="48"/>
  <c r="F31" i="48"/>
  <c r="E31" i="48"/>
  <c r="E30" i="48"/>
  <c r="F15" i="48"/>
  <c r="E15" i="48"/>
  <c r="F29" i="48" l="1"/>
  <c r="E29" i="48"/>
  <c r="F30" i="21"/>
  <c r="F31" i="21"/>
  <c r="E31" i="21"/>
  <c r="E30" i="21"/>
  <c r="F15" i="21"/>
  <c r="E15" i="21"/>
  <c r="F29" i="21" l="1"/>
  <c r="E29" i="21"/>
  <c r="F30" i="20"/>
  <c r="F31" i="20"/>
  <c r="E31" i="20"/>
  <c r="E30" i="20"/>
  <c r="F15" i="20"/>
  <c r="E15" i="20"/>
  <c r="F29" i="20" l="1"/>
  <c r="E29" i="20"/>
  <c r="F30" i="19"/>
  <c r="F31" i="19"/>
  <c r="E31" i="19"/>
  <c r="E30" i="19"/>
  <c r="F15" i="19"/>
  <c r="E15" i="19"/>
  <c r="F29" i="19" l="1"/>
  <c r="E29" i="19"/>
  <c r="F30" i="62"/>
  <c r="F31" i="62"/>
  <c r="F29" i="62" s="1"/>
  <c r="E31" i="62"/>
  <c r="E30" i="62"/>
  <c r="F15" i="62"/>
  <c r="E15" i="62"/>
  <c r="F33" i="70"/>
  <c r="B62" i="70"/>
  <c r="B60" i="70"/>
  <c r="E33" i="70"/>
  <c r="F32" i="70"/>
  <c r="E32" i="70"/>
  <c r="F17" i="70"/>
  <c r="E17" i="70"/>
  <c r="E31" i="70" l="1"/>
  <c r="E29" i="62"/>
  <c r="F31" i="70"/>
  <c r="E29" i="69" l="1"/>
  <c r="E15" i="69"/>
  <c r="F15" i="69" l="1"/>
  <c r="F29" i="69" l="1"/>
  <c r="E29" i="65" l="1"/>
  <c r="E29" i="66"/>
  <c r="F29" i="66"/>
  <c r="F29" i="65"/>
  <c r="E28" i="61" l="1"/>
  <c r="F28" i="61"/>
  <c r="F29" i="36" l="1"/>
  <c r="F31" i="37"/>
  <c r="F29" i="37" s="1"/>
  <c r="E31" i="37"/>
  <c r="F29" i="11"/>
  <c r="F29" i="12"/>
  <c r="E29" i="12"/>
  <c r="F29" i="13"/>
  <c r="F29" i="17"/>
  <c r="E29" i="17"/>
  <c r="F29" i="6"/>
  <c r="F29" i="14" l="1"/>
  <c r="E29" i="8"/>
  <c r="F29" i="16"/>
  <c r="E29" i="16"/>
  <c r="E29" i="14"/>
  <c r="F29" i="8"/>
  <c r="E29" i="13"/>
  <c r="E29" i="59"/>
  <c r="E29" i="11" l="1"/>
  <c r="E29" i="6" l="1"/>
  <c r="F29" i="59" l="1"/>
</calcChain>
</file>

<file path=xl/sharedStrings.xml><?xml version="1.0" encoding="utf-8"?>
<sst xmlns="http://schemas.openxmlformats.org/spreadsheetml/2006/main" count="7154" uniqueCount="220">
  <si>
    <t>№ п/п</t>
  </si>
  <si>
    <t>-</t>
  </si>
  <si>
    <t>Нарвская ГЭС-13</t>
  </si>
  <si>
    <t>Каскад Свирских ГЭС (Каскад-2)</t>
  </si>
  <si>
    <t>Приложение №4</t>
  </si>
  <si>
    <t>(г.Санкт-Петербург)</t>
  </si>
  <si>
    <t>Наименование показателей</t>
  </si>
  <si>
    <t>Ед.изм.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</si>
  <si>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</si>
  <si>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</si>
  <si>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</si>
  <si>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</si>
  <si>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 мощности на собственные и (или) хозяйственные нужды</t>
  </si>
  <si>
    <t>3.</t>
  </si>
  <si>
    <t>Производство электрической энергии</t>
  </si>
  <si>
    <t>млн.кВтч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</si>
  <si>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</si>
  <si>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</si>
  <si>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</si>
  <si>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</si>
  <si>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тыс.Гкал</t>
  </si>
  <si>
    <t>6.</t>
  </si>
  <si>
    <t>Отпуск тепловой энергии в сеть</t>
  </si>
  <si>
    <t>7.</t>
  </si>
  <si>
    <t>Необходимая валовая выручка  всего:</t>
  </si>
  <si>
    <t>млн.руб.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</si>
  <si>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</si>
  <si>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</si>
  <si>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</si>
  <si>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</si>
  <si>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</si>
  <si>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 отпускаемую с коллекторов источников</t>
  </si>
  <si>
    <t>8.1.</t>
  </si>
  <si>
    <t>топливо на э/э</t>
  </si>
  <si>
    <t>УРУТ (удельный расход условного топлива) на э/э</t>
  </si>
  <si>
    <t>г/кВтч</t>
  </si>
  <si>
    <t>8.2.</t>
  </si>
  <si>
    <t>топливо на т/э</t>
  </si>
  <si>
    <t>УРУТ (удельный расход условного топлива) на т/э</t>
  </si>
  <si>
    <t>кг/Гкал</t>
  </si>
  <si>
    <t>Реквизиты решения по УРУТ на отпуск электрической и тепловой энергии</t>
  </si>
  <si>
    <t>9.</t>
  </si>
  <si>
    <t>Амортизация</t>
  </si>
  <si>
    <t>10.</t>
  </si>
  <si>
    <t>Показатели численности персонала и фонда оплаты труда по регулируемым видам деятельности</t>
  </si>
  <si>
    <t>10.1.</t>
  </si>
  <si>
    <t>Среднесписочная численность персонала</t>
  </si>
  <si>
    <t>чел.</t>
  </si>
  <si>
    <t>10.2.</t>
  </si>
  <si>
    <t xml:space="preserve">Среднемесячная заработная плата на одного работника </t>
  </si>
  <si>
    <t>тыс. руб./чел.</t>
  </si>
  <si>
    <t>10.3.</t>
  </si>
  <si>
    <t>Реквизиты отраслевого тарифного соглашения (дата утверждения, срок действия)</t>
  </si>
  <si>
    <t>11.</t>
  </si>
  <si>
    <t>Расходы на производство в т.ч.: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</si>
  <si>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</si>
  <si>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</si>
  <si>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</si>
  <si>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</si>
  <si>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</si>
  <si>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 отпускаемую с коллекторов источников</t>
  </si>
  <si>
    <t>12.</t>
  </si>
  <si>
    <t>Объем перекрестного субсидирования всего, в том числе:</t>
  </si>
  <si>
    <t>12.1.</t>
  </si>
  <si>
    <t>- от производства тепловой энергии</t>
  </si>
  <si>
    <t>12.2.</t>
  </si>
  <si>
    <t>- от производства электрической энергии</t>
  </si>
  <si>
    <t>13.</t>
  </si>
  <si>
    <t>Необходимые расходы из прибыли, в т.ч.</t>
  </si>
  <si>
    <t>13.1.</t>
  </si>
  <si>
    <t>13.2.</t>
  </si>
  <si>
    <t>13.3.</t>
  </si>
  <si>
    <t>14.</t>
  </si>
  <si>
    <t>Капитальные вложения из прибыли (с учетом налога на прибыль), в т.ч.</t>
  </si>
  <si>
    <t>14.1.</t>
  </si>
  <si>
    <t>14.2.</t>
  </si>
  <si>
    <t>14.3.</t>
  </si>
  <si>
    <t>15.</t>
  </si>
  <si>
    <t>Чистая прибыль (убыток)</t>
  </si>
  <si>
    <t>16.</t>
  </si>
  <si>
    <t>Рентабельность продаж (величина прибыли от продажи в каждом рубле выручки).</t>
  </si>
  <si>
    <t>%</t>
  </si>
  <si>
    <t>17.</t>
  </si>
  <si>
    <t>Реквизиты инвестиционной программы (кем утверждена, дата утверждения, номер приказа/решения, Интернет-адрес размещения)</t>
  </si>
  <si>
    <t>Примечания:</t>
  </si>
  <si>
    <t>*</t>
  </si>
  <si>
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</si>
  <si>
    <t xml:space="preserve"> Правобережная ТЭЦ-5 ПГУ-450 ДПМ </t>
  </si>
  <si>
    <t>(Ленинградская область)</t>
  </si>
  <si>
    <t>Примечание:</t>
  </si>
  <si>
    <t>Южная ТЭЦ-22 без ДПМ</t>
  </si>
  <si>
    <t>Волховская ГЭС-6</t>
  </si>
  <si>
    <t>Раздел 2.  Основные показатели деятельности генерирующих объектов ПАО "ТГК-1"*</t>
  </si>
  <si>
    <t xml:space="preserve">Выборгская ТЭЦ-17 </t>
  </si>
  <si>
    <t>Центральная ТЭЦ (ГТУ-1) ДПМ</t>
  </si>
  <si>
    <t>Центральная ТЭЦ (ГТУ-2) ДПМ</t>
  </si>
  <si>
    <t xml:space="preserve"> Лесогорская ГЭС-10  ГГ-1 отказ от ДПМ</t>
  </si>
  <si>
    <t>Лесогорская ГЭС-10  ГГ-2  отказ от ДПМ</t>
  </si>
  <si>
    <t>Лесогорская ГЭС-10 ГГ-3  отказ от ДПМ</t>
  </si>
  <si>
    <t>Лесогорская ГЭС-10 ГГ-4 отказ от ДПМ</t>
  </si>
  <si>
    <t>Светогорская ГЭС-11 ГГ-1 отказ от ДПМ</t>
  </si>
  <si>
    <t>Светогорская ГЭС-11 ГГ-2 отказ от ДПМ</t>
  </si>
  <si>
    <t>Светогорская ГЭС-11 ГГ-3 отказ от ДПМ</t>
  </si>
  <si>
    <t>Светогорская ГЭС-11 ГГ-4 отказ от ДПМ</t>
  </si>
  <si>
    <t xml:space="preserve"> Правобережная ТЭЦ-5 Бл-1</t>
  </si>
  <si>
    <t>Раздел 3. Цены (тарифы) по регулируемым видам деятельности организации</t>
  </si>
  <si>
    <t>№ 
п/п</t>
  </si>
  <si>
    <t>1-е полугодие</t>
  </si>
  <si>
    <t>2-е полугодие</t>
  </si>
  <si>
    <t>руб./МВт в мес.</t>
  </si>
  <si>
    <t>Для генерирующих объектов</t>
  </si>
  <si>
    <t>4.1.</t>
  </si>
  <si>
    <t>цена на электрическую энергию</t>
  </si>
  <si>
    <t>руб./тыс. кВт·ч</t>
  </si>
  <si>
    <t>в том числе топливная составляющая</t>
  </si>
  <si>
    <t>4.2.</t>
  </si>
  <si>
    <t>цена на генерирующую мощность</t>
  </si>
  <si>
    <t xml:space="preserve">Приложение № 5
</t>
  </si>
  <si>
    <r>
      <t>_____</t>
    </r>
    <r>
      <rPr>
        <sz val="10"/>
        <rFont val="Arial"/>
        <family val="2"/>
        <charset val="204"/>
      </rPr>
      <t>*</t>
    </r>
    <r>
      <rPr>
        <sz val="10"/>
        <color indexed="9"/>
        <rFont val="Arial"/>
        <family val="2"/>
        <charset val="204"/>
      </rPr>
      <t>_</t>
    </r>
    <r>
      <rPr>
        <sz val="10"/>
        <rFont val="Arial"/>
        <family val="2"/>
        <charset val="204"/>
      </rPr>
      <t>Базовый период - год, предшествующий расчетному периоду регулирования.</t>
    </r>
  </si>
  <si>
    <t>Основные показатели деятельности генерирующих объектов ПАО "ТГК-1"</t>
  </si>
  <si>
    <t>Раздел 2. Основные показатели деятельности генерирующих объектов ПАО "ТГК-1"</t>
  </si>
  <si>
    <t>(Республика Карелия)</t>
  </si>
  <si>
    <t>Апатитская ТЭЦ филиала "Кольский" ПАО "ТГК-1" (Мурманская область)</t>
  </si>
  <si>
    <t>Каскады Кольских ГЭС филиала "Кольский"  ПАО "ТГК-1" (Мурманская область)</t>
  </si>
  <si>
    <t>Каскад Выгских ГЭС  филиала "Карельский" ПАО "ТГК-1"</t>
  </si>
  <si>
    <t>Каскад Кемских ГЭС  филиала "Карельский" ПАО "ТГК-1"</t>
  </si>
  <si>
    <t xml:space="preserve">Василеостровская ТЭЦ-7 ТГ-3 </t>
  </si>
  <si>
    <t>Каскад Свирских ГЭС (Каскад-2) (Ленинградская область)</t>
  </si>
  <si>
    <t>Светогорская ГЭС-11 ГГ-4 отказ от ДПМ (Ленинградская область)</t>
  </si>
  <si>
    <t>Светогорская ГЭС-11 ГГ-3 отказ от ДПМ (Ленинградская область)</t>
  </si>
  <si>
    <t>Светогорская ГЭС-11 ГГ-2 отказ от ДПМ (Ленинградская область)</t>
  </si>
  <si>
    <t>Светогорская ГЭС-11 ГГ-1 отказ от ДПМ (Ленинградская область)</t>
  </si>
  <si>
    <t>Лесогорская ГЭС-10 ГГ-4 отказ от ДПМ (Ленинградская область)</t>
  </si>
  <si>
    <t>Лесогорская ГЭС-10 ГГ-3 отказ от ДПМ (Ленинградская область)</t>
  </si>
  <si>
    <t>Лесогорская ГЭС-10 ГГ-2 отказ от ДПМ (Ленинградская область)</t>
  </si>
  <si>
    <t>Лесогорская ГЭС-10 ГГ-1 отказ от ДПМ (Ленинградская область)</t>
  </si>
  <si>
    <t>Нарвская ГЭС-13 (Ленинградская область)</t>
  </si>
  <si>
    <t>Волховская ГЭС-6 (Ленинградская область)</t>
  </si>
  <si>
    <t>Южная ТЭЦ-22 без ДПМ (г.Санкт-Петербург)</t>
  </si>
  <si>
    <t>Выборгская ТЭЦ-17 (г.Санкт-Петербург)</t>
  </si>
  <si>
    <t>Автовская ТЭЦ-15 (г.Санкт-Петербург)</t>
  </si>
  <si>
    <t>Василеостровская ТЭЦ-7 ТГ-3 (г.Санкт-Петербург)</t>
  </si>
  <si>
    <t xml:space="preserve"> Правобережная ТЭЦ-5 ПГУ-450 ДПМ (г.Санкт-Петербург)</t>
  </si>
  <si>
    <t xml:space="preserve"> Правобережная ТЭЦ-5 Бл-1 (г.Санкт-Петербург)</t>
  </si>
  <si>
    <t>Центральная ТЭЦ (ГТУ-2) ДПМ (г.Санкт-Петербург)</t>
  </si>
  <si>
    <t>Центральная ТЭЦ (ГТУ-1) ДПМ (г.Санкт-Петербург)</t>
  </si>
  <si>
    <t>в том числе топливная составляющая**</t>
  </si>
  <si>
    <t>Василеостровская ТЭЦ-7 ТГ-4,5</t>
  </si>
  <si>
    <t>Первомайская ТЭЦ-14 БЛ-1  (г.Санкт-Петербург)</t>
  </si>
  <si>
    <t xml:space="preserve">Первомайская ТЭЦ-14 БЛ-1 </t>
  </si>
  <si>
    <t>Первомайская ТЭЦ-14 БЛ-2</t>
  </si>
  <si>
    <t>Первомайская ТЭЦ-14 БЛ-2 (г.Санкт-Петербург)</t>
  </si>
  <si>
    <t>Василеостровская ТЭЦ-7 ТГ-4,5 (г.Санкт-Петербург)</t>
  </si>
  <si>
    <t xml:space="preserve">Южная ТЭЦ-22 БЛ-4 </t>
  </si>
  <si>
    <t>Южная ТЭЦ-22 БЛ-4 (г.Санкт-Петербург)</t>
  </si>
  <si>
    <t>Приложение №1</t>
  </si>
  <si>
    <t>Предложение о размере цен (тарифов)</t>
  </si>
  <si>
    <t xml:space="preserve">на электрическую энергию (мощность), поставляемую в ценовых зонах </t>
  </si>
  <si>
    <t>оптового рынка субъектами оптового рынка - производителями электрической</t>
  </si>
  <si>
    <t xml:space="preserve">энергии (мощности) по договорам, заключенным в соответствии </t>
  </si>
  <si>
    <t xml:space="preserve"> с законодательством Россиийской Федерации с гарантирующими поставщиками</t>
  </si>
  <si>
    <t xml:space="preserve">(энергоснабжающими организациями, энергосбытовыми организациями, </t>
  </si>
  <si>
    <t xml:space="preserve">к числу покупателей электрической энергии (мощности) которых относятся </t>
  </si>
  <si>
    <t>население и (или) приравненные к нему категории потребителей), в целях</t>
  </si>
  <si>
    <t xml:space="preserve">обеспечения потребления электрической энергии населением </t>
  </si>
  <si>
    <t>и (или) приравненными к нему категориями потребителей</t>
  </si>
  <si>
    <t>Публичное акционерное общество "Территориальная генерирующая компания №1"</t>
  </si>
  <si>
    <t>Раздел 1. Информация об организации</t>
  </si>
  <si>
    <t>Полное наименование</t>
  </si>
  <si>
    <t>Сокращенное наименование</t>
  </si>
  <si>
    <t>ПАО "ТГК-1"</t>
  </si>
  <si>
    <t>Юридический адрес</t>
  </si>
  <si>
    <t>197198, Санкт-Петербург, пр. Добролюбова, 16, корп.2А, помещение 54Н</t>
  </si>
  <si>
    <t>Фактический адрес</t>
  </si>
  <si>
    <t>197198, Санкт-Петербург, пр. Добролюбова, 16, корп.2, литера А</t>
  </si>
  <si>
    <t>ИНН</t>
  </si>
  <si>
    <t>КПП</t>
  </si>
  <si>
    <t>ФИО руководителя</t>
  </si>
  <si>
    <t>Адрес электронной почты</t>
  </si>
  <si>
    <t xml:space="preserve">office@tgc1.ru </t>
  </si>
  <si>
    <t>Контактный телефон</t>
  </si>
  <si>
    <t>+7 (812) 688-36-06</t>
  </si>
  <si>
    <t>Факс</t>
  </si>
  <si>
    <t>+7 (812) 688-34-77</t>
  </si>
  <si>
    <t>Автовская ТЭЦ-15 без ДПМ</t>
  </si>
  <si>
    <t>Автовская ТЭЦ-15 Г-7 (МОД)</t>
  </si>
  <si>
    <t>Ед. изм.</t>
  </si>
  <si>
    <t>Петрозаводская ТЭЦ</t>
  </si>
  <si>
    <t>(наименование генерирующего объекта)</t>
  </si>
  <si>
    <t>Республика Карелия</t>
  </si>
  <si>
    <t>(наименование субъекта РФ)</t>
  </si>
  <si>
    <t>Автовская ТЭЦ-15 Г-7 (МОД) (г.Санкт-Петербург)</t>
  </si>
  <si>
    <t>Автовская ТЭЦ-15 Г-6 (МОД) (г.Санкт-Петербург)</t>
  </si>
  <si>
    <t>Автовская ТЭЦ-15 Г-6 (МОД)</t>
  </si>
  <si>
    <t>Приказ Минэнерго России от 20.12.2023 №1191</t>
  </si>
  <si>
    <t>Приказ Минэнерго России от 12.12.2023 №1145</t>
  </si>
  <si>
    <t>Приказ Минэнерго России от 20.10.2023 №924</t>
  </si>
  <si>
    <t>цена на генерирующую мощность**</t>
  </si>
  <si>
    <t>**</t>
  </si>
  <si>
    <t>Северная ТЭЦ-21 Г-4 (МОД)</t>
  </si>
  <si>
    <t>Северная ТЭЦ-21 Г-4 (МОД) (Ленинградская область)</t>
  </si>
  <si>
    <t>Северная ТЭЦ-21 без ДПМ</t>
  </si>
  <si>
    <t>Северная ТЭЦ-21 без ДПМ (Ленинградская область)</t>
  </si>
  <si>
    <t>Приказ Минэнерго России от 09.11.2023 №1025</t>
  </si>
  <si>
    <t>Приказ Минэнерго России от 12.12.2023 № 1144</t>
  </si>
  <si>
    <t xml:space="preserve">Цена на генерирующую мощность на 2024 год, поставляемую по регулируемым договорам, утверждена в разбивке по каждому месяцу регулируемого периода </t>
  </si>
  <si>
    <t>Информаци скрыта на основании Указа Президента РФ от 27.10.2023 №903 и Приказа ПАО "ТГК-1" от 26.12.2024 №200</t>
  </si>
  <si>
    <t>к предложению ПАО "ТГК-1"                             о размере цен (тарифов) на электрическую энергию (мощность) на 2026 год</t>
  </si>
  <si>
    <t>на 2026 год</t>
  </si>
  <si>
    <t>к предложению ПАО "ТГК-1" о размере цен (тарифов) на электрическую энергию (мощность) на 2026 год</t>
  </si>
  <si>
    <t xml:space="preserve">Фактические показатели за год, предшествующий базовому периоду (2024г.) </t>
  </si>
  <si>
    <t>Показатели, утвержденные на базовый период (2025г.)</t>
  </si>
  <si>
    <t>Предложения на расчетный период регулирования (2026г.)</t>
  </si>
  <si>
    <t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t>
  </si>
  <si>
    <t>Фактические показатели за год, предшествующий базовому периоду (2024г.)</t>
  </si>
  <si>
    <t>Показатели, утвержденные на базовый период (2025г.)*</t>
  </si>
  <si>
    <t xml:space="preserve">Цена на генерирующую мощность Автовской ТЭЦ Г-7 (МОД), поставляемую по регулируемым договорам, утверждена в разбивке по каждому месяцу регулируемого периода </t>
  </si>
  <si>
    <t>Приказ Минэнерго от 12.12.2023 № 1145</t>
  </si>
  <si>
    <t>ИП, утвержденная Приказом Министерства строительства, ЖКХ и энергетики Республики Карелия от 20.11.2024 № 346 https://www.tgc1.ru/clients/karelia/disclosure/</t>
  </si>
  <si>
    <t>Приказ Минэнерго и ЖКХ Мурманской области от 15.10.2024 № 211                                https://www.tgc1.ru/clients/apatity/disclosure/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</si>
</sst>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₽_-;\-* #,##0.00\ _₽_-;_-* &quot;-&quot;??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$_-;\-* #,##0_$_-;_-* &quot;-&quot;_$_-;_-@_-"/>
    <numFmt numFmtId="169" formatCode="_-* #,##0.00_$_-;\-* #,##0.00_$_-;_-* &quot;-&quot;??_$_-;_-@_-"/>
    <numFmt numFmtId="170" formatCode="&quot;$&quot;#,##0_);[Red]\(&quot;$&quot;#,##0\)"/>
    <numFmt numFmtId="171" formatCode="_-* #,##0.00&quot;$&quot;_-;\-* #,##0.00&quot;$&quot;_-;_-* &quot;-&quot;??&quot;$&quot;_-;_-@_-"/>
    <numFmt numFmtId="172" formatCode="General_)"/>
    <numFmt numFmtId="173" formatCode="#,##0.000_ ;[Red]\-#,##0.000\ "/>
    <numFmt numFmtId="174" formatCode="#,##0.000"/>
    <numFmt numFmtId="175" formatCode="#,##0.0"/>
    <numFmt numFmtId="176" formatCode="_-* #,##0.000\ _₽_-;\-* #,##0.000\ _₽_-;_-* &quot;-&quot;??\ _₽_-;_-@_-"/>
    <numFmt numFmtId="177" formatCode="0.000"/>
  </numFmts>
  <fonts count="3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0"/>
      <name val="NTHarmonica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 CY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3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>
      <alignment horizontal="left"/>
    </xf>
    <xf numFmtId="172" fontId="6" fillId="0" borderId="3">
      <protection locked="0"/>
    </xf>
    <xf numFmtId="166" fontId="7" fillId="0" borderId="0" applyFont="0" applyFill="0" applyBorder="0" applyAlignment="0" applyProtection="0"/>
    <xf numFmtId="0" fontId="8" fillId="0" borderId="0" applyBorder="0">
      <alignment horizontal="center" vertical="center" wrapText="1"/>
    </xf>
    <xf numFmtId="0" fontId="9" fillId="0" borderId="4" applyBorder="0">
      <alignment horizontal="center" vertical="center" wrapText="1"/>
    </xf>
    <xf numFmtId="172" fontId="10" fillId="2" borderId="3"/>
    <xf numFmtId="4" fontId="11" fillId="3" borderId="2" applyBorder="0">
      <alignment horizontal="right"/>
    </xf>
    <xf numFmtId="0" fontId="12" fillId="0" borderId="0">
      <alignment horizontal="center" vertical="top" wrapText="1"/>
    </xf>
    <xf numFmtId="0" fontId="13" fillId="0" borderId="0">
      <alignment horizontal="center" vertical="center" wrapText="1"/>
    </xf>
    <xf numFmtId="0" fontId="14" fillId="4" borderId="0" applyFill="0">
      <alignment wrapText="1"/>
    </xf>
    <xf numFmtId="0" fontId="7" fillId="0" borderId="0"/>
    <xf numFmtId="0" fontId="15" fillId="0" borderId="0"/>
    <xf numFmtId="49" fontId="14" fillId="0" borderId="0">
      <alignment horizontal="center"/>
    </xf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" fontId="11" fillId="4" borderId="0" applyBorder="0">
      <alignment horizontal="right"/>
    </xf>
    <xf numFmtId="4" fontId="11" fillId="5" borderId="5" applyBorder="0">
      <alignment horizontal="right"/>
    </xf>
    <xf numFmtId="4" fontId="11" fillId="4" borderId="6" applyBorder="0">
      <alignment horizontal="right"/>
    </xf>
    <xf numFmtId="0" fontId="20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0" fontId="27" fillId="0" borderId="0"/>
  </cellStyleXfs>
  <cellXfs count="183">
    <xf numFmtId="0" fontId="0" fillId="0" borderId="0" xfId="0"/>
    <xf numFmtId="0" fontId="17" fillId="0" borderId="0" xfId="0" applyFont="1" applyAlignment="1">
      <alignment horizontal="left" vertical="center" wrapText="1"/>
    </xf>
    <xf numFmtId="0" fontId="19" fillId="0" borderId="0" xfId="0" applyFont="1" applyAlignment="1"/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173" fontId="22" fillId="0" borderId="2" xfId="0" applyNumberFormat="1" applyFont="1" applyBorder="1" applyAlignment="1">
      <alignment horizontal="right" vertical="center" wrapText="1"/>
    </xf>
    <xf numFmtId="174" fontId="22" fillId="0" borderId="2" xfId="0" applyNumberFormat="1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175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23" fillId="0" borderId="0" xfId="0" applyFont="1"/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0" fillId="0" borderId="0" xfId="26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174" fontId="2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74" fontId="17" fillId="0" borderId="2" xfId="0" applyNumberFormat="1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0" xfId="0" applyFont="1"/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top" wrapText="1"/>
    </xf>
    <xf numFmtId="0" fontId="28" fillId="0" borderId="2" xfId="28" applyFont="1" applyBorder="1" applyAlignment="1">
      <alignment horizontal="left" vertical="top" wrapText="1"/>
    </xf>
    <xf numFmtId="0" fontId="28" fillId="0" borderId="2" xfId="28" applyFont="1" applyBorder="1" applyAlignment="1">
      <alignment horizontal="center" vertical="top"/>
    </xf>
    <xf numFmtId="4" fontId="28" fillId="0" borderId="2" xfId="28" applyNumberFormat="1" applyFont="1" applyBorder="1" applyAlignment="1">
      <alignment horizontal="center" vertical="top"/>
    </xf>
    <xf numFmtId="0" fontId="1" fillId="0" borderId="0" xfId="0" applyFont="1"/>
    <xf numFmtId="0" fontId="29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8" fillId="0" borderId="2" xfId="28" applyFont="1" applyBorder="1" applyAlignment="1">
      <alignment horizontal="center" vertical="center" wrapText="1"/>
    </xf>
    <xf numFmtId="175" fontId="0" fillId="0" borderId="0" xfId="0" applyNumberFormat="1"/>
    <xf numFmtId="0" fontId="17" fillId="0" borderId="0" xfId="0" applyFont="1" applyAlignment="1">
      <alignment vertical="center"/>
    </xf>
    <xf numFmtId="4" fontId="0" fillId="0" borderId="0" xfId="0" applyNumberFormat="1"/>
    <xf numFmtId="3" fontId="0" fillId="0" borderId="0" xfId="0" applyNumberFormat="1"/>
    <xf numFmtId="4" fontId="22" fillId="0" borderId="2" xfId="0" applyNumberFormat="1" applyFont="1" applyBorder="1" applyAlignment="1">
      <alignment horizontal="right" vertical="center" wrapText="1"/>
    </xf>
    <xf numFmtId="174" fontId="17" fillId="0" borderId="2" xfId="0" applyNumberFormat="1" applyFont="1" applyFill="1" applyBorder="1" applyAlignment="1">
      <alignment horizontal="right" vertical="center" wrapText="1"/>
    </xf>
    <xf numFmtId="164" fontId="0" fillId="0" borderId="0" xfId="27" applyFont="1"/>
    <xf numFmtId="164" fontId="0" fillId="0" borderId="0" xfId="0" applyNumberFormat="1"/>
    <xf numFmtId="176" fontId="0" fillId="0" borderId="0" xfId="0" applyNumberFormat="1"/>
    <xf numFmtId="0" fontId="18" fillId="0" borderId="2" xfId="0" applyFont="1" applyFill="1" applyBorder="1" applyAlignment="1">
      <alignment horizontal="center" vertical="center"/>
    </xf>
    <xf numFmtId="0" fontId="30" fillId="0" borderId="0" xfId="0" applyFont="1"/>
    <xf numFmtId="0" fontId="19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32" fillId="0" borderId="0" xfId="28" applyFont="1" applyFill="1" applyBorder="1" applyAlignment="1">
      <alignment horizontal="right" vertical="top" wrapText="1"/>
    </xf>
    <xf numFmtId="4" fontId="17" fillId="0" borderId="8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28" fillId="0" borderId="2" xfId="28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33" fillId="0" borderId="0" xfId="0" applyFont="1"/>
    <xf numFmtId="0" fontId="18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vertical="center" wrapText="1"/>
    </xf>
    <xf numFmtId="0" fontId="34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33" fillId="0" borderId="2" xfId="0" applyFont="1" applyBorder="1" applyAlignment="1">
      <alignment vertical="center" wrapText="1"/>
    </xf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left" vertical="center" wrapText="1"/>
    </xf>
    <xf numFmtId="4" fontId="28" fillId="0" borderId="2" xfId="28" applyNumberFormat="1" applyFont="1" applyBorder="1" applyAlignment="1">
      <alignment horizontal="center" vertical="center"/>
    </xf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0" fillId="0" borderId="0" xfId="0" applyFill="1"/>
    <xf numFmtId="0" fontId="19" fillId="0" borderId="0" xfId="0" applyFont="1" applyFill="1" applyAlignment="1"/>
    <xf numFmtId="0" fontId="17" fillId="0" borderId="0" xfId="0" applyFont="1" applyFill="1" applyAlignment="1">
      <alignment horizontal="left" vertical="top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/>
    </xf>
    <xf numFmtId="0" fontId="18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0" xfId="0" applyFont="1" applyFill="1"/>
    <xf numFmtId="0" fontId="17" fillId="0" borderId="0" xfId="0" applyFont="1" applyFill="1" applyAlignment="1">
      <alignment horizontal="right" vertical="top"/>
    </xf>
    <xf numFmtId="0" fontId="14" fillId="0" borderId="0" xfId="0" applyFont="1" applyFill="1"/>
    <xf numFmtId="0" fontId="19" fillId="0" borderId="0" xfId="0" applyFont="1" applyFill="1" applyAlignment="1">
      <alignment vertical="center" wrapText="1"/>
    </xf>
    <xf numFmtId="0" fontId="28" fillId="0" borderId="2" xfId="28" applyFont="1" applyFill="1" applyBorder="1" applyAlignment="1">
      <alignment horizontal="center" vertical="center" wrapText="1"/>
    </xf>
    <xf numFmtId="0" fontId="28" fillId="0" borderId="2" xfId="28" applyFont="1" applyFill="1" applyBorder="1" applyAlignment="1">
      <alignment horizontal="center" vertical="top" wrapText="1"/>
    </xf>
    <xf numFmtId="0" fontId="28" fillId="0" borderId="2" xfId="28" applyFont="1" applyFill="1" applyBorder="1" applyAlignment="1">
      <alignment horizontal="left" vertical="top" wrapText="1"/>
    </xf>
    <xf numFmtId="0" fontId="28" fillId="0" borderId="2" xfId="28" applyFont="1" applyFill="1" applyBorder="1" applyAlignment="1">
      <alignment horizontal="center" vertical="top"/>
    </xf>
    <xf numFmtId="0" fontId="28" fillId="0" borderId="2" xfId="28" applyFont="1" applyFill="1" applyBorder="1" applyAlignment="1">
      <alignment horizontal="left" vertical="center" wrapText="1"/>
    </xf>
    <xf numFmtId="4" fontId="28" fillId="0" borderId="2" xfId="28" applyNumberFormat="1" applyFont="1" applyFill="1" applyBorder="1" applyAlignment="1">
      <alignment horizontal="center" vertical="center"/>
    </xf>
    <xf numFmtId="177" fontId="0" fillId="0" borderId="0" xfId="0" applyNumberFormat="1" applyFill="1"/>
    <xf numFmtId="0" fontId="29" fillId="0" borderId="0" xfId="0" applyFont="1" applyFill="1" applyAlignment="1">
      <alignment horizontal="left" vertical="top"/>
    </xf>
    <xf numFmtId="0" fontId="1" fillId="0" borderId="0" xfId="0" applyFont="1" applyFill="1"/>
    <xf numFmtId="0" fontId="28" fillId="0" borderId="0" xfId="28" applyFont="1" applyFill="1" applyBorder="1" applyAlignment="1">
      <alignment horizontal="right" vertical="center" wrapText="1"/>
    </xf>
    <xf numFmtId="4" fontId="28" fillId="0" borderId="2" xfId="28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3" fillId="0" borderId="9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20" fillId="0" borderId="9" xfId="26" applyBorder="1" applyAlignment="1">
      <alignment horizontal="left" vertical="center" wrapText="1"/>
    </xf>
    <xf numFmtId="49" fontId="33" fillId="0" borderId="9" xfId="0" applyNumberFormat="1" applyFont="1" applyBorder="1" applyAlignment="1">
      <alignment horizontal="left" vertical="center" wrapText="1"/>
    </xf>
    <xf numFmtId="49" fontId="33" fillId="0" borderId="10" xfId="0" applyNumberFormat="1" applyFont="1" applyBorder="1" applyAlignment="1">
      <alignment horizontal="left" vertical="center" wrapText="1"/>
    </xf>
    <xf numFmtId="0" fontId="31" fillId="0" borderId="0" xfId="0" applyFont="1" applyAlignment="1">
      <alignment horizontal="center" wrapText="1"/>
    </xf>
    <xf numFmtId="0" fontId="28" fillId="0" borderId="2" xfId="28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32" fillId="0" borderId="0" xfId="28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top" wrapText="1"/>
    </xf>
    <xf numFmtId="0" fontId="28" fillId="0" borderId="2" xfId="28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top" wrapText="1"/>
    </xf>
    <xf numFmtId="0" fontId="2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0" fontId="31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/>
    </xf>
  </cellXfs>
  <cellStyles count="29">
    <cellStyle name="Comma [0]_laroux" xfId="2"/>
    <cellStyle name="Comma_laroux" xfId="3"/>
    <cellStyle name="Currency [0]" xfId="4"/>
    <cellStyle name="Currency_laroux" xfId="5"/>
    <cellStyle name="Normal_ASUS" xfId="6"/>
    <cellStyle name="Normal1" xfId="7"/>
    <cellStyle name="Price_Body" xfId="8"/>
    <cellStyle name="Беззащитный" xfId="9"/>
    <cellStyle name="Гиперссылка" xfId="26" builtinId="8"/>
    <cellStyle name="Денежный 2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7"/>
    <cellStyle name="Мой заголовок" xfId="15"/>
    <cellStyle name="Мой заголовок листа" xfId="16"/>
    <cellStyle name="Обычный" xfId="0" builtinId="0"/>
    <cellStyle name="Обычный 2" xfId="1"/>
    <cellStyle name="Обычный 3" xfId="18"/>
    <cellStyle name="Обычный_стр.1_5" xfId="28"/>
    <cellStyle name="Стиль 1" xfId="19"/>
    <cellStyle name="Текстовый" xfId="20"/>
    <cellStyle name="Тысячи [0]_3Com" xfId="21"/>
    <cellStyle name="Тысячи_3Com" xfId="22"/>
    <cellStyle name="Финансовый 2" xfId="27"/>
    <cellStyle name="Формула" xfId="23"/>
    <cellStyle name="ФормулаВБ" xfId="24"/>
    <cellStyle name="ФормулаНаКонтроль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25/&#1058;&#1072;&#1088;&#1080;&#1092;&#1099;%20&#1085;&#1072;%20&#1101;&#1083;&#1077;&#1082;&#1090;&#1088;&#1086;&#1101;&#1085;&#1077;&#1088;&#1075;&#1080;&#1102;/&#1056;&#1044;/&#1064;&#1072;&#1073;&#1083;&#1086;&#1085;&#1099;/20.&#1043;&#1069;&#1057;-10%20&#1043;&#1043;-2_2025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26/&#1058;&#1072;&#1088;&#1080;&#1092;&#1099;%20&#1085;&#1072;%20&#1101;&#1083;&#1077;&#1082;&#1090;&#1088;&#1086;&#1101;&#1085;&#1077;&#1088;&#1075;&#1080;&#1102;/&#1056;&#1044;/&#1064;&#1072;&#1073;&#1083;&#1086;&#1085;&#1099;/11.%20&#1058;&#1069;&#1062;-15%20&#1043;-7%202026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modfrmReestr"/>
      <sheetName val="modList00"/>
      <sheetName val="modProv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>
        <row r="18">
          <cell r="E18" t="str">
            <v>Первая ценовая зона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modfrmReestr"/>
      <sheetName val="modList00"/>
      <sheetName val="modProv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J20">
            <v>1459.1734697948546</v>
          </cell>
        </row>
        <row r="26">
          <cell r="J26">
            <v>2.2917859999999997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gc1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13" workbookViewId="0">
      <selection activeCell="K18" sqref="K18"/>
    </sheetView>
  </sheetViews>
  <sheetFormatPr defaultRowHeight="15"/>
  <cols>
    <col min="1" max="1" width="36.85546875" customWidth="1"/>
    <col min="2" max="2" width="29" customWidth="1"/>
    <col min="3" max="3" width="27.5703125" customWidth="1"/>
  </cols>
  <sheetData>
    <row r="1" spans="1:5">
      <c r="A1" s="102"/>
      <c r="C1" s="103" t="s">
        <v>155</v>
      </c>
      <c r="D1" s="104"/>
      <c r="E1" s="104"/>
    </row>
    <row r="2" spans="1:5" ht="58.5" customHeight="1">
      <c r="A2" s="102"/>
      <c r="C2" s="105" t="s">
        <v>207</v>
      </c>
      <c r="D2" s="105"/>
      <c r="E2" s="105"/>
    </row>
    <row r="3" spans="1:5" ht="16.5" customHeight="1">
      <c r="A3" s="102"/>
      <c r="C3" s="105"/>
      <c r="D3" s="105"/>
      <c r="E3" s="105"/>
    </row>
    <row r="4" spans="1:5">
      <c r="A4" s="102"/>
      <c r="B4" s="102"/>
      <c r="C4" s="106"/>
    </row>
    <row r="5" spans="1:5">
      <c r="A5" s="156" t="s">
        <v>156</v>
      </c>
      <c r="B5" s="156"/>
      <c r="C5" s="156"/>
    </row>
    <row r="6" spans="1:5">
      <c r="A6" s="156" t="s">
        <v>157</v>
      </c>
      <c r="B6" s="156"/>
      <c r="C6" s="156"/>
    </row>
    <row r="7" spans="1:5">
      <c r="A7" s="156" t="s">
        <v>158</v>
      </c>
      <c r="B7" s="156"/>
      <c r="C7" s="156"/>
    </row>
    <row r="8" spans="1:5">
      <c r="A8" s="156" t="s">
        <v>159</v>
      </c>
      <c r="B8" s="156"/>
      <c r="C8" s="156"/>
    </row>
    <row r="9" spans="1:5">
      <c r="A9" s="156" t="s">
        <v>160</v>
      </c>
      <c r="B9" s="156"/>
      <c r="C9" s="156"/>
    </row>
    <row r="10" spans="1:5">
      <c r="A10" s="156" t="s">
        <v>161</v>
      </c>
      <c r="B10" s="156"/>
      <c r="C10" s="156"/>
    </row>
    <row r="11" spans="1:5">
      <c r="A11" s="156" t="s">
        <v>162</v>
      </c>
      <c r="B11" s="156"/>
      <c r="C11" s="156"/>
    </row>
    <row r="12" spans="1:5">
      <c r="A12" s="156" t="s">
        <v>163</v>
      </c>
      <c r="B12" s="156"/>
      <c r="C12" s="156"/>
    </row>
    <row r="13" spans="1:5">
      <c r="A13" s="156" t="s">
        <v>164</v>
      </c>
      <c r="B13" s="156"/>
      <c r="C13" s="156"/>
    </row>
    <row r="14" spans="1:5">
      <c r="A14" s="156" t="s">
        <v>165</v>
      </c>
      <c r="B14" s="156"/>
      <c r="C14" s="156"/>
    </row>
    <row r="15" spans="1:5">
      <c r="A15" s="107"/>
      <c r="B15" s="107"/>
      <c r="C15" s="107"/>
    </row>
    <row r="16" spans="1:5">
      <c r="A16" s="156" t="s">
        <v>208</v>
      </c>
      <c r="B16" s="156"/>
      <c r="C16" s="156"/>
    </row>
    <row r="17" spans="1:3">
      <c r="A17" s="107"/>
      <c r="B17" s="107"/>
      <c r="C17" s="107"/>
    </row>
    <row r="18" spans="1:3" ht="27" customHeight="1">
      <c r="A18" s="155" t="s">
        <v>166</v>
      </c>
      <c r="B18" s="155"/>
      <c r="C18" s="155"/>
    </row>
    <row r="19" spans="1:3">
      <c r="A19" s="97"/>
      <c r="B19" s="107"/>
      <c r="C19" s="107"/>
    </row>
    <row r="20" spans="1:3">
      <c r="A20" s="97"/>
      <c r="B20" s="107"/>
      <c r="C20" s="107"/>
    </row>
    <row r="21" spans="1:3">
      <c r="A21" s="108" t="s">
        <v>167</v>
      </c>
      <c r="B21" s="102"/>
    </row>
    <row r="22" spans="1:3">
      <c r="A22" s="102"/>
      <c r="B22" s="102"/>
    </row>
    <row r="23" spans="1:3" ht="31.5" customHeight="1">
      <c r="A23" s="109" t="s">
        <v>168</v>
      </c>
      <c r="B23" s="157" t="s">
        <v>166</v>
      </c>
      <c r="C23" s="158"/>
    </row>
    <row r="24" spans="1:3" ht="20.25" customHeight="1">
      <c r="A24" s="109" t="s">
        <v>169</v>
      </c>
      <c r="B24" s="157" t="s">
        <v>170</v>
      </c>
      <c r="C24" s="158"/>
    </row>
    <row r="25" spans="1:3" ht="33" customHeight="1">
      <c r="A25" s="109" t="s">
        <v>171</v>
      </c>
      <c r="B25" s="157" t="s">
        <v>172</v>
      </c>
      <c r="C25" s="158"/>
    </row>
    <row r="26" spans="1:3" ht="33.75" customHeight="1">
      <c r="A26" s="109" t="s">
        <v>173</v>
      </c>
      <c r="B26" s="157" t="s">
        <v>174</v>
      </c>
      <c r="C26" s="158"/>
    </row>
    <row r="27" spans="1:3">
      <c r="A27" s="109" t="s">
        <v>175</v>
      </c>
      <c r="B27" s="157">
        <v>7841312071</v>
      </c>
      <c r="C27" s="158"/>
    </row>
    <row r="28" spans="1:3">
      <c r="A28" s="109" t="s">
        <v>176</v>
      </c>
      <c r="B28" s="157">
        <v>781301001</v>
      </c>
      <c r="C28" s="158"/>
    </row>
    <row r="29" spans="1:3" ht="52.5" customHeight="1">
      <c r="A29" s="109" t="s">
        <v>177</v>
      </c>
      <c r="B29" s="157" t="s">
        <v>206</v>
      </c>
      <c r="C29" s="158"/>
    </row>
    <row r="30" spans="1:3">
      <c r="A30" s="109" t="s">
        <v>178</v>
      </c>
      <c r="B30" s="159" t="s">
        <v>179</v>
      </c>
      <c r="C30" s="158"/>
    </row>
    <row r="31" spans="1:3">
      <c r="A31" s="109" t="s">
        <v>180</v>
      </c>
      <c r="B31" s="160" t="s">
        <v>181</v>
      </c>
      <c r="C31" s="161"/>
    </row>
    <row r="32" spans="1:3">
      <c r="A32" s="109" t="s">
        <v>182</v>
      </c>
      <c r="B32" s="160" t="s">
        <v>183</v>
      </c>
      <c r="C32" s="161"/>
    </row>
  </sheetData>
  <mergeCells count="22"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28:C28"/>
    <mergeCell ref="A18:C18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6:C16"/>
  </mergeCells>
  <hyperlinks>
    <hyperlink ref="B30" r:id="rId1"/>
  </hyperlinks>
  <pageMargins left="0.7" right="0.7" top="0.75" bottom="0.75" header="0.3" footer="0.3"/>
  <pageSetup paperSize="9" scale="9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L66"/>
  <sheetViews>
    <sheetView topLeftCell="A46" workbookViewId="0">
      <selection activeCell="H23" sqref="H23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168" t="s">
        <v>4</v>
      </c>
      <c r="E1" s="168"/>
      <c r="F1" s="168"/>
    </row>
    <row r="2" spans="1:12" ht="42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184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77.2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4" t="s">
        <v>8</v>
      </c>
      <c r="B9" s="5" t="s">
        <v>9</v>
      </c>
      <c r="C9" s="4" t="s">
        <v>10</v>
      </c>
      <c r="D9" s="6">
        <v>189.66666666666666</v>
      </c>
      <c r="E9" s="6">
        <v>191</v>
      </c>
      <c r="F9" s="6">
        <v>82</v>
      </c>
      <c r="H9" s="167"/>
      <c r="I9" s="167"/>
      <c r="J9" s="167"/>
      <c r="K9" s="167"/>
      <c r="L9" s="167"/>
    </row>
    <row r="10" spans="1:12" ht="63.75">
      <c r="A10" s="7" t="s">
        <v>11</v>
      </c>
      <c r="B10" s="8" t="s">
        <v>12</v>
      </c>
      <c r="C10" s="7" t="s">
        <v>10</v>
      </c>
      <c r="D10" s="13">
        <v>117.81591666666667</v>
      </c>
      <c r="E10" s="9">
        <v>35.986666666666665</v>
      </c>
      <c r="F10" s="9">
        <v>38.602833333333329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400.49803499999996</v>
      </c>
      <c r="E11" s="9">
        <v>429.98399999999998</v>
      </c>
      <c r="F11" s="9">
        <v>328.56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289.58838599999996</v>
      </c>
      <c r="E12" s="9">
        <v>343.98720000000003</v>
      </c>
      <c r="F12" s="9">
        <v>202.45985400000001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1754.509</v>
      </c>
      <c r="E13" s="9">
        <v>2475.39</v>
      </c>
      <c r="F13" s="9">
        <v>1971.77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1742.6605</v>
      </c>
      <c r="E14" s="9">
        <v>2457.1799999999998</v>
      </c>
      <c r="F14" s="9">
        <v>1955.739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463.3002755705898</v>
      </c>
      <c r="F15" s="12">
        <f>F16+F17</f>
        <v>442.04099872382898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f>373219.800179283/1000</f>
        <v>373.21980017928303</v>
      </c>
      <c r="F16" s="9">
        <f>339866.482487535/1000</f>
        <v>339.866482487535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f>90080.4753913068/1000</f>
        <v>90.080475391306791</v>
      </c>
      <c r="F17" s="9">
        <f>102174.516236294/1000</f>
        <v>102.174516236294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f>339750.366654824/1000</f>
        <v>339.75036665482401</v>
      </c>
      <c r="E19" s="9">
        <f>372510.477245676/1000</f>
        <v>372.51047724567599</v>
      </c>
      <c r="F19" s="9">
        <f>339402.487828576/1000</f>
        <v>339.402487828576</v>
      </c>
    </row>
    <row r="20" spans="1:6" ht="25.5">
      <c r="A20" s="7"/>
      <c r="B20" s="8" t="s">
        <v>34</v>
      </c>
      <c r="C20" s="14" t="s">
        <v>35</v>
      </c>
      <c r="D20" s="16">
        <v>198.90620094491814</v>
      </c>
      <c r="E20" s="16">
        <v>180</v>
      </c>
      <c r="F20" s="16">
        <v>180</v>
      </c>
    </row>
    <row r="21" spans="1:6">
      <c r="A21" s="7" t="s">
        <v>36</v>
      </c>
      <c r="B21" s="8" t="s">
        <v>37</v>
      </c>
      <c r="C21" s="7" t="s">
        <v>25</v>
      </c>
      <c r="D21" s="9">
        <f>1788204.54803403/1000</f>
        <v>1788.20454803403</v>
      </c>
      <c r="E21" s="9">
        <f>2529233.22948879/1000</f>
        <v>2529.2332294887901</v>
      </c>
      <c r="F21" s="9">
        <f>2773232.40079524/1000</f>
        <v>2773.2324007952398</v>
      </c>
    </row>
    <row r="22" spans="1:6" ht="25.5">
      <c r="A22" s="7"/>
      <c r="B22" s="8" t="s">
        <v>38</v>
      </c>
      <c r="C22" s="14" t="s">
        <v>39</v>
      </c>
      <c r="D22" s="16">
        <v>174.79314041706255</v>
      </c>
      <c r="E22" s="16">
        <v>171.6</v>
      </c>
      <c r="F22" s="16">
        <v>171.6</v>
      </c>
    </row>
    <row r="23" spans="1:6" ht="63.75">
      <c r="A23" s="7"/>
      <c r="B23" s="8" t="s">
        <v>40</v>
      </c>
      <c r="C23" s="14"/>
      <c r="D23" s="18" t="s">
        <v>1</v>
      </c>
      <c r="E23" s="17" t="s">
        <v>196</v>
      </c>
      <c r="F23" s="17" t="s">
        <v>196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463.3002755705898</v>
      </c>
      <c r="F29" s="12">
        <f>SUM(F30:F32)</f>
        <v>442.04099872382898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373.21980017928303</v>
      </c>
      <c r="F30" s="9">
        <f>F16</f>
        <v>339.866482487535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90.080475391306791</v>
      </c>
      <c r="F31" s="9">
        <f>F17</f>
        <v>102.174516236294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1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 ht="27.75" customHeight="1">
      <c r="A50" s="29"/>
      <c r="B50" s="172"/>
      <c r="C50" s="172"/>
      <c r="D50" s="172"/>
      <c r="E50" s="172"/>
      <c r="F50" s="172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26.25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 ht="15.75" customHeight="1">
      <c r="A58" s="155" t="s">
        <v>140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5" customHeight="1">
      <c r="A60" s="163" t="s">
        <v>106</v>
      </c>
      <c r="B60" s="163" t="s">
        <v>6</v>
      </c>
      <c r="C60" s="163" t="s">
        <v>186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 ht="28.5">
      <c r="A61" s="163"/>
      <c r="B61" s="163"/>
      <c r="C61" s="163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4" t="s">
        <v>111</v>
      </c>
      <c r="B63" s="112" t="s">
        <v>112</v>
      </c>
      <c r="C63" s="114" t="s">
        <v>113</v>
      </c>
      <c r="D63" s="113">
        <v>898.03583951321241</v>
      </c>
      <c r="E63" s="113">
        <v>898.03583951321241</v>
      </c>
      <c r="F63" s="113">
        <f>E63</f>
        <v>898.03583951321241</v>
      </c>
      <c r="G63" s="113">
        <v>1084.9816510012074</v>
      </c>
      <c r="H63" s="113">
        <f>G63</f>
        <v>1084.9816510012074</v>
      </c>
      <c r="I63" s="113">
        <v>1678.6858025074678</v>
      </c>
    </row>
    <row r="64" spans="1:9" ht="28.5">
      <c r="A64" s="114"/>
      <c r="B64" s="112" t="s">
        <v>114</v>
      </c>
      <c r="C64" s="114" t="s">
        <v>113</v>
      </c>
      <c r="D64" s="113">
        <v>896.24725551321251</v>
      </c>
      <c r="E64" s="113">
        <v>896.24725551321251</v>
      </c>
      <c r="F64" s="113">
        <f t="shared" ref="F64:F65" si="0">E64</f>
        <v>896.24725551321251</v>
      </c>
      <c r="G64" s="113">
        <v>1082.9195890012074</v>
      </c>
      <c r="H64" s="113">
        <f t="shared" ref="H64:H65" si="1">G64</f>
        <v>1082.9195890012074</v>
      </c>
      <c r="I64" s="113">
        <v>1676.3940165074678</v>
      </c>
    </row>
    <row r="65" spans="1:9" ht="28.5">
      <c r="A65" s="114" t="s">
        <v>115</v>
      </c>
      <c r="B65" s="112" t="s">
        <v>116</v>
      </c>
      <c r="C65" s="114" t="s">
        <v>109</v>
      </c>
      <c r="D65" s="113">
        <v>183991.16</v>
      </c>
      <c r="E65" s="113">
        <v>197186.19524950229</v>
      </c>
      <c r="F65" s="113">
        <f t="shared" si="0"/>
        <v>197186.19524950229</v>
      </c>
      <c r="G65" s="113">
        <v>208596.87706397459</v>
      </c>
      <c r="H65" s="113">
        <f t="shared" si="1"/>
        <v>208596.87706397459</v>
      </c>
      <c r="I65" s="113">
        <v>220567.82584243434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22" workbookViewId="0">
      <selection activeCell="J70" sqref="J70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168" t="s">
        <v>4</v>
      </c>
      <c r="E1" s="168"/>
      <c r="F1" s="168"/>
    </row>
    <row r="2" spans="1:12" ht="42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116"/>
      <c r="F3" s="116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193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77.2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54" t="s">
        <v>8</v>
      </c>
      <c r="B9" s="5" t="s">
        <v>9</v>
      </c>
      <c r="C9" s="54" t="s">
        <v>10</v>
      </c>
      <c r="D9" s="6">
        <v>123</v>
      </c>
      <c r="E9" s="6">
        <v>123</v>
      </c>
      <c r="F9" s="6">
        <v>123</v>
      </c>
      <c r="H9" s="167"/>
      <c r="I9" s="167"/>
      <c r="J9" s="167"/>
      <c r="K9" s="167"/>
      <c r="L9" s="167"/>
    </row>
    <row r="10" spans="1:12" ht="63.75">
      <c r="A10" s="117" t="s">
        <v>11</v>
      </c>
      <c r="B10" s="8" t="s">
        <v>12</v>
      </c>
      <c r="C10" s="117" t="s">
        <v>10</v>
      </c>
      <c r="D10" s="13">
        <v>113.0805</v>
      </c>
      <c r="E10" s="9">
        <v>115.1208</v>
      </c>
      <c r="F10" s="9">
        <v>114.09883333333333</v>
      </c>
      <c r="H10" s="47"/>
    </row>
    <row r="11" spans="1:12" ht="15.75">
      <c r="A11" s="117" t="s">
        <v>13</v>
      </c>
      <c r="B11" s="8" t="s">
        <v>14</v>
      </c>
      <c r="C11" s="117" t="s">
        <v>15</v>
      </c>
      <c r="D11" s="9">
        <v>535.74610999999993</v>
      </c>
      <c r="E11" s="9">
        <v>460.06200000000001</v>
      </c>
      <c r="F11" s="9">
        <v>470.13600000000002</v>
      </c>
      <c r="H11" s="47"/>
    </row>
    <row r="12" spans="1:12" ht="15.75">
      <c r="A12" s="117" t="s">
        <v>16</v>
      </c>
      <c r="B12" s="8" t="s">
        <v>17</v>
      </c>
      <c r="C12" s="117" t="s">
        <v>15</v>
      </c>
      <c r="D12" s="9">
        <v>471.73065199999996</v>
      </c>
      <c r="E12" s="9">
        <v>408.31200000000001</v>
      </c>
      <c r="F12" s="9">
        <v>408.28592199999997</v>
      </c>
      <c r="H12" s="47"/>
    </row>
    <row r="13" spans="1:12" ht="15.75">
      <c r="A13" s="117" t="s">
        <v>18</v>
      </c>
      <c r="B13" s="8" t="s">
        <v>19</v>
      </c>
      <c r="C13" s="117" t="s">
        <v>20</v>
      </c>
      <c r="D13" s="9">
        <v>795.18331699999999</v>
      </c>
      <c r="E13" s="9">
        <v>697.01990000000001</v>
      </c>
      <c r="F13" s="9">
        <v>730.87</v>
      </c>
      <c r="H13" s="47"/>
    </row>
    <row r="14" spans="1:12">
      <c r="A14" s="117" t="s">
        <v>21</v>
      </c>
      <c r="B14" s="8" t="s">
        <v>22</v>
      </c>
      <c r="C14" s="117" t="s">
        <v>20</v>
      </c>
      <c r="D14" s="9">
        <v>790.08366699999999</v>
      </c>
      <c r="E14" s="9">
        <v>697.01990000000001</v>
      </c>
      <c r="F14" s="9">
        <v>725.49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>SUM(E16:E18)</f>
        <v>884.52299053094305</v>
      </c>
      <c r="F15" s="12">
        <f>SUM(F16:F18)</f>
        <v>1080.549901677206</v>
      </c>
    </row>
    <row r="16" spans="1:12">
      <c r="A16" s="117" t="s">
        <v>26</v>
      </c>
      <c r="B16" s="8" t="s">
        <v>27</v>
      </c>
      <c r="C16" s="117" t="s">
        <v>25</v>
      </c>
      <c r="D16" s="9" t="s">
        <v>1</v>
      </c>
      <c r="E16" s="9">
        <f>443010.35376/1000</f>
        <v>443.01035376000004</v>
      </c>
      <c r="F16" s="9">
        <f>620970.97580555/1000</f>
        <v>620.97097580554998</v>
      </c>
    </row>
    <row r="17" spans="1:6" ht="16.5" customHeight="1">
      <c r="A17" s="117" t="s">
        <v>28</v>
      </c>
      <c r="B17" s="8" t="s">
        <v>29</v>
      </c>
      <c r="C17" s="117" t="s">
        <v>25</v>
      </c>
      <c r="D17" s="9" t="s">
        <v>1</v>
      </c>
      <c r="E17" s="9">
        <f>441512.636770943/1000</f>
        <v>441.512636770943</v>
      </c>
      <c r="F17" s="9">
        <f>459578.925871656/1000</f>
        <v>459.578925871656</v>
      </c>
    </row>
    <row r="18" spans="1:6" ht="25.5">
      <c r="A18" s="117" t="s">
        <v>30</v>
      </c>
      <c r="B18" s="8" t="s">
        <v>31</v>
      </c>
      <c r="C18" s="117" t="s">
        <v>25</v>
      </c>
      <c r="D18" s="9" t="s">
        <v>1</v>
      </c>
      <c r="E18" s="9" t="s">
        <v>1</v>
      </c>
      <c r="F18" s="9" t="s">
        <v>1</v>
      </c>
    </row>
    <row r="19" spans="1:6">
      <c r="A19" s="117" t="s">
        <v>32</v>
      </c>
      <c r="B19" s="8" t="s">
        <v>33</v>
      </c>
      <c r="C19" s="117" t="s">
        <v>25</v>
      </c>
      <c r="D19" s="9">
        <f>526941.668518427/1000</f>
        <v>526.94166851842692</v>
      </c>
      <c r="E19" s="9">
        <f>442168.39/1000</f>
        <v>442.16838999999999</v>
      </c>
      <c r="F19" s="9">
        <f>620035.2727448/1000</f>
        <v>620.03527274479995</v>
      </c>
    </row>
    <row r="20" spans="1:6" ht="25.5">
      <c r="A20" s="117"/>
      <c r="B20" s="8" t="s">
        <v>34</v>
      </c>
      <c r="C20" s="14" t="s">
        <v>35</v>
      </c>
      <c r="D20" s="9">
        <v>188.00141898996546</v>
      </c>
      <c r="E20" s="82">
        <v>180</v>
      </c>
      <c r="F20" s="16">
        <v>180.00000000000003</v>
      </c>
    </row>
    <row r="21" spans="1:6">
      <c r="A21" s="117" t="s">
        <v>36</v>
      </c>
      <c r="B21" s="8" t="s">
        <v>37</v>
      </c>
      <c r="C21" s="117" t="s">
        <v>25</v>
      </c>
      <c r="D21" s="9">
        <f>798388.889832556/1000</f>
        <v>798.38888983255606</v>
      </c>
      <c r="E21" s="9">
        <f>709235.386867054/1000</f>
        <v>709.23538686705399</v>
      </c>
      <c r="F21" s="9">
        <f>1033423.3668642/1000</f>
        <v>1033.4233668642</v>
      </c>
    </row>
    <row r="22" spans="1:6" ht="25.5">
      <c r="A22" s="117"/>
      <c r="B22" s="8" t="s">
        <v>38</v>
      </c>
      <c r="C22" s="14" t="s">
        <v>39</v>
      </c>
      <c r="D22" s="9">
        <v>172.80039968444154</v>
      </c>
      <c r="E22" s="82">
        <v>171.59999999999997</v>
      </c>
      <c r="F22" s="16">
        <v>171.59999999999997</v>
      </c>
    </row>
    <row r="23" spans="1:6" ht="63.75">
      <c r="A23" s="117"/>
      <c r="B23" s="8" t="s">
        <v>40</v>
      </c>
      <c r="C23" s="14"/>
      <c r="D23" s="9" t="s">
        <v>1</v>
      </c>
      <c r="E23" s="17" t="s">
        <v>196</v>
      </c>
      <c r="F23" s="17" t="s">
        <v>196</v>
      </c>
    </row>
    <row r="24" spans="1:6">
      <c r="A24" s="10" t="s">
        <v>41</v>
      </c>
      <c r="B24" s="75" t="s">
        <v>42</v>
      </c>
      <c r="C24" s="10" t="s">
        <v>25</v>
      </c>
      <c r="D24" s="9" t="s">
        <v>1</v>
      </c>
      <c r="E24" s="9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117"/>
      <c r="D25" s="9" t="s">
        <v>1</v>
      </c>
      <c r="E25" s="9" t="s">
        <v>1</v>
      </c>
      <c r="F25" s="18" t="s">
        <v>1</v>
      </c>
    </row>
    <row r="26" spans="1:6">
      <c r="A26" s="117" t="s">
        <v>45</v>
      </c>
      <c r="B26" s="8" t="s">
        <v>46</v>
      </c>
      <c r="C26" s="117" t="s">
        <v>47</v>
      </c>
      <c r="D26" s="9" t="s">
        <v>1</v>
      </c>
      <c r="E26" s="9" t="s">
        <v>1</v>
      </c>
      <c r="F26" s="18" t="s">
        <v>1</v>
      </c>
    </row>
    <row r="27" spans="1:6" ht="25.5">
      <c r="A27" s="117" t="s">
        <v>48</v>
      </c>
      <c r="B27" s="8" t="s">
        <v>49</v>
      </c>
      <c r="C27" s="117" t="s">
        <v>50</v>
      </c>
      <c r="D27" s="9" t="s">
        <v>1</v>
      </c>
      <c r="E27" s="9" t="s">
        <v>1</v>
      </c>
      <c r="F27" s="18" t="s">
        <v>1</v>
      </c>
    </row>
    <row r="28" spans="1:6" ht="38.25">
      <c r="A28" s="117" t="s">
        <v>51</v>
      </c>
      <c r="B28" s="8" t="s">
        <v>52</v>
      </c>
      <c r="C28" s="117"/>
      <c r="D28" s="9" t="s">
        <v>1</v>
      </c>
      <c r="E28" s="9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9" t="s">
        <v>1</v>
      </c>
      <c r="E29" s="12">
        <f>SUM(E30:E32)</f>
        <v>884.52299053094305</v>
      </c>
      <c r="F29" s="12">
        <f>SUM(F30:F32)</f>
        <v>1080.549901677206</v>
      </c>
    </row>
    <row r="30" spans="1:6">
      <c r="A30" s="20" t="s">
        <v>55</v>
      </c>
      <c r="B30" s="21" t="s">
        <v>56</v>
      </c>
      <c r="C30" s="117" t="s">
        <v>25</v>
      </c>
      <c r="D30" s="9" t="s">
        <v>1</v>
      </c>
      <c r="E30" s="9">
        <f>E16</f>
        <v>443.01035376000004</v>
      </c>
      <c r="F30" s="9">
        <f>F16</f>
        <v>620.97097580554998</v>
      </c>
    </row>
    <row r="31" spans="1:6">
      <c r="A31" s="20" t="s">
        <v>57</v>
      </c>
      <c r="B31" s="8" t="s">
        <v>58</v>
      </c>
      <c r="C31" s="117" t="s">
        <v>25</v>
      </c>
      <c r="D31" s="9" t="s">
        <v>1</v>
      </c>
      <c r="E31" s="9">
        <f>E17</f>
        <v>441.512636770943</v>
      </c>
      <c r="F31" s="9">
        <f>F17</f>
        <v>459.578925871656</v>
      </c>
    </row>
    <row r="32" spans="1:6" ht="25.5">
      <c r="A32" s="20" t="s">
        <v>59</v>
      </c>
      <c r="B32" s="8" t="s">
        <v>60</v>
      </c>
      <c r="C32" s="117" t="s">
        <v>25</v>
      </c>
      <c r="D32" s="9" t="s">
        <v>1</v>
      </c>
      <c r="E32" s="9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9" t="s">
        <v>1</v>
      </c>
      <c r="E33" s="9" t="s">
        <v>1</v>
      </c>
      <c r="F33" s="18" t="s">
        <v>1</v>
      </c>
    </row>
    <row r="34" spans="1:6">
      <c r="A34" s="20" t="s">
        <v>63</v>
      </c>
      <c r="B34" s="23" t="s">
        <v>64</v>
      </c>
      <c r="C34" s="117" t="s">
        <v>25</v>
      </c>
      <c r="D34" s="9" t="s">
        <v>1</v>
      </c>
      <c r="E34" s="9" t="s">
        <v>1</v>
      </c>
      <c r="F34" s="18" t="s">
        <v>1</v>
      </c>
    </row>
    <row r="35" spans="1:6">
      <c r="A35" s="20" t="s">
        <v>65</v>
      </c>
      <c r="B35" s="23" t="s">
        <v>66</v>
      </c>
      <c r="C35" s="117" t="s">
        <v>25</v>
      </c>
      <c r="D35" s="9" t="s">
        <v>1</v>
      </c>
      <c r="E35" s="9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9" t="s">
        <v>1</v>
      </c>
      <c r="E36" s="9" t="s">
        <v>1</v>
      </c>
      <c r="F36" s="18" t="s">
        <v>1</v>
      </c>
    </row>
    <row r="37" spans="1:6">
      <c r="A37" s="117" t="s">
        <v>69</v>
      </c>
      <c r="B37" s="21" t="s">
        <v>56</v>
      </c>
      <c r="C37" s="117" t="s">
        <v>25</v>
      </c>
      <c r="D37" s="9" t="s">
        <v>1</v>
      </c>
      <c r="E37" s="9" t="s">
        <v>1</v>
      </c>
      <c r="F37" s="18" t="s">
        <v>1</v>
      </c>
    </row>
    <row r="38" spans="1:6">
      <c r="A38" s="117" t="s">
        <v>70</v>
      </c>
      <c r="B38" s="8" t="s">
        <v>58</v>
      </c>
      <c r="C38" s="117" t="s">
        <v>25</v>
      </c>
      <c r="D38" s="9" t="s">
        <v>1</v>
      </c>
      <c r="E38" s="9" t="s">
        <v>1</v>
      </c>
      <c r="F38" s="18" t="s">
        <v>1</v>
      </c>
    </row>
    <row r="39" spans="1:6" ht="25.5">
      <c r="A39" s="117" t="s">
        <v>71</v>
      </c>
      <c r="B39" s="8" t="s">
        <v>60</v>
      </c>
      <c r="C39" s="117" t="s">
        <v>25</v>
      </c>
      <c r="D39" s="9" t="s">
        <v>1</v>
      </c>
      <c r="E39" s="9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9" t="s">
        <v>1</v>
      </c>
      <c r="E40" s="9" t="s">
        <v>1</v>
      </c>
      <c r="F40" s="18" t="s">
        <v>1</v>
      </c>
    </row>
    <row r="41" spans="1:6">
      <c r="A41" s="117" t="s">
        <v>74</v>
      </c>
      <c r="B41" s="21" t="s">
        <v>56</v>
      </c>
      <c r="C41" s="117" t="s">
        <v>25</v>
      </c>
      <c r="D41" s="9" t="s">
        <v>1</v>
      </c>
      <c r="E41" s="9" t="s">
        <v>1</v>
      </c>
      <c r="F41" s="18" t="s">
        <v>1</v>
      </c>
    </row>
    <row r="42" spans="1:6">
      <c r="A42" s="117" t="s">
        <v>75</v>
      </c>
      <c r="B42" s="8" t="s">
        <v>58</v>
      </c>
      <c r="C42" s="11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117" t="s">
        <v>76</v>
      </c>
      <c r="B43" s="8" t="s">
        <v>60</v>
      </c>
      <c r="C43" s="11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1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 ht="27.75" customHeight="1">
      <c r="A50" s="29"/>
      <c r="B50" s="172"/>
      <c r="C50" s="172"/>
      <c r="D50" s="172"/>
      <c r="E50" s="172"/>
      <c r="F50" s="172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26.25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 ht="15.75" customHeight="1">
      <c r="A58" s="155" t="s">
        <v>192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5" customHeight="1">
      <c r="A60" s="163" t="s">
        <v>106</v>
      </c>
      <c r="B60" s="163" t="s">
        <v>6</v>
      </c>
      <c r="C60" s="163" t="s">
        <v>186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 ht="28.5">
      <c r="A61" s="163"/>
      <c r="B61" s="163"/>
      <c r="C61" s="163"/>
      <c r="D61" s="115" t="s">
        <v>107</v>
      </c>
      <c r="E61" s="115" t="s">
        <v>108</v>
      </c>
      <c r="F61" s="115" t="s">
        <v>107</v>
      </c>
      <c r="G61" s="115" t="s">
        <v>108</v>
      </c>
      <c r="H61" s="115" t="s">
        <v>107</v>
      </c>
      <c r="I61" s="11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111</v>
      </c>
      <c r="B63" s="112" t="s">
        <v>112</v>
      </c>
      <c r="C63" s="115" t="s">
        <v>113</v>
      </c>
      <c r="D63" s="113">
        <v>898.04</v>
      </c>
      <c r="E63" s="113">
        <v>898.04</v>
      </c>
      <c r="F63" s="113">
        <v>898.04</v>
      </c>
      <c r="G63" s="113">
        <v>1084.98</v>
      </c>
      <c r="H63" s="113">
        <v>1084.98</v>
      </c>
      <c r="I63" s="113">
        <v>1520.9218401744199</v>
      </c>
    </row>
    <row r="64" spans="1:9" ht="28.5">
      <c r="A64" s="115"/>
      <c r="B64" s="112" t="s">
        <v>114</v>
      </c>
      <c r="C64" s="115" t="s">
        <v>113</v>
      </c>
      <c r="D64" s="113">
        <v>896.24725551321251</v>
      </c>
      <c r="E64" s="113">
        <v>896.24725551321251</v>
      </c>
      <c r="F64" s="113">
        <v>896.24725551321251</v>
      </c>
      <c r="G64" s="113">
        <v>1082.9179402025902</v>
      </c>
      <c r="H64" s="113">
        <v>1082.9179402025902</v>
      </c>
      <c r="I64" s="113">
        <v>1518.6300563770101</v>
      </c>
    </row>
    <row r="65" spans="1:9" ht="28.5">
      <c r="A65" s="115" t="s">
        <v>115</v>
      </c>
      <c r="B65" s="112" t="s">
        <v>197</v>
      </c>
      <c r="C65" s="115" t="s">
        <v>109</v>
      </c>
      <c r="D65" s="113" t="s">
        <v>1</v>
      </c>
      <c r="E65" s="113" t="s">
        <v>1</v>
      </c>
      <c r="F65" s="113" t="s">
        <v>1</v>
      </c>
      <c r="G65" s="113" t="s">
        <v>1</v>
      </c>
      <c r="H65" s="113" t="s">
        <v>1</v>
      </c>
      <c r="I65" s="113">
        <v>335658.50503266626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  <row r="67" spans="1:9">
      <c r="A67" s="153" t="s">
        <v>198</v>
      </c>
      <c r="B67" s="70" t="s">
        <v>205</v>
      </c>
    </row>
  </sheetData>
  <mergeCells count="19"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  <mergeCell ref="A58:I58"/>
    <mergeCell ref="A60:A61"/>
    <mergeCell ref="B60:B61"/>
    <mergeCell ref="C60:C61"/>
    <mergeCell ref="D60:E60"/>
    <mergeCell ref="F60:G60"/>
    <mergeCell ref="H60:I6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46" workbookViewId="0">
      <selection activeCell="D46" sqref="D46:F46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168" t="s">
        <v>4</v>
      </c>
      <c r="E1" s="168"/>
      <c r="F1" s="168"/>
    </row>
    <row r="2" spans="1:12" ht="42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100"/>
      <c r="F3" s="100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185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77.2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54" t="s">
        <v>8</v>
      </c>
      <c r="B9" s="5" t="s">
        <v>9</v>
      </c>
      <c r="C9" s="54" t="s">
        <v>10</v>
      </c>
      <c r="D9" s="6">
        <v>123</v>
      </c>
      <c r="E9" s="6">
        <v>123</v>
      </c>
      <c r="F9" s="6">
        <v>123</v>
      </c>
      <c r="H9" s="167"/>
      <c r="I9" s="167"/>
      <c r="J9" s="167"/>
      <c r="K9" s="167"/>
      <c r="L9" s="167"/>
    </row>
    <row r="10" spans="1:12" ht="63.75">
      <c r="A10" s="101" t="s">
        <v>11</v>
      </c>
      <c r="B10" s="8" t="s">
        <v>12</v>
      </c>
      <c r="C10" s="101" t="s">
        <v>10</v>
      </c>
      <c r="D10" s="9">
        <v>111.9055</v>
      </c>
      <c r="E10" s="9">
        <v>113.33329999999999</v>
      </c>
      <c r="F10" s="9">
        <v>112.89158333333333</v>
      </c>
      <c r="H10" s="47"/>
    </row>
    <row r="11" spans="1:12" ht="15.75">
      <c r="A11" s="101" t="s">
        <v>13</v>
      </c>
      <c r="B11" s="8" t="s">
        <v>14</v>
      </c>
      <c r="C11" s="101" t="s">
        <v>15</v>
      </c>
      <c r="D11" s="9">
        <v>550.15490999999997</v>
      </c>
      <c r="E11" s="9">
        <v>439.94600000000003</v>
      </c>
      <c r="F11" s="9">
        <v>426.71199999999999</v>
      </c>
      <c r="H11" s="47"/>
    </row>
    <row r="12" spans="1:12" ht="15.75">
      <c r="A12" s="101" t="s">
        <v>16</v>
      </c>
      <c r="B12" s="8" t="s">
        <v>17</v>
      </c>
      <c r="C12" s="101" t="s">
        <v>15</v>
      </c>
      <c r="D12" s="9">
        <v>481.97584699999999</v>
      </c>
      <c r="E12" s="9">
        <v>387.94035000000002</v>
      </c>
      <c r="F12" s="9">
        <v>369.22863568000002</v>
      </c>
      <c r="H12" s="47"/>
    </row>
    <row r="13" spans="1:12" ht="15.75">
      <c r="A13" s="101" t="s">
        <v>18</v>
      </c>
      <c r="B13" s="8" t="s">
        <v>19</v>
      </c>
      <c r="C13" s="101" t="s">
        <v>20</v>
      </c>
      <c r="D13" s="9">
        <v>764.07368299999996</v>
      </c>
      <c r="E13" s="9">
        <v>674.49</v>
      </c>
      <c r="F13" s="9">
        <v>681.14200000000005</v>
      </c>
      <c r="H13" s="47"/>
    </row>
    <row r="14" spans="1:12">
      <c r="A14" s="101" t="s">
        <v>21</v>
      </c>
      <c r="B14" s="8" t="s">
        <v>22</v>
      </c>
      <c r="C14" s="101" t="s">
        <v>20</v>
      </c>
      <c r="D14" s="9">
        <v>759.06383299999993</v>
      </c>
      <c r="E14" s="9">
        <v>672.22019999999998</v>
      </c>
      <c r="F14" s="9">
        <v>677.26200000000006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>SUM(E16:E18)</f>
        <v>793.86024071765792</v>
      </c>
      <c r="F15" s="12">
        <f>SUM(F16:F18)</f>
        <v>929.19354451898698</v>
      </c>
    </row>
    <row r="16" spans="1:12">
      <c r="A16" s="101" t="s">
        <v>26</v>
      </c>
      <c r="B16" s="8" t="s">
        <v>27</v>
      </c>
      <c r="C16" s="101" t="s">
        <v>25</v>
      </c>
      <c r="D16" s="9" t="s">
        <v>1</v>
      </c>
      <c r="E16" s="9">
        <f>420907.520943/1000</f>
        <v>420.90752094300001</v>
      </c>
      <c r="F16" s="9">
        <f>538768.629472806/1000</f>
        <v>538.76862947280597</v>
      </c>
    </row>
    <row r="17" spans="1:6" ht="16.5" customHeight="1">
      <c r="A17" s="101" t="s">
        <v>28</v>
      </c>
      <c r="B17" s="8" t="s">
        <v>29</v>
      </c>
      <c r="C17" s="101" t="s">
        <v>25</v>
      </c>
      <c r="D17" s="9" t="s">
        <v>1</v>
      </c>
      <c r="E17" s="9">
        <f>372952.719774658/1000</f>
        <v>372.95271977465796</v>
      </c>
      <c r="F17" s="9">
        <f>390424.915046181/1000</f>
        <v>390.42491504618101</v>
      </c>
    </row>
    <row r="18" spans="1:6" ht="25.5">
      <c r="A18" s="101" t="s">
        <v>30</v>
      </c>
      <c r="B18" s="8" t="s">
        <v>31</v>
      </c>
      <c r="C18" s="101" t="s">
        <v>25</v>
      </c>
      <c r="D18" s="9" t="s">
        <v>1</v>
      </c>
      <c r="E18" s="9" t="s">
        <v>1</v>
      </c>
      <c r="F18" s="9" t="s">
        <v>1</v>
      </c>
    </row>
    <row r="19" spans="1:6">
      <c r="A19" s="101" t="s">
        <v>32</v>
      </c>
      <c r="B19" s="8" t="s">
        <v>33</v>
      </c>
      <c r="C19" s="101" t="s">
        <v>25</v>
      </c>
      <c r="D19" s="9">
        <f>562785.802193076/1000</f>
        <v>562.78580219307605</v>
      </c>
      <c r="E19" s="9">
        <f>442168.39/1000</f>
        <v>442.16838999999999</v>
      </c>
      <c r="F19" s="9">
        <f>558959.169079718/1000</f>
        <v>558.95916907971798</v>
      </c>
    </row>
    <row r="20" spans="1:6" ht="25.5">
      <c r="A20" s="101"/>
      <c r="B20" s="8" t="s">
        <v>34</v>
      </c>
      <c r="C20" s="14" t="s">
        <v>35</v>
      </c>
      <c r="D20" s="82">
        <v>198.07957715123999</v>
      </c>
      <c r="E20" s="82">
        <v>180.00000000000003</v>
      </c>
      <c r="F20" s="16">
        <v>180.00000000000003</v>
      </c>
    </row>
    <row r="21" spans="1:6">
      <c r="A21" s="101" t="s">
        <v>36</v>
      </c>
      <c r="B21" s="8" t="s">
        <v>37</v>
      </c>
      <c r="C21" s="101" t="s">
        <v>25</v>
      </c>
      <c r="D21" s="9">
        <f>775014.625356311/1000</f>
        <v>775.01462535631094</v>
      </c>
      <c r="E21" s="9">
        <f>664295.342886538/1000</f>
        <v>664.29534288653804</v>
      </c>
      <c r="F21" s="9">
        <f>960441.000748452/1000</f>
        <v>960.44100074845198</v>
      </c>
    </row>
    <row r="22" spans="1:6" ht="25.5">
      <c r="A22" s="101"/>
      <c r="B22" s="8" t="s">
        <v>38</v>
      </c>
      <c r="C22" s="14" t="s">
        <v>39</v>
      </c>
      <c r="D22" s="82">
        <v>173.53937185662761</v>
      </c>
      <c r="E22" s="82">
        <v>171.59999999999997</v>
      </c>
      <c r="F22" s="16">
        <v>171.59999999999997</v>
      </c>
    </row>
    <row r="23" spans="1:6" ht="63.75">
      <c r="A23" s="101"/>
      <c r="B23" s="8" t="s">
        <v>40</v>
      </c>
      <c r="C23" s="14"/>
      <c r="D23" s="9" t="s">
        <v>1</v>
      </c>
      <c r="E23" s="17" t="s">
        <v>196</v>
      </c>
      <c r="F23" s="17" t="s">
        <v>196</v>
      </c>
    </row>
    <row r="24" spans="1:6">
      <c r="A24" s="10" t="s">
        <v>41</v>
      </c>
      <c r="B24" s="75" t="s">
        <v>42</v>
      </c>
      <c r="C24" s="10" t="s">
        <v>25</v>
      </c>
      <c r="D24" s="9" t="s">
        <v>1</v>
      </c>
      <c r="E24" s="9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101"/>
      <c r="D25" s="9" t="s">
        <v>1</v>
      </c>
      <c r="E25" s="9" t="s">
        <v>1</v>
      </c>
      <c r="F25" s="18" t="s">
        <v>1</v>
      </c>
    </row>
    <row r="26" spans="1:6">
      <c r="A26" s="101" t="s">
        <v>45</v>
      </c>
      <c r="B26" s="8" t="s">
        <v>46</v>
      </c>
      <c r="C26" s="101" t="s">
        <v>47</v>
      </c>
      <c r="D26" s="9" t="s">
        <v>1</v>
      </c>
      <c r="E26" s="9" t="s">
        <v>1</v>
      </c>
      <c r="F26" s="18" t="s">
        <v>1</v>
      </c>
    </row>
    <row r="27" spans="1:6" ht="25.5">
      <c r="A27" s="101" t="s">
        <v>48</v>
      </c>
      <c r="B27" s="8" t="s">
        <v>49</v>
      </c>
      <c r="C27" s="101" t="s">
        <v>50</v>
      </c>
      <c r="D27" s="9" t="s">
        <v>1</v>
      </c>
      <c r="E27" s="9" t="s">
        <v>1</v>
      </c>
      <c r="F27" s="18" t="s">
        <v>1</v>
      </c>
    </row>
    <row r="28" spans="1:6" ht="38.25">
      <c r="A28" s="101" t="s">
        <v>51</v>
      </c>
      <c r="B28" s="8" t="s">
        <v>52</v>
      </c>
      <c r="C28" s="101"/>
      <c r="D28" s="9" t="s">
        <v>1</v>
      </c>
      <c r="E28" s="9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9" t="s">
        <v>1</v>
      </c>
      <c r="E29" s="12">
        <f>SUM(E30:E32)</f>
        <v>793.86024071765792</v>
      </c>
      <c r="F29" s="12">
        <f>SUM(F30:F32)</f>
        <v>929.19354451898698</v>
      </c>
    </row>
    <row r="30" spans="1:6">
      <c r="A30" s="20" t="s">
        <v>55</v>
      </c>
      <c r="B30" s="21" t="s">
        <v>56</v>
      </c>
      <c r="C30" s="101" t="s">
        <v>25</v>
      </c>
      <c r="D30" s="9" t="s">
        <v>1</v>
      </c>
      <c r="E30" s="9">
        <f>E16</f>
        <v>420.90752094300001</v>
      </c>
      <c r="F30" s="9">
        <f>F16</f>
        <v>538.76862947280597</v>
      </c>
    </row>
    <row r="31" spans="1:6">
      <c r="A31" s="20" t="s">
        <v>57</v>
      </c>
      <c r="B31" s="8" t="s">
        <v>58</v>
      </c>
      <c r="C31" s="101" t="s">
        <v>25</v>
      </c>
      <c r="D31" s="9" t="s">
        <v>1</v>
      </c>
      <c r="E31" s="9">
        <f>E17</f>
        <v>372.95271977465796</v>
      </c>
      <c r="F31" s="9">
        <f>F17</f>
        <v>390.42491504618101</v>
      </c>
    </row>
    <row r="32" spans="1:6" ht="25.5">
      <c r="A32" s="20" t="s">
        <v>59</v>
      </c>
      <c r="B32" s="8" t="s">
        <v>60</v>
      </c>
      <c r="C32" s="101" t="s">
        <v>25</v>
      </c>
      <c r="D32" s="9" t="s">
        <v>1</v>
      </c>
      <c r="E32" s="9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9" t="s">
        <v>1</v>
      </c>
      <c r="E33" s="9" t="s">
        <v>1</v>
      </c>
      <c r="F33" s="18" t="s">
        <v>1</v>
      </c>
    </row>
    <row r="34" spans="1:6">
      <c r="A34" s="20" t="s">
        <v>63</v>
      </c>
      <c r="B34" s="23" t="s">
        <v>64</v>
      </c>
      <c r="C34" s="101" t="s">
        <v>25</v>
      </c>
      <c r="D34" s="9" t="s">
        <v>1</v>
      </c>
      <c r="E34" s="9" t="s">
        <v>1</v>
      </c>
      <c r="F34" s="18" t="s">
        <v>1</v>
      </c>
    </row>
    <row r="35" spans="1:6">
      <c r="A35" s="20" t="s">
        <v>65</v>
      </c>
      <c r="B35" s="23" t="s">
        <v>66</v>
      </c>
      <c r="C35" s="101" t="s">
        <v>25</v>
      </c>
      <c r="D35" s="9" t="s">
        <v>1</v>
      </c>
      <c r="E35" s="9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9" t="s">
        <v>1</v>
      </c>
      <c r="E36" s="9" t="s">
        <v>1</v>
      </c>
      <c r="F36" s="18" t="s">
        <v>1</v>
      </c>
    </row>
    <row r="37" spans="1:6">
      <c r="A37" s="101" t="s">
        <v>69</v>
      </c>
      <c r="B37" s="21" t="s">
        <v>56</v>
      </c>
      <c r="C37" s="101" t="s">
        <v>25</v>
      </c>
      <c r="D37" s="9" t="s">
        <v>1</v>
      </c>
      <c r="E37" s="9" t="s">
        <v>1</v>
      </c>
      <c r="F37" s="18" t="s">
        <v>1</v>
      </c>
    </row>
    <row r="38" spans="1:6">
      <c r="A38" s="101" t="s">
        <v>70</v>
      </c>
      <c r="B38" s="8" t="s">
        <v>58</v>
      </c>
      <c r="C38" s="101" t="s">
        <v>25</v>
      </c>
      <c r="D38" s="9" t="s">
        <v>1</v>
      </c>
      <c r="E38" s="9" t="s">
        <v>1</v>
      </c>
      <c r="F38" s="18" t="s">
        <v>1</v>
      </c>
    </row>
    <row r="39" spans="1:6" ht="25.5">
      <c r="A39" s="101" t="s">
        <v>71</v>
      </c>
      <c r="B39" s="8" t="s">
        <v>60</v>
      </c>
      <c r="C39" s="101" t="s">
        <v>25</v>
      </c>
      <c r="D39" s="9" t="s">
        <v>1</v>
      </c>
      <c r="E39" s="9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9" t="s">
        <v>1</v>
      </c>
      <c r="E40" s="9" t="s">
        <v>1</v>
      </c>
      <c r="F40" s="18" t="s">
        <v>1</v>
      </c>
    </row>
    <row r="41" spans="1:6">
      <c r="A41" s="101" t="s">
        <v>74</v>
      </c>
      <c r="B41" s="21" t="s">
        <v>56</v>
      </c>
      <c r="C41" s="101" t="s">
        <v>25</v>
      </c>
      <c r="D41" s="9" t="s">
        <v>1</v>
      </c>
      <c r="E41" s="9" t="s">
        <v>1</v>
      </c>
      <c r="F41" s="18" t="s">
        <v>1</v>
      </c>
    </row>
    <row r="42" spans="1:6">
      <c r="A42" s="101" t="s">
        <v>75</v>
      </c>
      <c r="B42" s="8" t="s">
        <v>58</v>
      </c>
      <c r="C42" s="10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101" t="s">
        <v>76</v>
      </c>
      <c r="B43" s="8" t="s">
        <v>60</v>
      </c>
      <c r="C43" s="10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1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 ht="27.75" customHeight="1">
      <c r="A50" s="29"/>
      <c r="B50" s="172"/>
      <c r="C50" s="172"/>
      <c r="D50" s="172"/>
      <c r="E50" s="172"/>
      <c r="F50" s="172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26.25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 ht="15.75" customHeight="1">
      <c r="A58" s="155" t="s">
        <v>191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5" customHeight="1">
      <c r="A60" s="163" t="s">
        <v>106</v>
      </c>
      <c r="B60" s="163" t="s">
        <v>6</v>
      </c>
      <c r="C60" s="163" t="s">
        <v>186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 ht="28.5">
      <c r="A61" s="163"/>
      <c r="B61" s="163"/>
      <c r="C61" s="163"/>
      <c r="D61" s="99" t="s">
        <v>107</v>
      </c>
      <c r="E61" s="99" t="s">
        <v>108</v>
      </c>
      <c r="F61" s="99" t="s">
        <v>107</v>
      </c>
      <c r="G61" s="99" t="s">
        <v>108</v>
      </c>
      <c r="H61" s="99" t="s">
        <v>107</v>
      </c>
      <c r="I61" s="99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1" t="s">
        <v>111</v>
      </c>
      <c r="B63" s="112" t="s">
        <v>112</v>
      </c>
      <c r="C63" s="111" t="s">
        <v>113</v>
      </c>
      <c r="D63" s="113">
        <v>898.04</v>
      </c>
      <c r="E63" s="113">
        <v>898.04</v>
      </c>
      <c r="F63" s="113">
        <v>898.04</v>
      </c>
      <c r="G63" s="113">
        <v>1084.98</v>
      </c>
      <c r="H63" s="113">
        <f>G63</f>
        <v>1084.98</v>
      </c>
      <c r="I63" s="113">
        <v>1459.1734697948546</v>
      </c>
    </row>
    <row r="64" spans="1:9" ht="28.5">
      <c r="A64" s="111"/>
      <c r="B64" s="112" t="s">
        <v>114</v>
      </c>
      <c r="C64" s="111" t="s">
        <v>113</v>
      </c>
      <c r="D64" s="113">
        <v>896.24725551321251</v>
      </c>
      <c r="E64" s="113">
        <v>896.24725551321251</v>
      </c>
      <c r="F64" s="113">
        <v>896.24725551321251</v>
      </c>
      <c r="G64" s="113">
        <v>1082.809666339168</v>
      </c>
      <c r="H64" s="113">
        <f>G64</f>
        <v>1082.809666339168</v>
      </c>
      <c r="I64" s="113">
        <f>'[2]0.1'!$J$20-'[2]0.1'!$J$26</f>
        <v>1456.8816837948546</v>
      </c>
    </row>
    <row r="65" spans="1:9" ht="28.5">
      <c r="A65" s="111" t="s">
        <v>115</v>
      </c>
      <c r="B65" s="112" t="s">
        <v>197</v>
      </c>
      <c r="C65" s="111" t="s">
        <v>109</v>
      </c>
      <c r="D65" s="113" t="s">
        <v>1</v>
      </c>
      <c r="E65" s="113" t="s">
        <v>1</v>
      </c>
      <c r="F65" s="113" t="s">
        <v>1</v>
      </c>
      <c r="G65" s="113" t="s">
        <v>1</v>
      </c>
      <c r="H65" s="113" t="s">
        <v>1</v>
      </c>
      <c r="I65" s="113">
        <v>288200.48958933365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  <row r="67" spans="1:9">
      <c r="A67" s="153" t="s">
        <v>198</v>
      </c>
      <c r="B67" s="70" t="s">
        <v>216</v>
      </c>
    </row>
  </sheetData>
  <mergeCells count="19"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  <mergeCell ref="A58:I58"/>
    <mergeCell ref="A60:A61"/>
    <mergeCell ref="B60:B61"/>
    <mergeCell ref="C60:C61"/>
    <mergeCell ref="D60:E60"/>
    <mergeCell ref="F60:G60"/>
    <mergeCell ref="H60:I6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L65"/>
  <sheetViews>
    <sheetView topLeftCell="A10" workbookViewId="0">
      <selection activeCell="F23" sqref="F23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7" customWidth="1"/>
    <col min="5" max="5" width="14.7109375" customWidth="1"/>
    <col min="6" max="6" width="15.42578125" customWidth="1"/>
    <col min="7" max="7" width="15.85546875" customWidth="1"/>
    <col min="8" max="8" width="16.42578125" customWidth="1"/>
    <col min="9" max="9" width="15.85546875" customWidth="1"/>
  </cols>
  <sheetData>
    <row r="1" spans="1:12">
      <c r="D1" s="168" t="s">
        <v>4</v>
      </c>
      <c r="E1" s="168"/>
      <c r="F1" s="168"/>
    </row>
    <row r="2" spans="1:12" ht="46.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93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64.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4" t="s">
        <v>8</v>
      </c>
      <c r="B9" s="5" t="s">
        <v>9</v>
      </c>
      <c r="C9" s="4" t="s">
        <v>10</v>
      </c>
      <c r="D9" s="6">
        <v>250.5</v>
      </c>
      <c r="E9" s="6">
        <v>250.5</v>
      </c>
      <c r="F9" s="6">
        <v>250.5</v>
      </c>
      <c r="H9" s="167"/>
      <c r="I9" s="167"/>
      <c r="J9" s="167"/>
      <c r="K9" s="167"/>
      <c r="L9" s="167"/>
    </row>
    <row r="10" spans="1:12" ht="63.75">
      <c r="A10" s="7" t="s">
        <v>11</v>
      </c>
      <c r="B10" s="8" t="s">
        <v>12</v>
      </c>
      <c r="C10" s="7" t="s">
        <v>10</v>
      </c>
      <c r="D10" s="9">
        <v>223.04599999999999</v>
      </c>
      <c r="E10" s="9">
        <v>223.33</v>
      </c>
      <c r="F10" s="9">
        <v>222.22616666666667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773.13224600000001</v>
      </c>
      <c r="E11" s="9">
        <v>715.37900000000002</v>
      </c>
      <c r="F11" s="9">
        <v>692.70699999999999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661.63847899999996</v>
      </c>
      <c r="E12" s="9">
        <v>629.53370000000007</v>
      </c>
      <c r="F12" s="9">
        <v>578.96790499999997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1198.336</v>
      </c>
      <c r="E13" s="9">
        <v>1264.18</v>
      </c>
      <c r="F13" s="9">
        <v>1286.5909999999999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1194.7670000000001</v>
      </c>
      <c r="E14" s="9">
        <v>1260.4502</v>
      </c>
      <c r="F14" s="9">
        <v>1282.6409999999998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1407.5443418173311</v>
      </c>
      <c r="F15" s="12">
        <f>F16+F17</f>
        <v>1706.989343158034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f>839566.676408057/1000</f>
        <v>839.56667640805699</v>
      </c>
      <c r="F16" s="9">
        <f>1111315.03878241/1000</f>
        <v>1111.3150387824101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f>567977.665409274/1000</f>
        <v>567.9776654092741</v>
      </c>
      <c r="F17" s="9">
        <f>595674.304375624/1000</f>
        <v>595.67430437562405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f>1043757.00619/1000</f>
        <v>1043.7570061900001</v>
      </c>
      <c r="E19" s="9">
        <f>838268.538887567/1000</f>
        <v>838.26853888756705</v>
      </c>
      <c r="F19" s="9">
        <f>1109988.16824329/1000</f>
        <v>1109.9881682432899</v>
      </c>
    </row>
    <row r="20" spans="1:6" ht="25.5">
      <c r="A20" s="7"/>
      <c r="B20" s="8" t="s">
        <v>34</v>
      </c>
      <c r="C20" s="14" t="s">
        <v>35</v>
      </c>
      <c r="D20" s="16">
        <v>265.40454759942634</v>
      </c>
      <c r="E20" s="16">
        <v>225.20000000000002</v>
      </c>
      <c r="F20" s="16">
        <v>225.19999999999993</v>
      </c>
    </row>
    <row r="21" spans="1:6">
      <c r="A21" s="7" t="s">
        <v>36</v>
      </c>
      <c r="B21" s="8" t="s">
        <v>37</v>
      </c>
      <c r="C21" s="7" t="s">
        <v>25</v>
      </c>
      <c r="D21" s="9">
        <f>1249211.66837/1000</f>
        <v>1249.2116683700001</v>
      </c>
      <c r="E21" s="9">
        <f>1286625.77323498/1000</f>
        <v>1286.62577323498</v>
      </c>
      <c r="F21" s="9">
        <f>1834110.80238842/1000</f>
        <v>1834.1108023884201</v>
      </c>
    </row>
    <row r="22" spans="1:6" ht="25.5">
      <c r="A22" s="7"/>
      <c r="B22" s="8" t="s">
        <v>38</v>
      </c>
      <c r="C22" s="14" t="s">
        <v>39</v>
      </c>
      <c r="D22" s="16">
        <v>178.49000614185005</v>
      </c>
      <c r="E22" s="16">
        <v>173.5</v>
      </c>
      <c r="F22" s="16">
        <v>173.50000000000003</v>
      </c>
    </row>
    <row r="23" spans="1:6" ht="63.75">
      <c r="A23" s="7"/>
      <c r="B23" s="8" t="s">
        <v>40</v>
      </c>
      <c r="C23" s="14"/>
      <c r="D23" s="18" t="s">
        <v>1</v>
      </c>
      <c r="E23" s="17" t="s">
        <v>196</v>
      </c>
      <c r="F23" s="17" t="s">
        <v>196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0">SUM(E30:E32)</f>
        <v>1407.5443418173311</v>
      </c>
      <c r="F29" s="12">
        <f>SUM(F30:F32)</f>
        <v>1706.989343158034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839.56667640805699</v>
      </c>
      <c r="F30" s="9">
        <f>F16</f>
        <v>1111.3150387824101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567.9776654092741</v>
      </c>
      <c r="F31" s="9">
        <f>F17</f>
        <v>595.67430437562405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11.2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 ht="28.5" customHeight="1">
      <c r="A50" s="29"/>
      <c r="B50" s="172"/>
      <c r="C50" s="172"/>
      <c r="D50" s="172"/>
      <c r="E50" s="172"/>
      <c r="F50" s="172"/>
    </row>
    <row r="51" spans="1:9">
      <c r="A51" s="27"/>
      <c r="B51" s="27"/>
    </row>
    <row r="52" spans="1:9" ht="15.75">
      <c r="A52" s="64"/>
      <c r="B52" s="64"/>
      <c r="C52" s="64"/>
      <c r="D52" s="64"/>
      <c r="E52" s="166" t="s">
        <v>117</v>
      </c>
      <c r="F52" s="166"/>
      <c r="G52" s="166"/>
      <c r="H52" s="166"/>
      <c r="I52" s="166"/>
    </row>
    <row r="53" spans="1:9" ht="33.75" customHeight="1">
      <c r="A53" s="64"/>
      <c r="B53" s="64"/>
      <c r="C53" s="64"/>
      <c r="D53" s="64"/>
      <c r="E53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3" s="166"/>
      <c r="G53" s="166"/>
      <c r="H53" s="166"/>
      <c r="I53" s="166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2" t="s">
        <v>105</v>
      </c>
      <c r="B56" s="162"/>
      <c r="C56" s="162"/>
      <c r="D56" s="162"/>
      <c r="E56" s="162"/>
      <c r="F56" s="162"/>
      <c r="G56" s="162"/>
      <c r="H56" s="162"/>
      <c r="I56" s="162"/>
    </row>
    <row r="57" spans="1:9" ht="15.75" customHeight="1">
      <c r="A57" s="155" t="s">
        <v>139</v>
      </c>
      <c r="B57" s="155"/>
      <c r="C57" s="155"/>
      <c r="D57" s="155"/>
      <c r="E57" s="155"/>
      <c r="F57" s="155"/>
      <c r="G57" s="155"/>
      <c r="H57" s="155"/>
      <c r="I57" s="15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8" customHeight="1">
      <c r="A59" s="163" t="s">
        <v>106</v>
      </c>
      <c r="B59" s="163" t="s">
        <v>6</v>
      </c>
      <c r="C59" s="163" t="s">
        <v>186</v>
      </c>
      <c r="D59" s="163" t="str">
        <f>' ЦТЭЦ (ГТУ-1) ДПМ'!$D$58:$E$58</f>
        <v>Фактические показатели за год, предшествующий базовому периоду (2024г.)</v>
      </c>
      <c r="E59" s="163"/>
      <c r="F59" s="163" t="str">
        <f>' ЦТЭЦ (ГТУ-1) ДПМ'!$F$58:$G$58</f>
        <v>Показатели, утвержденные на базовый период (2025г.)*</v>
      </c>
      <c r="G59" s="163"/>
      <c r="H59" s="163" t="str">
        <f>' ЦТЭЦ (ГТУ-1) ДПМ'!$H$58:$I$58</f>
        <v>Предложения на расчетный период регулирования (2026г.)</v>
      </c>
      <c r="I59" s="163"/>
    </row>
    <row r="60" spans="1:9">
      <c r="A60" s="163"/>
      <c r="B60" s="163"/>
      <c r="C60" s="163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4" t="s">
        <v>111</v>
      </c>
      <c r="B62" s="112" t="s">
        <v>112</v>
      </c>
      <c r="C62" s="114" t="s">
        <v>113</v>
      </c>
      <c r="D62" s="113">
        <v>895.67</v>
      </c>
      <c r="E62" s="113">
        <v>1110.6817370137758</v>
      </c>
      <c r="F62" s="113">
        <v>1110.6817370137758</v>
      </c>
      <c r="G62" s="113">
        <v>1333.6326179330138</v>
      </c>
      <c r="H62" s="113">
        <v>1333.6326179330138</v>
      </c>
      <c r="I62" s="113">
        <v>1919.4760697182583</v>
      </c>
    </row>
    <row r="63" spans="1:9" ht="28.5">
      <c r="A63" s="114"/>
      <c r="B63" s="112" t="s">
        <v>114</v>
      </c>
      <c r="C63" s="114" t="s">
        <v>113</v>
      </c>
      <c r="D63" s="113">
        <v>894.07471458622194</v>
      </c>
      <c r="E63" s="113">
        <v>1108.8931530137759</v>
      </c>
      <c r="F63" s="113">
        <v>1108.8931530137759</v>
      </c>
      <c r="G63" s="113">
        <v>1331.5705559330138</v>
      </c>
      <c r="H63" s="113">
        <v>1331.5705559330138</v>
      </c>
      <c r="I63" s="113">
        <v>1917.1842837182583</v>
      </c>
    </row>
    <row r="64" spans="1:9" ht="28.5">
      <c r="A64" s="114" t="s">
        <v>115</v>
      </c>
      <c r="B64" s="112" t="s">
        <v>116</v>
      </c>
      <c r="C64" s="114" t="s">
        <v>109</v>
      </c>
      <c r="D64" s="113">
        <v>187711.09</v>
      </c>
      <c r="E64" s="113">
        <v>200734.4024075488</v>
      </c>
      <c r="F64" s="113">
        <v>200734.4024075488</v>
      </c>
      <c r="G64" s="113">
        <v>211935.12791581752</v>
      </c>
      <c r="H64" s="113">
        <v>211935.12791581752</v>
      </c>
      <c r="I64" s="113">
        <v>223373.8992541474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9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37" workbookViewId="0">
      <selection activeCell="D46" sqref="D46:F46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68" t="s">
        <v>4</v>
      </c>
      <c r="E1" s="168"/>
      <c r="F1" s="168"/>
    </row>
    <row r="2" spans="1:12" ht="40.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119"/>
      <c r="F3" s="119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199</v>
      </c>
      <c r="B5" s="155"/>
      <c r="C5" s="155"/>
      <c r="D5" s="155"/>
      <c r="E5" s="155"/>
      <c r="F5" s="155"/>
    </row>
    <row r="6" spans="1:12" ht="17.25" customHeight="1">
      <c r="A6" s="170" t="s">
        <v>88</v>
      </c>
      <c r="B6" s="170"/>
      <c r="C6" s="170"/>
      <c r="D6" s="170"/>
      <c r="E6" s="170"/>
      <c r="F6" s="170"/>
    </row>
    <row r="8" spans="1:12" ht="90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54" t="s">
        <v>8</v>
      </c>
      <c r="B9" s="5" t="s">
        <v>9</v>
      </c>
      <c r="C9" s="54" t="s">
        <v>10</v>
      </c>
      <c r="D9" s="6" t="s">
        <v>1</v>
      </c>
      <c r="E9" s="6" t="s">
        <v>1</v>
      </c>
      <c r="F9" s="6">
        <v>100</v>
      </c>
      <c r="H9" s="167"/>
      <c r="I9" s="167"/>
      <c r="J9" s="167"/>
      <c r="K9" s="167"/>
      <c r="L9" s="167"/>
    </row>
    <row r="10" spans="1:12" ht="63.75">
      <c r="A10" s="120" t="s">
        <v>11</v>
      </c>
      <c r="B10" s="8" t="s">
        <v>12</v>
      </c>
      <c r="C10" s="120" t="s">
        <v>10</v>
      </c>
      <c r="D10" s="9" t="s">
        <v>1</v>
      </c>
      <c r="E10" s="9" t="s">
        <v>1</v>
      </c>
      <c r="F10" s="9">
        <v>91.540583333333331</v>
      </c>
      <c r="H10" s="47"/>
    </row>
    <row r="11" spans="1:12" ht="15.75">
      <c r="A11" s="120" t="s">
        <v>13</v>
      </c>
      <c r="B11" s="8" t="s">
        <v>14</v>
      </c>
      <c r="C11" s="120" t="s">
        <v>15</v>
      </c>
      <c r="D11" s="9" t="s">
        <v>1</v>
      </c>
      <c r="E11" s="9" t="s">
        <v>1</v>
      </c>
      <c r="F11" s="9">
        <v>567.71499999999992</v>
      </c>
      <c r="H11" s="47"/>
    </row>
    <row r="12" spans="1:12" ht="15.75">
      <c r="A12" s="120" t="s">
        <v>16</v>
      </c>
      <c r="B12" s="8" t="s">
        <v>17</v>
      </c>
      <c r="C12" s="120" t="s">
        <v>15</v>
      </c>
      <c r="D12" s="9" t="s">
        <v>1</v>
      </c>
      <c r="E12" s="9" t="s">
        <v>1</v>
      </c>
      <c r="F12" s="9">
        <v>497.44474399999996</v>
      </c>
      <c r="H12" s="47"/>
    </row>
    <row r="13" spans="1:12" ht="15.75">
      <c r="A13" s="120" t="s">
        <v>18</v>
      </c>
      <c r="B13" s="8" t="s">
        <v>19</v>
      </c>
      <c r="C13" s="120" t="s">
        <v>20</v>
      </c>
      <c r="D13" s="9" t="s">
        <v>1</v>
      </c>
      <c r="E13" s="9" t="s">
        <v>1</v>
      </c>
      <c r="F13" s="9">
        <v>194.148</v>
      </c>
      <c r="H13" s="47"/>
    </row>
    <row r="14" spans="1:12">
      <c r="A14" s="120" t="s">
        <v>21</v>
      </c>
      <c r="B14" s="8" t="s">
        <v>22</v>
      </c>
      <c r="C14" s="120" t="s">
        <v>20</v>
      </c>
      <c r="D14" s="9" t="s">
        <v>1</v>
      </c>
      <c r="E14" s="9" t="s">
        <v>1</v>
      </c>
      <c r="F14" s="9">
        <v>192.67699999999999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9" t="s">
        <v>1</v>
      </c>
      <c r="F15" s="12">
        <f>F16+F17</f>
        <v>1124.4973661454919</v>
      </c>
    </row>
    <row r="16" spans="1:12">
      <c r="A16" s="120" t="s">
        <v>26</v>
      </c>
      <c r="B16" s="8" t="s">
        <v>27</v>
      </c>
      <c r="C16" s="120" t="s">
        <v>25</v>
      </c>
      <c r="D16" s="9" t="s">
        <v>1</v>
      </c>
      <c r="E16" s="9" t="s">
        <v>1</v>
      </c>
      <c r="F16" s="9">
        <f>807362.382615705/1000</f>
        <v>807.36238261570497</v>
      </c>
    </row>
    <row r="17" spans="1:6" ht="16.5" customHeight="1">
      <c r="A17" s="120" t="s">
        <v>28</v>
      </c>
      <c r="B17" s="8" t="s">
        <v>29</v>
      </c>
      <c r="C17" s="120" t="s">
        <v>25</v>
      </c>
      <c r="D17" s="9" t="s">
        <v>1</v>
      </c>
      <c r="E17" s="9" t="s">
        <v>1</v>
      </c>
      <c r="F17" s="9">
        <f>317134.983529787/1000</f>
        <v>317.13498352978701</v>
      </c>
    </row>
    <row r="18" spans="1:6" ht="25.5">
      <c r="A18" s="120" t="s">
        <v>30</v>
      </c>
      <c r="B18" s="8" t="s">
        <v>31</v>
      </c>
      <c r="C18" s="120" t="s">
        <v>25</v>
      </c>
      <c r="D18" s="9" t="s">
        <v>1</v>
      </c>
      <c r="E18" s="9" t="s">
        <v>1</v>
      </c>
      <c r="F18" s="9" t="s">
        <v>1</v>
      </c>
    </row>
    <row r="19" spans="1:6">
      <c r="A19" s="120" t="s">
        <v>32</v>
      </c>
      <c r="B19" s="8" t="s">
        <v>33</v>
      </c>
      <c r="C19" s="120" t="s">
        <v>25</v>
      </c>
      <c r="D19" s="9" t="s">
        <v>1</v>
      </c>
      <c r="E19" s="9" t="s">
        <v>1</v>
      </c>
      <c r="F19" s="9">
        <f>806222.345715632/1000</f>
        <v>806.22234571563195</v>
      </c>
    </row>
    <row r="20" spans="1:6" ht="25.5">
      <c r="A20" s="120"/>
      <c r="B20" s="8" t="s">
        <v>34</v>
      </c>
      <c r="C20" s="14" t="s">
        <v>35</v>
      </c>
      <c r="D20" s="9" t="s">
        <v>1</v>
      </c>
      <c r="E20" s="9" t="s">
        <v>1</v>
      </c>
      <c r="F20" s="9">
        <v>191.3</v>
      </c>
    </row>
    <row r="21" spans="1:6">
      <c r="A21" s="120" t="s">
        <v>36</v>
      </c>
      <c r="B21" s="8" t="s">
        <v>37</v>
      </c>
      <c r="C21" s="120" t="s">
        <v>25</v>
      </c>
      <c r="D21" s="9" t="s">
        <v>1</v>
      </c>
      <c r="E21" s="9" t="s">
        <v>1</v>
      </c>
      <c r="F21" s="9">
        <f>274602.796340515/1000</f>
        <v>274.602796340515</v>
      </c>
    </row>
    <row r="22" spans="1:6" ht="25.5">
      <c r="A22" s="120"/>
      <c r="B22" s="8" t="s">
        <v>38</v>
      </c>
      <c r="C22" s="14" t="s">
        <v>39</v>
      </c>
      <c r="D22" s="9" t="s">
        <v>1</v>
      </c>
      <c r="E22" s="9" t="s">
        <v>1</v>
      </c>
      <c r="F22" s="9">
        <v>168.5</v>
      </c>
    </row>
    <row r="23" spans="1:6" ht="63.75">
      <c r="A23" s="120"/>
      <c r="B23" s="8" t="s">
        <v>40</v>
      </c>
      <c r="C23" s="14"/>
      <c r="D23" s="9" t="s">
        <v>1</v>
      </c>
      <c r="E23" s="9" t="s">
        <v>1</v>
      </c>
      <c r="F23" s="17" t="s">
        <v>196</v>
      </c>
    </row>
    <row r="24" spans="1:6">
      <c r="A24" s="10" t="s">
        <v>41</v>
      </c>
      <c r="B24" s="75" t="s">
        <v>42</v>
      </c>
      <c r="C24" s="10" t="s">
        <v>25</v>
      </c>
      <c r="D24" s="9" t="s">
        <v>1</v>
      </c>
      <c r="E24" s="9" t="s">
        <v>1</v>
      </c>
      <c r="F24" s="9" t="s">
        <v>1</v>
      </c>
    </row>
    <row r="25" spans="1:6" ht="38.25">
      <c r="A25" s="10" t="s">
        <v>43</v>
      </c>
      <c r="B25" s="75" t="s">
        <v>44</v>
      </c>
      <c r="C25" s="120"/>
      <c r="D25" s="9" t="s">
        <v>1</v>
      </c>
      <c r="E25" s="9" t="s">
        <v>1</v>
      </c>
      <c r="F25" s="9" t="s">
        <v>1</v>
      </c>
    </row>
    <row r="26" spans="1:6">
      <c r="A26" s="120" t="s">
        <v>45</v>
      </c>
      <c r="B26" s="8" t="s">
        <v>46</v>
      </c>
      <c r="C26" s="120" t="s">
        <v>47</v>
      </c>
      <c r="D26" s="9" t="s">
        <v>1</v>
      </c>
      <c r="E26" s="9" t="s">
        <v>1</v>
      </c>
      <c r="F26" s="9" t="s">
        <v>1</v>
      </c>
    </row>
    <row r="27" spans="1:6" ht="25.5">
      <c r="A27" s="120" t="s">
        <v>48</v>
      </c>
      <c r="B27" s="8" t="s">
        <v>49</v>
      </c>
      <c r="C27" s="120" t="s">
        <v>50</v>
      </c>
      <c r="D27" s="9" t="s">
        <v>1</v>
      </c>
      <c r="E27" s="9" t="s">
        <v>1</v>
      </c>
      <c r="F27" s="9" t="s">
        <v>1</v>
      </c>
    </row>
    <row r="28" spans="1:6" ht="38.25">
      <c r="A28" s="120" t="s">
        <v>51</v>
      </c>
      <c r="B28" s="8" t="s">
        <v>52</v>
      </c>
      <c r="C28" s="120"/>
      <c r="D28" s="9" t="s">
        <v>1</v>
      </c>
      <c r="E28" s="9" t="s">
        <v>1</v>
      </c>
      <c r="F28" s="9" t="s">
        <v>1</v>
      </c>
    </row>
    <row r="29" spans="1:6">
      <c r="A29" s="10" t="s">
        <v>53</v>
      </c>
      <c r="B29" s="75" t="s">
        <v>54</v>
      </c>
      <c r="C29" s="10" t="s">
        <v>25</v>
      </c>
      <c r="D29" s="9" t="s">
        <v>1</v>
      </c>
      <c r="E29" s="9" t="s">
        <v>1</v>
      </c>
      <c r="F29" s="12">
        <f>F30+F31</f>
        <v>1124.4973661454919</v>
      </c>
    </row>
    <row r="30" spans="1:6">
      <c r="A30" s="134" t="s">
        <v>55</v>
      </c>
      <c r="B30" s="21" t="s">
        <v>56</v>
      </c>
      <c r="C30" s="120" t="s">
        <v>25</v>
      </c>
      <c r="D30" s="9" t="s">
        <v>1</v>
      </c>
      <c r="E30" s="9" t="s">
        <v>1</v>
      </c>
      <c r="F30" s="9">
        <f>F16</f>
        <v>807.36238261570497</v>
      </c>
    </row>
    <row r="31" spans="1:6">
      <c r="A31" s="134" t="s">
        <v>57</v>
      </c>
      <c r="B31" s="8" t="s">
        <v>58</v>
      </c>
      <c r="C31" s="120" t="s">
        <v>25</v>
      </c>
      <c r="D31" s="9" t="s">
        <v>1</v>
      </c>
      <c r="E31" s="9" t="s">
        <v>1</v>
      </c>
      <c r="F31" s="9">
        <f>F17</f>
        <v>317.13498352978701</v>
      </c>
    </row>
    <row r="32" spans="1:6" ht="25.5">
      <c r="A32" s="134" t="s">
        <v>59</v>
      </c>
      <c r="B32" s="8" t="s">
        <v>60</v>
      </c>
      <c r="C32" s="120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134" t="s">
        <v>63</v>
      </c>
      <c r="B34" s="23" t="s">
        <v>64</v>
      </c>
      <c r="C34" s="120" t="s">
        <v>25</v>
      </c>
      <c r="D34" s="18" t="s">
        <v>1</v>
      </c>
      <c r="E34" s="18" t="s">
        <v>1</v>
      </c>
      <c r="F34" s="18" t="s">
        <v>1</v>
      </c>
    </row>
    <row r="35" spans="1:6">
      <c r="A35" s="134" t="s">
        <v>65</v>
      </c>
      <c r="B35" s="23" t="s">
        <v>66</v>
      </c>
      <c r="C35" s="120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120" t="s">
        <v>69</v>
      </c>
      <c r="B37" s="21" t="s">
        <v>56</v>
      </c>
      <c r="C37" s="120" t="s">
        <v>25</v>
      </c>
      <c r="D37" s="18" t="s">
        <v>1</v>
      </c>
      <c r="E37" s="18" t="s">
        <v>1</v>
      </c>
      <c r="F37" s="18" t="s">
        <v>1</v>
      </c>
    </row>
    <row r="38" spans="1:6">
      <c r="A38" s="120" t="s">
        <v>70</v>
      </c>
      <c r="B38" s="8" t="s">
        <v>58</v>
      </c>
      <c r="C38" s="120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120" t="s">
        <v>71</v>
      </c>
      <c r="B39" s="8" t="s">
        <v>60</v>
      </c>
      <c r="C39" s="120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120" t="s">
        <v>74</v>
      </c>
      <c r="B41" s="21" t="s">
        <v>56</v>
      </c>
      <c r="C41" s="120" t="s">
        <v>25</v>
      </c>
      <c r="D41" s="18" t="s">
        <v>1</v>
      </c>
      <c r="E41" s="18" t="s">
        <v>1</v>
      </c>
      <c r="F41" s="18" t="s">
        <v>1</v>
      </c>
    </row>
    <row r="42" spans="1:6">
      <c r="A42" s="120" t="s">
        <v>75</v>
      </c>
      <c r="B42" s="8" t="s">
        <v>58</v>
      </c>
      <c r="C42" s="120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120" t="s">
        <v>76</v>
      </c>
      <c r="B43" s="8" t="s">
        <v>60</v>
      </c>
      <c r="C43" s="120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81.7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 ht="26.25" customHeight="1">
      <c r="A50" s="29"/>
      <c r="B50" s="172"/>
      <c r="C50" s="172"/>
      <c r="D50" s="172"/>
      <c r="E50" s="172"/>
      <c r="F50" s="172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30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 ht="15.75" customHeight="1">
      <c r="A58" s="155" t="s">
        <v>200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63" t="s">
        <v>106</v>
      </c>
      <c r="B60" s="163" t="s">
        <v>6</v>
      </c>
      <c r="C60" s="163" t="s">
        <v>186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>
      <c r="A61" s="163"/>
      <c r="B61" s="163"/>
      <c r="C61" s="163"/>
      <c r="D61" s="121" t="s">
        <v>107</v>
      </c>
      <c r="E61" s="121" t="s">
        <v>108</v>
      </c>
      <c r="F61" s="121" t="s">
        <v>107</v>
      </c>
      <c r="G61" s="121" t="s">
        <v>108</v>
      </c>
      <c r="H61" s="121" t="s">
        <v>107</v>
      </c>
      <c r="I61" s="121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21" t="s">
        <v>111</v>
      </c>
      <c r="B63" s="112" t="s">
        <v>112</v>
      </c>
      <c r="C63" s="121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>
        <v>1623.0192244542145</v>
      </c>
    </row>
    <row r="64" spans="1:9" ht="28.5">
      <c r="A64" s="121"/>
      <c r="B64" s="112" t="s">
        <v>114</v>
      </c>
      <c r="C64" s="121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>
        <v>1620.7274384542145</v>
      </c>
    </row>
    <row r="65" spans="1:9" ht="28.5">
      <c r="A65" s="121" t="s">
        <v>115</v>
      </c>
      <c r="B65" s="112" t="s">
        <v>116</v>
      </c>
      <c r="C65" s="121" t="s">
        <v>109</v>
      </c>
      <c r="D65" s="113" t="s">
        <v>1</v>
      </c>
      <c r="E65" s="113" t="s">
        <v>1</v>
      </c>
      <c r="F65" s="113" t="s">
        <v>1</v>
      </c>
      <c r="G65" s="113" t="s">
        <v>1</v>
      </c>
      <c r="H65" s="113" t="s">
        <v>1</v>
      </c>
      <c r="I65" s="113">
        <v>288701.62644599995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A58:I58"/>
    <mergeCell ref="A60:A61"/>
    <mergeCell ref="B60:B61"/>
    <mergeCell ref="C60:C61"/>
    <mergeCell ref="D60:E60"/>
    <mergeCell ref="F60:G60"/>
    <mergeCell ref="H60:I60"/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55" workbookViewId="0">
      <selection activeCell="J70" sqref="J70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68" t="s">
        <v>4</v>
      </c>
      <c r="E1" s="168"/>
      <c r="F1" s="168"/>
    </row>
    <row r="2" spans="1:12" ht="40.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90"/>
      <c r="F3" s="90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201</v>
      </c>
      <c r="B5" s="155"/>
      <c r="C5" s="155"/>
      <c r="D5" s="155"/>
      <c r="E5" s="155"/>
      <c r="F5" s="155"/>
    </row>
    <row r="6" spans="1:12" ht="17.25" customHeight="1">
      <c r="A6" s="170" t="s">
        <v>88</v>
      </c>
      <c r="B6" s="170"/>
      <c r="C6" s="170"/>
      <c r="D6" s="170"/>
      <c r="E6" s="170"/>
      <c r="F6" s="170"/>
    </row>
    <row r="8" spans="1:12" ht="90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54" t="s">
        <v>8</v>
      </c>
      <c r="B9" s="5" t="s">
        <v>9</v>
      </c>
      <c r="C9" s="54" t="s">
        <v>10</v>
      </c>
      <c r="D9" s="6">
        <v>500</v>
      </c>
      <c r="E9" s="6">
        <v>500</v>
      </c>
      <c r="F9" s="6">
        <v>400</v>
      </c>
      <c r="H9" s="167"/>
      <c r="I9" s="167"/>
      <c r="J9" s="167"/>
      <c r="K9" s="167"/>
      <c r="L9" s="167"/>
    </row>
    <row r="10" spans="1:12" ht="63.75">
      <c r="A10" s="91" t="s">
        <v>11</v>
      </c>
      <c r="B10" s="8" t="s">
        <v>12</v>
      </c>
      <c r="C10" s="91" t="s">
        <v>10</v>
      </c>
      <c r="D10" s="9">
        <v>355.45799999999997</v>
      </c>
      <c r="E10" s="9">
        <v>354.29500000000002</v>
      </c>
      <c r="F10" s="9">
        <v>262.69350000000003</v>
      </c>
      <c r="H10" s="47"/>
    </row>
    <row r="11" spans="1:12" ht="15.75">
      <c r="A11" s="91" t="s">
        <v>13</v>
      </c>
      <c r="B11" s="8" t="s">
        <v>14</v>
      </c>
      <c r="C11" s="91" t="s">
        <v>15</v>
      </c>
      <c r="D11" s="9">
        <v>1956.6091199999998</v>
      </c>
      <c r="E11" s="9">
        <v>2046.1901</v>
      </c>
      <c r="F11" s="9">
        <v>1338.1849999999999</v>
      </c>
      <c r="H11" s="47"/>
    </row>
    <row r="12" spans="1:12" ht="15.75">
      <c r="A12" s="91" t="s">
        <v>16</v>
      </c>
      <c r="B12" s="8" t="s">
        <v>17</v>
      </c>
      <c r="C12" s="91" t="s">
        <v>15</v>
      </c>
      <c r="D12" s="9">
        <v>1733.5861229999998</v>
      </c>
      <c r="E12" s="9">
        <v>1788.1926000000001</v>
      </c>
      <c r="F12" s="9">
        <v>1181.1214190000001</v>
      </c>
      <c r="H12" s="47"/>
    </row>
    <row r="13" spans="1:12" ht="15.75">
      <c r="A13" s="91" t="s">
        <v>18</v>
      </c>
      <c r="B13" s="8" t="s">
        <v>19</v>
      </c>
      <c r="C13" s="91" t="s">
        <v>20</v>
      </c>
      <c r="D13" s="9">
        <v>620.69675199999995</v>
      </c>
      <c r="E13" s="9">
        <v>516.85990000000004</v>
      </c>
      <c r="F13" s="9">
        <v>432.85899999999998</v>
      </c>
      <c r="H13" s="47"/>
    </row>
    <row r="14" spans="1:12">
      <c r="A14" s="91" t="s">
        <v>21</v>
      </c>
      <c r="B14" s="8" t="s">
        <v>22</v>
      </c>
      <c r="C14" s="91" t="s">
        <v>20</v>
      </c>
      <c r="D14" s="9">
        <v>615.44175199999995</v>
      </c>
      <c r="E14" s="9">
        <v>511.65980000000002</v>
      </c>
      <c r="F14" s="9">
        <v>429.02599999999995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>E16+E17</f>
        <v>2994.8294168607008</v>
      </c>
      <c r="F15" s="12">
        <f>F16+F17</f>
        <v>2680.8467185860372</v>
      </c>
    </row>
    <row r="16" spans="1:12">
      <c r="A16" s="91" t="s">
        <v>26</v>
      </c>
      <c r="B16" s="8" t="s">
        <v>27</v>
      </c>
      <c r="C16" s="91" t="s">
        <v>25</v>
      </c>
      <c r="D16" s="9" t="s">
        <v>1</v>
      </c>
      <c r="E16" s="9">
        <f>2037520.41341062/1000</f>
        <v>2037.52041341062</v>
      </c>
      <c r="F16" s="9">
        <f>1932249.47364283/1000</f>
        <v>1932.24947364283</v>
      </c>
    </row>
    <row r="17" spans="1:6" ht="16.5" customHeight="1">
      <c r="A17" s="91" t="s">
        <v>28</v>
      </c>
      <c r="B17" s="8" t="s">
        <v>29</v>
      </c>
      <c r="C17" s="91" t="s">
        <v>25</v>
      </c>
      <c r="D17" s="9" t="s">
        <v>1</v>
      </c>
      <c r="E17" s="9">
        <f>957309.003450081/1000</f>
        <v>957.30900345008104</v>
      </c>
      <c r="F17" s="9">
        <f>748597.244943207/1000</f>
        <v>748.59724494320699</v>
      </c>
    </row>
    <row r="18" spans="1:6" ht="25.5">
      <c r="A18" s="91" t="s">
        <v>30</v>
      </c>
      <c r="B18" s="8" t="s">
        <v>31</v>
      </c>
      <c r="C18" s="91" t="s">
        <v>25</v>
      </c>
      <c r="D18" s="9" t="s">
        <v>1</v>
      </c>
      <c r="E18" s="9" t="s">
        <v>1</v>
      </c>
      <c r="F18" s="9" t="s">
        <v>1</v>
      </c>
    </row>
    <row r="19" spans="1:6">
      <c r="A19" s="91" t="s">
        <v>32</v>
      </c>
      <c r="B19" s="8" t="s">
        <v>33</v>
      </c>
      <c r="C19" s="91" t="s">
        <v>25</v>
      </c>
      <c r="D19" s="9">
        <f>1786377.95603/1000</f>
        <v>1786.37795603</v>
      </c>
      <c r="E19" s="9">
        <f>2020067.58406961/1000</f>
        <v>2020.0675840696101</v>
      </c>
      <c r="F19" s="9">
        <f>1920032.10741954/1000</f>
        <v>1920.0321074195399</v>
      </c>
    </row>
    <row r="20" spans="1:6" ht="25.5">
      <c r="A20" s="91"/>
      <c r="B20" s="8" t="s">
        <v>34</v>
      </c>
      <c r="C20" s="14" t="s">
        <v>35</v>
      </c>
      <c r="D20" s="16">
        <v>174.77084816230044</v>
      </c>
      <c r="E20" s="16">
        <v>191.30000000000004</v>
      </c>
      <c r="F20" s="16">
        <v>191.30000000000004</v>
      </c>
    </row>
    <row r="21" spans="1:6">
      <c r="A21" s="91" t="s">
        <v>36</v>
      </c>
      <c r="B21" s="8" t="s">
        <v>37</v>
      </c>
      <c r="C21" s="91" t="s">
        <v>25</v>
      </c>
      <c r="D21" s="9">
        <f>604025.87396/1000</f>
        <v>604.02587396000001</v>
      </c>
      <c r="E21" s="9">
        <f>510705.020971486/1000</f>
        <v>510.70502097148602</v>
      </c>
      <c r="F21" s="9">
        <f>612820.611921683/1000</f>
        <v>612.82061192168294</v>
      </c>
    </row>
    <row r="22" spans="1:6" ht="25.5">
      <c r="A22" s="91"/>
      <c r="B22" s="8" t="s">
        <v>38</v>
      </c>
      <c r="C22" s="14" t="s">
        <v>39</v>
      </c>
      <c r="D22" s="16">
        <v>167.02335184766685</v>
      </c>
      <c r="E22" s="16">
        <v>168.5</v>
      </c>
      <c r="F22" s="16">
        <v>168.5</v>
      </c>
    </row>
    <row r="23" spans="1:6" ht="63.75">
      <c r="A23" s="91"/>
      <c r="B23" s="8" t="s">
        <v>40</v>
      </c>
      <c r="C23" s="14"/>
      <c r="D23" s="18" t="s">
        <v>1</v>
      </c>
      <c r="E23" s="17" t="s">
        <v>196</v>
      </c>
      <c r="F23" s="17" t="s">
        <v>196</v>
      </c>
    </row>
    <row r="24" spans="1:6">
      <c r="A24" s="10" t="s">
        <v>41</v>
      </c>
      <c r="B24" s="75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91"/>
      <c r="D25" s="18" t="s">
        <v>1</v>
      </c>
      <c r="E25" s="18" t="s">
        <v>1</v>
      </c>
      <c r="F25" s="18" t="s">
        <v>1</v>
      </c>
    </row>
    <row r="26" spans="1:6">
      <c r="A26" s="91" t="s">
        <v>45</v>
      </c>
      <c r="B26" s="8" t="s">
        <v>46</v>
      </c>
      <c r="C26" s="9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91" t="s">
        <v>48</v>
      </c>
      <c r="B27" s="8" t="s">
        <v>49</v>
      </c>
      <c r="C27" s="9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91" t="s">
        <v>51</v>
      </c>
      <c r="B28" s="8" t="s">
        <v>52</v>
      </c>
      <c r="C28" s="9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18" t="s">
        <v>1</v>
      </c>
      <c r="E29" s="12">
        <f>SUM(E30:E32)</f>
        <v>2994.8294168607008</v>
      </c>
      <c r="F29" s="12">
        <f>SUM(F30:F32)</f>
        <v>2680.8467185860372</v>
      </c>
    </row>
    <row r="30" spans="1:6">
      <c r="A30" s="20" t="s">
        <v>55</v>
      </c>
      <c r="B30" s="21" t="s">
        <v>56</v>
      </c>
      <c r="C30" s="91" t="s">
        <v>25</v>
      </c>
      <c r="D30" s="18" t="s">
        <v>1</v>
      </c>
      <c r="E30" s="9">
        <f>E16</f>
        <v>2037.52041341062</v>
      </c>
      <c r="F30" s="9">
        <f>F16</f>
        <v>1932.24947364283</v>
      </c>
    </row>
    <row r="31" spans="1:6">
      <c r="A31" s="20" t="s">
        <v>57</v>
      </c>
      <c r="B31" s="8" t="s">
        <v>58</v>
      </c>
      <c r="C31" s="91" t="s">
        <v>25</v>
      </c>
      <c r="D31" s="18" t="s">
        <v>1</v>
      </c>
      <c r="E31" s="9">
        <f>E17</f>
        <v>957.30900345008104</v>
      </c>
      <c r="F31" s="9">
        <f>F17</f>
        <v>748.59724494320699</v>
      </c>
    </row>
    <row r="32" spans="1:6" ht="25.5">
      <c r="A32" s="20" t="s">
        <v>59</v>
      </c>
      <c r="B32" s="8" t="s">
        <v>60</v>
      </c>
      <c r="C32" s="9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1" t="s">
        <v>69</v>
      </c>
      <c r="B37" s="21" t="s">
        <v>56</v>
      </c>
      <c r="C37" s="91" t="s">
        <v>25</v>
      </c>
      <c r="D37" s="18" t="s">
        <v>1</v>
      </c>
      <c r="E37" s="18" t="s">
        <v>1</v>
      </c>
      <c r="F37" s="18" t="s">
        <v>1</v>
      </c>
    </row>
    <row r="38" spans="1:6">
      <c r="A38" s="91" t="s">
        <v>70</v>
      </c>
      <c r="B38" s="8" t="s">
        <v>58</v>
      </c>
      <c r="C38" s="9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91" t="s">
        <v>71</v>
      </c>
      <c r="B39" s="8" t="s">
        <v>60</v>
      </c>
      <c r="C39" s="9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1" t="s">
        <v>74</v>
      </c>
      <c r="B41" s="21" t="s">
        <v>56</v>
      </c>
      <c r="C41" s="91" t="s">
        <v>25</v>
      </c>
      <c r="D41" s="18" t="s">
        <v>1</v>
      </c>
      <c r="E41" s="18" t="s">
        <v>1</v>
      </c>
      <c r="F41" s="18" t="s">
        <v>1</v>
      </c>
    </row>
    <row r="42" spans="1:6">
      <c r="A42" s="91" t="s">
        <v>75</v>
      </c>
      <c r="B42" s="8" t="s">
        <v>58</v>
      </c>
      <c r="C42" s="9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91" t="s">
        <v>76</v>
      </c>
      <c r="B43" s="8" t="s">
        <v>60</v>
      </c>
      <c r="C43" s="9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81.7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 ht="26.25" customHeight="1">
      <c r="A50" s="29"/>
      <c r="B50" s="172"/>
      <c r="C50" s="172"/>
      <c r="D50" s="172"/>
      <c r="E50" s="172"/>
      <c r="F50" s="172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30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 ht="15.75" customHeight="1">
      <c r="A58" s="155" t="s">
        <v>202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63" t="s">
        <v>106</v>
      </c>
      <c r="B60" s="163" t="s">
        <v>6</v>
      </c>
      <c r="C60" s="163" t="s">
        <v>186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>
      <c r="A61" s="163"/>
      <c r="B61" s="163"/>
      <c r="C61" s="163"/>
      <c r="D61" s="92" t="s">
        <v>107</v>
      </c>
      <c r="E61" s="92" t="s">
        <v>108</v>
      </c>
      <c r="F61" s="92" t="s">
        <v>107</v>
      </c>
      <c r="G61" s="92" t="s">
        <v>108</v>
      </c>
      <c r="H61" s="92" t="s">
        <v>107</v>
      </c>
      <c r="I61" s="92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4" t="s">
        <v>111</v>
      </c>
      <c r="B63" s="112" t="s">
        <v>112</v>
      </c>
      <c r="C63" s="114" t="s">
        <v>113</v>
      </c>
      <c r="D63" s="113">
        <v>828.23</v>
      </c>
      <c r="E63" s="113">
        <v>945.53519039241257</v>
      </c>
      <c r="F63" s="113">
        <v>945.53519039241257</v>
      </c>
      <c r="G63" s="113">
        <v>1139.4300666553575</v>
      </c>
      <c r="H63" s="113">
        <v>1139.4300666553575</v>
      </c>
      <c r="I63" s="113">
        <v>1635.9448254513686</v>
      </c>
    </row>
    <row r="64" spans="1:9" ht="28.5">
      <c r="A64" s="114"/>
      <c r="B64" s="112" t="s">
        <v>114</v>
      </c>
      <c r="C64" s="114" t="s">
        <v>113</v>
      </c>
      <c r="D64" s="113">
        <v>820.18</v>
      </c>
      <c r="E64" s="113">
        <v>936.87995240001158</v>
      </c>
      <c r="F64" s="113">
        <v>936.87995240001158</v>
      </c>
      <c r="G64" s="113">
        <v>1129.670027752943</v>
      </c>
      <c r="H64" s="113">
        <v>1129.670027752943</v>
      </c>
      <c r="I64" s="113">
        <v>1625.6009556114429</v>
      </c>
    </row>
    <row r="65" spans="1:9" ht="28.5">
      <c r="A65" s="114" t="s">
        <v>115</v>
      </c>
      <c r="B65" s="112" t="s">
        <v>116</v>
      </c>
      <c r="C65" s="114" t="s">
        <v>109</v>
      </c>
      <c r="D65" s="113">
        <v>199090.89</v>
      </c>
      <c r="E65" s="113">
        <v>212997.77197030437</v>
      </c>
      <c r="F65" s="113">
        <v>212997.77197030437</v>
      </c>
      <c r="G65" s="113">
        <v>225167.58714491242</v>
      </c>
      <c r="H65" s="113">
        <v>225167.58714491242</v>
      </c>
      <c r="I65" s="113">
        <v>237474.86612827212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A58:I58"/>
    <mergeCell ref="A60:A61"/>
    <mergeCell ref="B60:B61"/>
    <mergeCell ref="C60:C61"/>
    <mergeCell ref="D60:E60"/>
    <mergeCell ref="F60:G60"/>
    <mergeCell ref="H60:I60"/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L66"/>
  <sheetViews>
    <sheetView topLeftCell="A16" workbookViewId="0">
      <selection activeCell="K13" sqref="K13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68" t="s">
        <v>4</v>
      </c>
      <c r="E1" s="168"/>
      <c r="F1" s="168"/>
    </row>
    <row r="2" spans="1:12" ht="40.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98"/>
      <c r="F3" s="98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90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90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4" t="s">
        <v>8</v>
      </c>
      <c r="B9" s="5" t="s">
        <v>9</v>
      </c>
      <c r="C9" s="4" t="s">
        <v>10</v>
      </c>
      <c r="D9" s="6">
        <v>750</v>
      </c>
      <c r="E9" s="6">
        <v>750</v>
      </c>
      <c r="F9" s="6">
        <v>750</v>
      </c>
      <c r="H9" s="167"/>
      <c r="I9" s="167"/>
      <c r="J9" s="167"/>
      <c r="K9" s="167"/>
      <c r="L9" s="167"/>
    </row>
    <row r="10" spans="1:12" ht="63.75">
      <c r="A10" s="7" t="s">
        <v>11</v>
      </c>
      <c r="B10" s="8" t="s">
        <v>12</v>
      </c>
      <c r="C10" s="7" t="s">
        <v>10</v>
      </c>
      <c r="D10" s="9">
        <v>682.3660000000001</v>
      </c>
      <c r="E10" s="9">
        <v>679.43499999999995</v>
      </c>
      <c r="F10" s="9">
        <v>685.72400000000005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2344.7140709999999</v>
      </c>
      <c r="E11" s="9">
        <v>2563.1840000000002</v>
      </c>
      <c r="F11" s="9">
        <v>1691.3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2117.6846609999998</v>
      </c>
      <c r="E12" s="9">
        <v>2295.1278000000002</v>
      </c>
      <c r="F12" s="9">
        <v>1496.3899100000001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2853.0880000000002</v>
      </c>
      <c r="E13" s="9">
        <v>3039.7</v>
      </c>
      <c r="F13" s="9">
        <v>3196.5529999999999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2844.2194900000004</v>
      </c>
      <c r="E14" s="9">
        <v>3032.1698999999999</v>
      </c>
      <c r="F14" s="9">
        <v>3187.864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4562.35711696216</v>
      </c>
      <c r="F15" s="12">
        <f>F16+F17</f>
        <v>4334.4106961011803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f>3128772.80858407/1000</f>
        <v>3128.7728085840699</v>
      </c>
      <c r="F16" s="9">
        <f>2808392.45559997/1000</f>
        <v>2808.3924555999702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f>1433584.30837809/1000</f>
        <v>1433.5843083780899</v>
      </c>
      <c r="F17" s="9">
        <f>1526018.24050121/1000</f>
        <v>1526.0182405012101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f>2946892.54587/1000</f>
        <v>2946.89254587</v>
      </c>
      <c r="E19" s="9">
        <f>3106372.27197005/1000</f>
        <v>3106.37227197005</v>
      </c>
      <c r="F19" s="9">
        <f>2792913.99314115/1000</f>
        <v>2792.9139931411501</v>
      </c>
    </row>
    <row r="20" spans="1:6" ht="25.5">
      <c r="A20" s="7"/>
      <c r="B20" s="8" t="s">
        <v>34</v>
      </c>
      <c r="C20" s="14" t="s">
        <v>35</v>
      </c>
      <c r="D20" s="16">
        <v>233.79933187556466</v>
      </c>
      <c r="E20" s="16">
        <v>222.3</v>
      </c>
      <c r="F20" s="16">
        <v>222.3</v>
      </c>
    </row>
    <row r="21" spans="1:6">
      <c r="A21" s="7" t="s">
        <v>36</v>
      </c>
      <c r="B21" s="8" t="s">
        <v>37</v>
      </c>
      <c r="C21" s="7" t="s">
        <v>25</v>
      </c>
      <c r="D21" s="9">
        <f>2794277.21497/1000</f>
        <v>2794.2772149699999</v>
      </c>
      <c r="E21" s="9">
        <f>3088629.82445804/1000</f>
        <v>3088.6298244580398</v>
      </c>
      <c r="F21" s="9">
        <f>4458369.54440478/1000</f>
        <v>4458.3695444047798</v>
      </c>
    </row>
    <row r="22" spans="1:6" ht="25.5">
      <c r="A22" s="7"/>
      <c r="B22" s="8" t="s">
        <v>38</v>
      </c>
      <c r="C22" s="14" t="s">
        <v>39</v>
      </c>
      <c r="D22" s="16">
        <v>168.72420338945028</v>
      </c>
      <c r="E22" s="16">
        <v>169.7</v>
      </c>
      <c r="F22" s="16">
        <v>169.7</v>
      </c>
    </row>
    <row r="23" spans="1:6" ht="63.75">
      <c r="A23" s="7"/>
      <c r="B23" s="8" t="s">
        <v>40</v>
      </c>
      <c r="C23" s="14"/>
      <c r="D23" s="18" t="s">
        <v>1</v>
      </c>
      <c r="E23" s="17" t="s">
        <v>203</v>
      </c>
      <c r="F23" s="17" t="s">
        <v>203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4562.35711696216</v>
      </c>
      <c r="F29" s="12">
        <f>SUM(F30:F32)</f>
        <v>4334.4106961011803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3128.7728085840699</v>
      </c>
      <c r="F30" s="9">
        <f>F16</f>
        <v>2808.3924555999702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1433.5843083780899</v>
      </c>
      <c r="F31" s="9">
        <f>F17</f>
        <v>1526.0182405012101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82.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 ht="26.25" customHeight="1">
      <c r="A50" s="29"/>
      <c r="B50" s="172"/>
      <c r="C50" s="172"/>
      <c r="D50" s="172"/>
      <c r="E50" s="172"/>
      <c r="F50" s="172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30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 ht="15.75" customHeight="1">
      <c r="A58" s="155" t="s">
        <v>138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63" t="s">
        <v>106</v>
      </c>
      <c r="B60" s="163" t="s">
        <v>6</v>
      </c>
      <c r="C60" s="163" t="s">
        <v>186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>
      <c r="A61" s="163"/>
      <c r="B61" s="163"/>
      <c r="C61" s="163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4" t="s">
        <v>111</v>
      </c>
      <c r="B63" s="112" t="s">
        <v>112</v>
      </c>
      <c r="C63" s="114" t="s">
        <v>113</v>
      </c>
      <c r="D63" s="113">
        <v>1061.731113023942</v>
      </c>
      <c r="E63" s="113">
        <v>1128.8358690964744</v>
      </c>
      <c r="F63" s="113">
        <v>1128.8358690964744</v>
      </c>
      <c r="G63" s="113">
        <v>1363.2237858754816</v>
      </c>
      <c r="H63" s="113">
        <v>1363.2237858754816</v>
      </c>
      <c r="I63" s="113">
        <v>1876.7785300022283</v>
      </c>
    </row>
    <row r="64" spans="1:9" ht="28.5">
      <c r="A64" s="114"/>
      <c r="B64" s="112" t="s">
        <v>114</v>
      </c>
      <c r="C64" s="114" t="s">
        <v>113</v>
      </c>
      <c r="D64" s="113">
        <v>1053.6854958506328</v>
      </c>
      <c r="E64" s="113">
        <v>1120.1806311040734</v>
      </c>
      <c r="F64" s="113">
        <v>1120.1806311040734</v>
      </c>
      <c r="G64" s="113">
        <v>1353.4637469730671</v>
      </c>
      <c r="H64" s="113">
        <v>1353.4637469730671</v>
      </c>
      <c r="I64" s="113">
        <v>1866.4346601623026</v>
      </c>
    </row>
    <row r="65" spans="1:9" ht="28.5">
      <c r="A65" s="114" t="s">
        <v>115</v>
      </c>
      <c r="B65" s="112" t="s">
        <v>116</v>
      </c>
      <c r="C65" s="114" t="s">
        <v>109</v>
      </c>
      <c r="D65" s="113">
        <v>155435.16577418614</v>
      </c>
      <c r="E65" s="113">
        <v>166314.85333491224</v>
      </c>
      <c r="F65" s="113">
        <v>166314.85333491224</v>
      </c>
      <c r="G65" s="113">
        <v>175830.4459315573</v>
      </c>
      <c r="H65" s="113">
        <v>175830.4459315573</v>
      </c>
      <c r="I65" s="113">
        <v>185450.97839427312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L66"/>
  <sheetViews>
    <sheetView workbookViewId="0">
      <selection activeCell="I10" sqref="I10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3.5703125" customWidth="1"/>
    <col min="5" max="5" width="15" customWidth="1"/>
    <col min="6" max="6" width="15.42578125" customWidth="1"/>
    <col min="7" max="7" width="17.42578125" customWidth="1"/>
    <col min="8" max="8" width="16" customWidth="1"/>
    <col min="9" max="9" width="18" customWidth="1"/>
  </cols>
  <sheetData>
    <row r="1" spans="1:12">
      <c r="D1" s="168" t="s">
        <v>4</v>
      </c>
      <c r="E1" s="168"/>
      <c r="F1" s="168"/>
    </row>
    <row r="2" spans="1:12" ht="39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153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90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4" t="s">
        <v>8</v>
      </c>
      <c r="B9" s="5" t="s">
        <v>9</v>
      </c>
      <c r="C9" s="4" t="s">
        <v>10</v>
      </c>
      <c r="D9" s="36">
        <v>457</v>
      </c>
      <c r="E9" s="36">
        <v>457</v>
      </c>
      <c r="F9" s="6">
        <v>457</v>
      </c>
      <c r="H9" s="167"/>
      <c r="I9" s="167"/>
      <c r="J9" s="167"/>
      <c r="K9" s="167"/>
      <c r="L9" s="167"/>
    </row>
    <row r="10" spans="1:12" ht="63.75">
      <c r="A10" s="7" t="s">
        <v>11</v>
      </c>
      <c r="B10" s="8" t="s">
        <v>12</v>
      </c>
      <c r="C10" s="7" t="s">
        <v>10</v>
      </c>
      <c r="D10" s="13">
        <v>432.44499999999999</v>
      </c>
      <c r="E10" s="13">
        <v>434.72249999999997</v>
      </c>
      <c r="F10" s="9">
        <v>431.70049999999998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13">
        <v>2565.3653389999999</v>
      </c>
      <c r="E11" s="13">
        <v>2354.0001999999999</v>
      </c>
      <c r="F11" s="9">
        <v>1909.36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13">
        <v>2453.7466060000002</v>
      </c>
      <c r="E12" s="13">
        <v>2240.8132999999998</v>
      </c>
      <c r="F12" s="9">
        <v>1784.1558609999997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13">
        <v>1150.0250000000001</v>
      </c>
      <c r="E13" s="13">
        <v>945.3</v>
      </c>
      <c r="F13" s="9">
        <v>1118.0039999999999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13">
        <v>1146.8545100000001</v>
      </c>
      <c r="E14" s="13">
        <v>941.98989999999992</v>
      </c>
      <c r="F14" s="9">
        <v>1115.5179999999998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3717.3250050486422</v>
      </c>
      <c r="F15" s="37">
        <f>F16+F17</f>
        <v>4079.4619208602799</v>
      </c>
    </row>
    <row r="16" spans="1:12">
      <c r="A16" s="7" t="s">
        <v>26</v>
      </c>
      <c r="B16" s="8" t="s">
        <v>27</v>
      </c>
      <c r="C16" s="7" t="s">
        <v>25</v>
      </c>
      <c r="D16" s="13" t="s">
        <v>1</v>
      </c>
      <c r="E16" s="13">
        <f>2751649.37997473/1000</f>
        <v>2751.64937997473</v>
      </c>
      <c r="F16" s="9">
        <f>3069362.9211726/1000</f>
        <v>3069.3629211725997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f>965675.625073912/1000</f>
        <v>965.67562507391199</v>
      </c>
      <c r="F17" s="13">
        <f>1010098.99968768/1000</f>
        <v>1010.09899968768</v>
      </c>
    </row>
    <row r="18" spans="1:6" ht="27.75" customHeight="1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>
        <f>3017109.05793/1000</f>
        <v>3017.1090579300003</v>
      </c>
      <c r="E19" s="13">
        <f>2747028.6840197/1000</f>
        <v>2747.0286840197</v>
      </c>
      <c r="F19" s="9">
        <f>3065274.01774854/1000</f>
        <v>3065.2740177485398</v>
      </c>
    </row>
    <row r="20" spans="1:6" ht="25.5">
      <c r="A20" s="7"/>
      <c r="B20" s="8" t="s">
        <v>34</v>
      </c>
      <c r="C20" s="14" t="s">
        <v>35</v>
      </c>
      <c r="D20" s="38">
        <v>210.22390407192947</v>
      </c>
      <c r="E20" s="38">
        <v>203.9</v>
      </c>
      <c r="F20" s="38">
        <v>203.9</v>
      </c>
    </row>
    <row r="21" spans="1:6">
      <c r="A21" s="7" t="s">
        <v>36</v>
      </c>
      <c r="B21" s="8" t="s">
        <v>37</v>
      </c>
      <c r="C21" s="7" t="s">
        <v>25</v>
      </c>
      <c r="D21" s="13">
        <f>1022862.12416/1000</f>
        <v>1022.86212416</v>
      </c>
      <c r="E21" s="13">
        <f>867480.633741058/1000</f>
        <v>867.480633741058</v>
      </c>
      <c r="F21" s="9">
        <f>1409623.00038809/1000</f>
        <v>1409.6230003880901</v>
      </c>
    </row>
    <row r="22" spans="1:6" ht="25.5">
      <c r="A22" s="7"/>
      <c r="B22" s="8" t="s">
        <v>38</v>
      </c>
      <c r="C22" s="14" t="s">
        <v>39</v>
      </c>
      <c r="D22" s="38">
        <v>153.99926088563294</v>
      </c>
      <c r="E22" s="38">
        <v>153.30000000000001</v>
      </c>
      <c r="F22" s="38">
        <v>153.30000000000001</v>
      </c>
    </row>
    <row r="23" spans="1:6" ht="63.75">
      <c r="A23" s="7"/>
      <c r="B23" s="8" t="s">
        <v>40</v>
      </c>
      <c r="C23" s="14"/>
      <c r="D23" s="18" t="s">
        <v>1</v>
      </c>
      <c r="E23" s="17" t="s">
        <v>203</v>
      </c>
      <c r="F23" s="17" t="s">
        <v>203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37">
        <f t="shared" ref="E29" si="0">SUM(E30:E32)</f>
        <v>3717.3250050486422</v>
      </c>
      <c r="F29" s="12">
        <f>SUM(F30:F32)</f>
        <v>4079.4619208602799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13">
        <f>E16</f>
        <v>2751.64937997473</v>
      </c>
      <c r="F30" s="13">
        <f>F16</f>
        <v>3069.3629211725997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13">
        <f>E17</f>
        <v>965.67562507391199</v>
      </c>
      <c r="F31" s="13">
        <f>F17</f>
        <v>1010.09899968768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87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16.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27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 ht="15.75" customHeight="1">
      <c r="A58" s="155" t="s">
        <v>154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170"/>
      <c r="B59" s="170"/>
      <c r="C59" s="170"/>
      <c r="D59" s="170"/>
      <c r="E59" s="170"/>
      <c r="F59" s="170"/>
      <c r="G59" s="64"/>
      <c r="H59" s="64"/>
      <c r="I59" s="64"/>
    </row>
    <row r="60" spans="1:9" ht="42.75" customHeight="1">
      <c r="A60" s="163" t="s">
        <v>106</v>
      </c>
      <c r="B60" s="163" t="s">
        <v>6</v>
      </c>
      <c r="C60" s="163" t="s">
        <v>186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 ht="28.5">
      <c r="A61" s="163"/>
      <c r="B61" s="163"/>
      <c r="C61" s="163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4" t="s">
        <v>111</v>
      </c>
      <c r="B63" s="112" t="s">
        <v>112</v>
      </c>
      <c r="C63" s="114" t="s">
        <v>113</v>
      </c>
      <c r="D63" s="113">
        <v>923.69</v>
      </c>
      <c r="E63" s="113">
        <v>1020.7305140096714</v>
      </c>
      <c r="F63" s="113">
        <v>1020.7305140096714</v>
      </c>
      <c r="G63" s="113">
        <v>1227.969050333076</v>
      </c>
      <c r="H63" s="113">
        <v>1227.969050333076</v>
      </c>
      <c r="I63" s="113">
        <v>1720.3446112898764</v>
      </c>
    </row>
    <row r="64" spans="1:9" ht="28.5">
      <c r="A64" s="114"/>
      <c r="B64" s="112" t="s">
        <v>114</v>
      </c>
      <c r="C64" s="114" t="s">
        <v>113</v>
      </c>
      <c r="D64" s="113">
        <v>922.09483528596922</v>
      </c>
      <c r="E64" s="113">
        <v>1018.9419300096714</v>
      </c>
      <c r="F64" s="113">
        <v>1018.9419300096714</v>
      </c>
      <c r="G64" s="113">
        <v>1225.906988333076</v>
      </c>
      <c r="H64" s="113">
        <v>1225.906988333076</v>
      </c>
      <c r="I64" s="113">
        <v>1718.0528252898764</v>
      </c>
    </row>
    <row r="65" spans="1:9" ht="28.5">
      <c r="A65" s="114" t="s">
        <v>115</v>
      </c>
      <c r="B65" s="112" t="s">
        <v>116</v>
      </c>
      <c r="C65" s="114" t="s">
        <v>109</v>
      </c>
      <c r="D65" s="113">
        <v>165536.42000000001</v>
      </c>
      <c r="E65" s="113">
        <v>176130.7517312</v>
      </c>
      <c r="F65" s="113">
        <v>176130.7517312</v>
      </c>
      <c r="G65" s="113">
        <v>185113.42006949103</v>
      </c>
      <c r="H65" s="113">
        <v>185113.42006949103</v>
      </c>
      <c r="I65" s="113">
        <v>194984.52431868762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9:F59"/>
    <mergeCell ref="A58:I58"/>
    <mergeCell ref="H9:L9"/>
    <mergeCell ref="D1:F1"/>
    <mergeCell ref="D2:F2"/>
    <mergeCell ref="B49:F49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I66"/>
  <sheetViews>
    <sheetView workbookViewId="0">
      <selection activeCell="D10" sqref="D10"/>
    </sheetView>
  </sheetViews>
  <sheetFormatPr defaultRowHeight="15"/>
  <cols>
    <col min="1" max="1" width="5.85546875" customWidth="1"/>
    <col min="2" max="2" width="38.85546875" customWidth="1"/>
    <col min="3" max="3" width="10.2851562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5.28515625" customWidth="1"/>
    <col min="9" max="9" width="16.28515625" customWidth="1"/>
  </cols>
  <sheetData>
    <row r="1" spans="1:8" ht="13.5" customHeight="1">
      <c r="A1" s="2"/>
      <c r="B1" s="2"/>
      <c r="C1" s="2"/>
      <c r="D1" s="168" t="s">
        <v>4</v>
      </c>
      <c r="E1" s="168"/>
      <c r="F1" s="168"/>
    </row>
    <row r="2" spans="1:8" ht="39.75" customHeight="1">
      <c r="A2" s="2"/>
      <c r="B2" s="2"/>
      <c r="C2" s="2"/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8" ht="13.5" customHeight="1">
      <c r="A3" s="2"/>
      <c r="B3" s="2"/>
      <c r="C3" s="2"/>
      <c r="D3" s="2"/>
      <c r="E3" s="96"/>
      <c r="F3" s="96"/>
    </row>
    <row r="4" spans="1:8" ht="16.5" customHeight="1">
      <c r="A4" s="155" t="s">
        <v>92</v>
      </c>
      <c r="B4" s="155"/>
      <c r="C4" s="155"/>
      <c r="D4" s="155"/>
      <c r="E4" s="155"/>
      <c r="F4" s="155"/>
    </row>
    <row r="5" spans="1:8" ht="17.25" customHeight="1">
      <c r="A5" s="155" t="s">
        <v>91</v>
      </c>
      <c r="B5" s="155"/>
      <c r="C5" s="155"/>
      <c r="D5" s="155"/>
      <c r="E5" s="155"/>
      <c r="F5" s="155"/>
    </row>
    <row r="6" spans="1:8" ht="17.25" customHeight="1">
      <c r="A6" s="155" t="s">
        <v>88</v>
      </c>
      <c r="B6" s="155"/>
      <c r="C6" s="155"/>
      <c r="D6" s="155"/>
      <c r="E6" s="155"/>
      <c r="F6" s="155"/>
      <c r="G6" s="41"/>
      <c r="H6" s="41"/>
    </row>
    <row r="8" spans="1:8" ht="77.2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8">
      <c r="A9" s="4" t="s">
        <v>8</v>
      </c>
      <c r="B9" s="5" t="s">
        <v>9</v>
      </c>
      <c r="C9" s="4" t="s">
        <v>10</v>
      </c>
      <c r="D9" s="36">
        <v>84</v>
      </c>
      <c r="E9" s="36">
        <v>84</v>
      </c>
      <c r="F9" s="6">
        <v>84</v>
      </c>
    </row>
    <row r="10" spans="1:8" ht="63.75">
      <c r="A10" s="7" t="s">
        <v>11</v>
      </c>
      <c r="B10" s="8" t="s">
        <v>12</v>
      </c>
      <c r="C10" s="7" t="s">
        <v>10</v>
      </c>
      <c r="D10" s="13">
        <v>51.355999999999995</v>
      </c>
      <c r="E10" s="13">
        <v>51.206666666666663</v>
      </c>
      <c r="F10" s="9">
        <v>51.316583333333327</v>
      </c>
    </row>
    <row r="11" spans="1:8">
      <c r="A11" s="7" t="s">
        <v>13</v>
      </c>
      <c r="B11" s="8" t="s">
        <v>14</v>
      </c>
      <c r="C11" s="7" t="s">
        <v>15</v>
      </c>
      <c r="D11" s="13">
        <v>338.85891000000004</v>
      </c>
      <c r="E11" s="13">
        <v>372.32990000000001</v>
      </c>
      <c r="F11" s="9">
        <v>325</v>
      </c>
    </row>
    <row r="12" spans="1:8">
      <c r="A12" s="7" t="s">
        <v>16</v>
      </c>
      <c r="B12" s="8" t="s">
        <v>17</v>
      </c>
      <c r="C12" s="7" t="s">
        <v>15</v>
      </c>
      <c r="D12" s="13">
        <v>328.82817399999999</v>
      </c>
      <c r="E12" s="13">
        <v>361.91446100000002</v>
      </c>
      <c r="F12" s="9">
        <v>310.41504599999996</v>
      </c>
    </row>
    <row r="13" spans="1:8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8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8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192.05249452280611</v>
      </c>
      <c r="F15" s="37">
        <f>F16+F17</f>
        <v>201.20715834380232</v>
      </c>
    </row>
    <row r="16" spans="1:8">
      <c r="A16" s="7" t="s">
        <v>26</v>
      </c>
      <c r="B16" s="8" t="s">
        <v>27</v>
      </c>
      <c r="C16" s="7" t="s">
        <v>25</v>
      </c>
      <c r="D16" s="13" t="s">
        <v>1</v>
      </c>
      <c r="E16" s="13">
        <f>20221.3759237181/1000</f>
        <v>20.221375923718099</v>
      </c>
      <c r="F16" s="9">
        <f>19726.8880018583/1000</f>
        <v>19.726888001858299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f>171831.118599088/1000</f>
        <v>171.831118599088</v>
      </c>
      <c r="F17" s="9">
        <f>181480.270341944/1000</f>
        <v>181.48027034194402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>E30+E31</f>
        <v>192.05249452280611</v>
      </c>
      <c r="F29" s="37">
        <f>F30+F31</f>
        <v>201.20715834380232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20.221375923718099</v>
      </c>
      <c r="F30" s="13">
        <f>F16</f>
        <v>19.726888001858299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171.831118599088</v>
      </c>
      <c r="F31" s="13">
        <f>F17</f>
        <v>181.48027034194402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24.75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 ht="15.75" customHeight="1">
      <c r="A58" s="155" t="s">
        <v>137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3.5" customHeight="1">
      <c r="A60" s="163" t="s">
        <v>106</v>
      </c>
      <c r="B60" s="163" t="s">
        <v>6</v>
      </c>
      <c r="C60" s="163" t="s">
        <v>7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 ht="28.5">
      <c r="A61" s="163"/>
      <c r="B61" s="163"/>
      <c r="C61" s="163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39.437232177286859</v>
      </c>
      <c r="E63" s="113">
        <v>49.19</v>
      </c>
      <c r="F63" s="113">
        <v>49.19</v>
      </c>
      <c r="G63" s="113">
        <v>55.87</v>
      </c>
      <c r="H63" s="113">
        <v>55.87</v>
      </c>
      <c r="I63" s="113">
        <v>63.55003810562161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247415.77989164065</v>
      </c>
      <c r="E65" s="113">
        <v>264569.34000000003</v>
      </c>
      <c r="F65" s="113">
        <v>264569.34000000003</v>
      </c>
      <c r="G65" s="113">
        <v>279636.63357487303</v>
      </c>
      <c r="H65" s="113">
        <v>279636.63357487303</v>
      </c>
      <c r="I65" s="113">
        <v>294706.9909856047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D1:F1"/>
    <mergeCell ref="D2:F2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A4:F4"/>
    <mergeCell ref="A5:F5"/>
    <mergeCell ref="A6:F6"/>
    <mergeCell ref="E53:I53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I65"/>
  <sheetViews>
    <sheetView topLeftCell="A52" zoomScaleNormal="100" zoomScaleSheetLayoutView="110" workbookViewId="0">
      <selection activeCell="I64" sqref="I64"/>
    </sheetView>
  </sheetViews>
  <sheetFormatPr defaultRowHeight="15"/>
  <cols>
    <col min="1" max="1" width="5.85546875" customWidth="1"/>
    <col min="2" max="2" width="38.85546875" customWidth="1"/>
    <col min="3" max="3" width="10.28515625" customWidth="1"/>
    <col min="4" max="4" width="17.140625" customWidth="1"/>
    <col min="5" max="5" width="15" customWidth="1"/>
    <col min="6" max="6" width="15.42578125" customWidth="1"/>
    <col min="7" max="7" width="14.42578125" customWidth="1"/>
    <col min="8" max="8" width="16.7109375" customWidth="1"/>
    <col min="9" max="9" width="15.85546875" customWidth="1"/>
  </cols>
  <sheetData>
    <row r="1" spans="1:6">
      <c r="D1" s="168" t="s">
        <v>4</v>
      </c>
      <c r="E1" s="168"/>
      <c r="F1" s="168"/>
    </row>
    <row r="2" spans="1:6" ht="27.7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55" t="s">
        <v>92</v>
      </c>
      <c r="B4" s="155"/>
      <c r="C4" s="155"/>
      <c r="D4" s="155"/>
      <c r="E4" s="155"/>
      <c r="F4" s="155"/>
    </row>
    <row r="5" spans="1:6" ht="17.25" customHeight="1">
      <c r="A5" s="155" t="s">
        <v>2</v>
      </c>
      <c r="B5" s="155"/>
      <c r="C5" s="155"/>
      <c r="D5" s="155"/>
      <c r="E5" s="155"/>
      <c r="F5" s="155"/>
    </row>
    <row r="6" spans="1:6" ht="17.25" customHeight="1">
      <c r="A6" s="155" t="s">
        <v>88</v>
      </c>
      <c r="B6" s="155"/>
      <c r="C6" s="155"/>
      <c r="D6" s="155"/>
      <c r="E6" s="155"/>
      <c r="F6" s="155"/>
    </row>
    <row r="8" spans="1:6" ht="64.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6">
      <c r="A9" s="4" t="s">
        <v>8</v>
      </c>
      <c r="B9" s="5" t="s">
        <v>9</v>
      </c>
      <c r="C9" s="4" t="s">
        <v>10</v>
      </c>
      <c r="D9" s="36">
        <v>124.8</v>
      </c>
      <c r="E9" s="36">
        <v>124.8</v>
      </c>
      <c r="F9" s="36">
        <v>124.8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123.389</v>
      </c>
      <c r="E10" s="13">
        <v>123.37999999999997</v>
      </c>
      <c r="F10" s="13">
        <v>123.40266666666663</v>
      </c>
    </row>
    <row r="11" spans="1:6">
      <c r="A11" s="7" t="s">
        <v>13</v>
      </c>
      <c r="B11" s="8" t="s">
        <v>14</v>
      </c>
      <c r="C11" s="7" t="s">
        <v>15</v>
      </c>
      <c r="D11" s="13">
        <v>693.94771500000002</v>
      </c>
      <c r="E11" s="13">
        <v>707</v>
      </c>
      <c r="F11" s="13">
        <v>707</v>
      </c>
    </row>
    <row r="12" spans="1:6">
      <c r="A12" s="7" t="s">
        <v>16</v>
      </c>
      <c r="B12" s="8" t="s">
        <v>17</v>
      </c>
      <c r="C12" s="7" t="s">
        <v>15</v>
      </c>
      <c r="D12" s="13">
        <v>683.28283399999998</v>
      </c>
      <c r="E12" s="13">
        <v>696.00379099999998</v>
      </c>
      <c r="F12" s="13">
        <v>689.14654900000005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271.68498231146037</v>
      </c>
      <c r="F15" s="37">
        <f>F16+F17</f>
        <v>289.06165441730241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38.481543833315399</v>
      </c>
      <c r="F16" s="13">
        <v>43.054447312846399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233.20343847814499</v>
      </c>
      <c r="F17" s="13">
        <v>246.007207104456</v>
      </c>
    </row>
    <row r="18" spans="1:6" ht="25.5">
      <c r="A18" s="7" t="s">
        <v>30</v>
      </c>
      <c r="B18" s="8" t="s">
        <v>31</v>
      </c>
      <c r="C18" s="7" t="s">
        <v>25</v>
      </c>
      <c r="D18" s="43" t="s">
        <v>1</v>
      </c>
      <c r="E18" s="43" t="s">
        <v>1</v>
      </c>
      <c r="F18" s="43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43" t="s">
        <v>1</v>
      </c>
    </row>
    <row r="20" spans="1:6" ht="25.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43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43" t="s">
        <v>1</v>
      </c>
    </row>
    <row r="22" spans="1:6" ht="25.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43" t="s">
        <v>1</v>
      </c>
    </row>
    <row r="23" spans="1:6" ht="25.5">
      <c r="A23" s="7"/>
      <c r="B23" s="8" t="s">
        <v>40</v>
      </c>
      <c r="C23" s="14"/>
      <c r="D23" s="43" t="s">
        <v>1</v>
      </c>
      <c r="E23" s="43" t="s">
        <v>1</v>
      </c>
      <c r="F23" s="43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43" t="s">
        <v>1</v>
      </c>
    </row>
    <row r="25" spans="1:6" ht="38.25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43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4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43" t="s">
        <v>1</v>
      </c>
    </row>
    <row r="28" spans="1:6" ht="38.2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43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f>E30+E31</f>
        <v>271.68498231146037</v>
      </c>
      <c r="F29" s="37">
        <f>F30+F31</f>
        <v>289.06165441730241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f>E16</f>
        <v>38.481543833315399</v>
      </c>
      <c r="F30" s="13">
        <f>F16</f>
        <v>43.054447312846399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f>E17</f>
        <v>233.20343847814499</v>
      </c>
      <c r="F31" s="13">
        <f>F17</f>
        <v>246.007207104456</v>
      </c>
    </row>
    <row r="32" spans="1:6" ht="25.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4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43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43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4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43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43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4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4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43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43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4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43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4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43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4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 ht="28.5" customHeight="1">
      <c r="A50" s="30"/>
      <c r="B50" s="164"/>
      <c r="C50" s="164"/>
      <c r="D50" s="164"/>
      <c r="E50" s="164"/>
      <c r="F50" s="164"/>
    </row>
    <row r="51" spans="1:9">
      <c r="A51" s="27"/>
      <c r="B51" s="27"/>
    </row>
    <row r="52" spans="1:9" ht="15.75">
      <c r="A52" s="64"/>
      <c r="B52" s="64"/>
      <c r="C52" s="64"/>
      <c r="D52" s="64"/>
      <c r="E52" s="166" t="s">
        <v>117</v>
      </c>
      <c r="F52" s="166"/>
      <c r="G52" s="166"/>
      <c r="H52" s="166"/>
      <c r="I52" s="166"/>
    </row>
    <row r="53" spans="1:9" ht="27" customHeight="1">
      <c r="A53" s="64"/>
      <c r="B53" s="64"/>
      <c r="C53" s="64"/>
      <c r="D53" s="64"/>
      <c r="E53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3" s="166"/>
      <c r="G53" s="166"/>
      <c r="H53" s="166"/>
      <c r="I53" s="166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2" t="s">
        <v>105</v>
      </c>
      <c r="B56" s="162"/>
      <c r="C56" s="162"/>
      <c r="D56" s="162"/>
      <c r="E56" s="162"/>
      <c r="F56" s="162"/>
      <c r="G56" s="162"/>
      <c r="H56" s="162"/>
      <c r="I56" s="162"/>
    </row>
    <row r="57" spans="1:9" ht="15.75" customHeight="1">
      <c r="A57" s="155" t="s">
        <v>136</v>
      </c>
      <c r="B57" s="155"/>
      <c r="C57" s="155"/>
      <c r="D57" s="155"/>
      <c r="E57" s="155"/>
      <c r="F57" s="155"/>
      <c r="G57" s="155"/>
      <c r="H57" s="155"/>
      <c r="I57" s="15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0.5" customHeight="1">
      <c r="A59" s="163" t="s">
        <v>106</v>
      </c>
      <c r="B59" s="163" t="s">
        <v>6</v>
      </c>
      <c r="C59" s="163" t="s">
        <v>7</v>
      </c>
      <c r="D59" s="163" t="str">
        <f>' ЦТЭЦ (ГТУ-1) ДПМ'!$D$58:$E$58</f>
        <v>Фактические показатели за год, предшествующий базовому периоду (2024г.)</v>
      </c>
      <c r="E59" s="163"/>
      <c r="F59" s="163" t="str">
        <f>' ЦТЭЦ (ГТУ-1) ДПМ'!$F$58:$G$58</f>
        <v>Показатели, утвержденные на базовый период (2025г.)*</v>
      </c>
      <c r="G59" s="163"/>
      <c r="H59" s="163" t="str">
        <f>' ЦТЭЦ (ГТУ-1) ДПМ'!$H$58:$I$58</f>
        <v>Предложения на расчетный период регулирования (2026г.)</v>
      </c>
      <c r="I59" s="163"/>
    </row>
    <row r="60" spans="1:9" ht="28.5">
      <c r="A60" s="163"/>
      <c r="B60" s="163"/>
      <c r="C60" s="163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39.399270718533778</v>
      </c>
      <c r="E62" s="113">
        <v>49.16</v>
      </c>
      <c r="F62" s="113">
        <v>49.16</v>
      </c>
      <c r="G62" s="113">
        <v>55.289273321379696</v>
      </c>
      <c r="H62" s="113">
        <v>55.289273321379696</v>
      </c>
      <c r="I62" s="113">
        <v>62.475024180736888</v>
      </c>
    </row>
    <row r="63" spans="1:9" ht="28.5">
      <c r="A63" s="110"/>
      <c r="B63" s="112" t="s">
        <v>114</v>
      </c>
      <c r="C63" s="110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 t="s">
        <v>1</v>
      </c>
    </row>
    <row r="64" spans="1:9" ht="28.5">
      <c r="A64" s="110" t="s">
        <v>115</v>
      </c>
      <c r="B64" s="112" t="s">
        <v>116</v>
      </c>
      <c r="C64" s="110" t="s">
        <v>109</v>
      </c>
      <c r="D64" s="113">
        <v>139206.87538451637</v>
      </c>
      <c r="E64" s="113">
        <v>148935.98000000001</v>
      </c>
      <c r="F64" s="113">
        <v>148935.98000000001</v>
      </c>
      <c r="G64" s="113">
        <v>157510.29237460479</v>
      </c>
      <c r="H64" s="113">
        <v>157510.29237460479</v>
      </c>
      <c r="I64" s="113">
        <v>166127.69517707377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D1:F1"/>
    <mergeCell ref="D2:F2"/>
    <mergeCell ref="B50:F50"/>
    <mergeCell ref="A4:F4"/>
    <mergeCell ref="A5:F5"/>
    <mergeCell ref="A6:F6"/>
    <mergeCell ref="B49:F4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64"/>
  <sheetViews>
    <sheetView workbookViewId="0">
      <selection activeCell="D10" sqref="D10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3.42578125" customWidth="1"/>
    <col min="5" max="5" width="14" customWidth="1"/>
    <col min="6" max="6" width="15.42578125" customWidth="1"/>
    <col min="7" max="7" width="14.28515625" customWidth="1"/>
    <col min="8" max="9" width="14.42578125" customWidth="1"/>
  </cols>
  <sheetData>
    <row r="1" spans="1:12">
      <c r="D1" s="168" t="s">
        <v>4</v>
      </c>
      <c r="E1" s="168"/>
      <c r="F1" s="168"/>
    </row>
    <row r="2" spans="1:12" ht="39" customHeight="1">
      <c r="D2" s="169" t="s">
        <v>209</v>
      </c>
      <c r="E2" s="169"/>
      <c r="F2" s="169"/>
    </row>
    <row r="3" spans="1:12" ht="13.5" customHeight="1">
      <c r="A3" s="2"/>
      <c r="B3" s="2"/>
      <c r="C3" s="2"/>
      <c r="D3" s="2"/>
      <c r="E3" s="49"/>
      <c r="F3" s="48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94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102.75" thickBot="1">
      <c r="A8" s="42" t="s">
        <v>0</v>
      </c>
      <c r="B8" s="42" t="s">
        <v>6</v>
      </c>
      <c r="C8" s="42" t="s">
        <v>7</v>
      </c>
      <c r="D8" s="125" t="s">
        <v>210</v>
      </c>
      <c r="E8" s="125" t="s">
        <v>211</v>
      </c>
      <c r="F8" s="125" t="s">
        <v>212</v>
      </c>
    </row>
    <row r="9" spans="1:12">
      <c r="A9" s="53" t="s">
        <v>8</v>
      </c>
      <c r="B9" s="5" t="s">
        <v>9</v>
      </c>
      <c r="C9" s="53" t="s">
        <v>10</v>
      </c>
      <c r="D9" s="6">
        <v>50</v>
      </c>
      <c r="E9" s="6">
        <v>50</v>
      </c>
      <c r="F9" s="6">
        <v>50</v>
      </c>
      <c r="H9" s="167"/>
      <c r="I9" s="167"/>
      <c r="J9" s="167"/>
      <c r="K9" s="167"/>
      <c r="L9" s="167"/>
    </row>
    <row r="10" spans="1:12" ht="63.75">
      <c r="A10" s="50" t="s">
        <v>11</v>
      </c>
      <c r="B10" s="8" t="s">
        <v>12</v>
      </c>
      <c r="C10" s="50" t="s">
        <v>10</v>
      </c>
      <c r="D10" s="13">
        <v>45.828833333333328</v>
      </c>
      <c r="E10" s="9">
        <v>45.682499999999997</v>
      </c>
      <c r="F10" s="9">
        <v>45.828833333333328</v>
      </c>
      <c r="H10" s="47"/>
    </row>
    <row r="11" spans="1:12" ht="15.75">
      <c r="A11" s="50" t="s">
        <v>13</v>
      </c>
      <c r="B11" s="8" t="s">
        <v>14</v>
      </c>
      <c r="C11" s="50" t="s">
        <v>15</v>
      </c>
      <c r="D11" s="9">
        <v>277.62734499999999</v>
      </c>
      <c r="E11" s="9">
        <v>230.666</v>
      </c>
      <c r="F11" s="9">
        <v>196.864</v>
      </c>
      <c r="H11" s="47"/>
    </row>
    <row r="12" spans="1:12" ht="15.75">
      <c r="A12" s="50" t="s">
        <v>16</v>
      </c>
      <c r="B12" s="8" t="s">
        <v>17</v>
      </c>
      <c r="C12" s="50" t="s">
        <v>15</v>
      </c>
      <c r="D12" s="9">
        <v>245.86983599999999</v>
      </c>
      <c r="E12" s="9">
        <v>204.93789999999998</v>
      </c>
      <c r="F12" s="9">
        <v>172.231146</v>
      </c>
      <c r="H12" s="47"/>
    </row>
    <row r="13" spans="1:12" ht="15.75">
      <c r="A13" s="50" t="s">
        <v>18</v>
      </c>
      <c r="B13" s="8" t="s">
        <v>19</v>
      </c>
      <c r="C13" s="50" t="s">
        <v>20</v>
      </c>
      <c r="D13" s="9">
        <v>271.72300000000001</v>
      </c>
      <c r="E13" s="9">
        <v>245.30019999999999</v>
      </c>
      <c r="F13" s="9">
        <v>222.51400000000001</v>
      </c>
      <c r="H13" s="47"/>
    </row>
    <row r="14" spans="1:12">
      <c r="A14" s="50" t="s">
        <v>21</v>
      </c>
      <c r="B14" s="8" t="s">
        <v>22</v>
      </c>
      <c r="C14" s="50" t="s">
        <v>20</v>
      </c>
      <c r="D14" s="9">
        <v>270.76368000000002</v>
      </c>
      <c r="E14" s="9">
        <v>244.28</v>
      </c>
      <c r="F14" s="9">
        <v>221.078</v>
      </c>
    </row>
    <row r="15" spans="1:12" ht="21" customHeight="1">
      <c r="A15" s="10" t="s">
        <v>23</v>
      </c>
      <c r="B15" s="51" t="s">
        <v>24</v>
      </c>
      <c r="C15" s="10" t="s">
        <v>25</v>
      </c>
      <c r="D15" s="9" t="s">
        <v>1</v>
      </c>
      <c r="E15" s="12">
        <f>E16</f>
        <v>304.33869422057535</v>
      </c>
      <c r="F15" s="12">
        <f>F16+F17</f>
        <v>470.06849264296579</v>
      </c>
    </row>
    <row r="16" spans="1:12">
      <c r="A16" s="50" t="s">
        <v>26</v>
      </c>
      <c r="B16" s="8" t="s">
        <v>27</v>
      </c>
      <c r="C16" s="50" t="s">
        <v>25</v>
      </c>
      <c r="D16" s="9" t="s">
        <v>1</v>
      </c>
      <c r="E16" s="9">
        <v>304.33869422057535</v>
      </c>
      <c r="F16" s="9">
        <v>311.29818798549394</v>
      </c>
    </row>
    <row r="17" spans="1:6" ht="16.5" customHeight="1">
      <c r="A17" s="50" t="s">
        <v>28</v>
      </c>
      <c r="B17" s="8" t="s">
        <v>29</v>
      </c>
      <c r="C17" s="50" t="s">
        <v>25</v>
      </c>
      <c r="D17" s="9" t="s">
        <v>1</v>
      </c>
      <c r="E17" s="9" t="s">
        <v>1</v>
      </c>
      <c r="F17" s="9">
        <v>158.77030465747185</v>
      </c>
    </row>
    <row r="18" spans="1:6" ht="24.75" customHeight="1">
      <c r="A18" s="50" t="s">
        <v>30</v>
      </c>
      <c r="B18" s="8" t="s">
        <v>31</v>
      </c>
      <c r="C18" s="50" t="s">
        <v>25</v>
      </c>
      <c r="D18" s="9" t="s">
        <v>1</v>
      </c>
      <c r="E18" s="9" t="s">
        <v>1</v>
      </c>
      <c r="F18" s="9" t="s">
        <v>1</v>
      </c>
    </row>
    <row r="19" spans="1:6">
      <c r="A19" s="50" t="s">
        <v>32</v>
      </c>
      <c r="B19" s="8" t="s">
        <v>33</v>
      </c>
      <c r="C19" s="50" t="s">
        <v>25</v>
      </c>
      <c r="D19" s="13">
        <f>293890.47596/1000</f>
        <v>293.89047596</v>
      </c>
      <c r="E19" s="9">
        <f>303916.099564626/1000</f>
        <v>303.91609956462599</v>
      </c>
      <c r="F19" s="9">
        <f>310903.471056327/1000</f>
        <v>310.90347105632696</v>
      </c>
    </row>
    <row r="20" spans="1:6" ht="25.5">
      <c r="A20" s="50"/>
      <c r="B20" s="8" t="s">
        <v>34</v>
      </c>
      <c r="C20" s="14" t="s">
        <v>35</v>
      </c>
      <c r="D20" s="15">
        <v>196.13618240490311</v>
      </c>
      <c r="E20" s="15">
        <v>201.5</v>
      </c>
      <c r="F20" s="15">
        <v>201.5</v>
      </c>
    </row>
    <row r="21" spans="1:6">
      <c r="A21" s="50" t="s">
        <v>36</v>
      </c>
      <c r="B21" s="8" t="s">
        <v>37</v>
      </c>
      <c r="C21" s="50" t="s">
        <v>25</v>
      </c>
      <c r="D21" s="13">
        <f>255251.45677/1000</f>
        <v>255.25145676999998</v>
      </c>
      <c r="E21" s="13">
        <f>284810.025360119/1000</f>
        <v>284.81002536011903</v>
      </c>
      <c r="F21" s="9">
        <f>311502.997853403/1000</f>
        <v>311.50299785340297</v>
      </c>
    </row>
    <row r="22" spans="1:6" ht="25.5">
      <c r="A22" s="50"/>
      <c r="B22" s="8" t="s">
        <v>38</v>
      </c>
      <c r="C22" s="14" t="s">
        <v>39</v>
      </c>
      <c r="D22" s="16">
        <v>159.98277657761764</v>
      </c>
      <c r="E22" s="16">
        <v>160</v>
      </c>
      <c r="F22" s="16">
        <v>160</v>
      </c>
    </row>
    <row r="23" spans="1:6" ht="63.75">
      <c r="A23" s="50"/>
      <c r="B23" s="8" t="s">
        <v>40</v>
      </c>
      <c r="C23" s="14"/>
      <c r="D23" s="18" t="s">
        <v>1</v>
      </c>
      <c r="E23" s="17" t="s">
        <v>194</v>
      </c>
      <c r="F23" s="17" t="s">
        <v>194</v>
      </c>
    </row>
    <row r="24" spans="1:6">
      <c r="A24" s="10" t="s">
        <v>41</v>
      </c>
      <c r="B24" s="5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51" t="s">
        <v>44</v>
      </c>
      <c r="C25" s="50"/>
      <c r="D25" s="18" t="s">
        <v>1</v>
      </c>
      <c r="E25" s="18" t="s">
        <v>1</v>
      </c>
      <c r="F25" s="18" t="s">
        <v>1</v>
      </c>
    </row>
    <row r="26" spans="1:6">
      <c r="A26" s="50" t="s">
        <v>45</v>
      </c>
      <c r="B26" s="8" t="s">
        <v>46</v>
      </c>
      <c r="C26" s="50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50" t="s">
        <v>48</v>
      </c>
      <c r="B27" s="8" t="s">
        <v>49</v>
      </c>
      <c r="C27" s="50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50" t="s">
        <v>51</v>
      </c>
      <c r="B28" s="8" t="s">
        <v>52</v>
      </c>
      <c r="C28" s="5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1" t="s">
        <v>54</v>
      </c>
      <c r="C29" s="10" t="s">
        <v>25</v>
      </c>
      <c r="D29" s="18" t="s">
        <v>1</v>
      </c>
      <c r="E29" s="12">
        <f>SUM(E30:E32)</f>
        <v>304.33869422057535</v>
      </c>
      <c r="F29" s="12">
        <f>SUM(F30:F32)</f>
        <v>470.06849264296579</v>
      </c>
    </row>
    <row r="30" spans="1:6">
      <c r="A30" s="20" t="s">
        <v>55</v>
      </c>
      <c r="B30" s="21" t="s">
        <v>56</v>
      </c>
      <c r="C30" s="50" t="s">
        <v>25</v>
      </c>
      <c r="D30" s="18" t="s">
        <v>1</v>
      </c>
      <c r="E30" s="9">
        <f>E16</f>
        <v>304.33869422057535</v>
      </c>
      <c r="F30" s="9">
        <f>F16</f>
        <v>311.29818798549394</v>
      </c>
    </row>
    <row r="31" spans="1:6">
      <c r="A31" s="20" t="s">
        <v>57</v>
      </c>
      <c r="B31" s="8" t="s">
        <v>58</v>
      </c>
      <c r="C31" s="50" t="s">
        <v>25</v>
      </c>
      <c r="D31" s="18" t="s">
        <v>1</v>
      </c>
      <c r="E31" s="18" t="s">
        <v>1</v>
      </c>
      <c r="F31" s="9">
        <f>F17</f>
        <v>158.77030465747185</v>
      </c>
    </row>
    <row r="32" spans="1:6" ht="25.5">
      <c r="A32" s="20" t="s">
        <v>59</v>
      </c>
      <c r="B32" s="8" t="s">
        <v>60</v>
      </c>
      <c r="C32" s="50" t="s">
        <v>25</v>
      </c>
      <c r="D32" s="18" t="s">
        <v>1</v>
      </c>
      <c r="E32" s="18" t="s">
        <v>1</v>
      </c>
      <c r="F32" s="18" t="s">
        <v>1</v>
      </c>
    </row>
    <row r="33" spans="1:10" ht="25.5">
      <c r="A33" s="22" t="s">
        <v>61</v>
      </c>
      <c r="B33" s="5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0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0" t="s">
        <v>25</v>
      </c>
      <c r="D35" s="18" t="s">
        <v>1</v>
      </c>
      <c r="E35" s="18" t="s">
        <v>1</v>
      </c>
      <c r="F35" s="18" t="s">
        <v>1</v>
      </c>
    </row>
    <row r="36" spans="1:10" ht="25.5">
      <c r="A36" s="10" t="s">
        <v>67</v>
      </c>
      <c r="B36" s="5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0" t="s">
        <v>69</v>
      </c>
      <c r="B37" s="21" t="s">
        <v>56</v>
      </c>
      <c r="C37" s="50" t="s">
        <v>25</v>
      </c>
      <c r="D37" s="18" t="s">
        <v>1</v>
      </c>
      <c r="E37" s="18" t="s">
        <v>1</v>
      </c>
      <c r="F37" s="18" t="s">
        <v>1</v>
      </c>
    </row>
    <row r="38" spans="1:10">
      <c r="A38" s="50" t="s">
        <v>70</v>
      </c>
      <c r="B38" s="8" t="s">
        <v>58</v>
      </c>
      <c r="C38" s="55" t="s">
        <v>25</v>
      </c>
      <c r="D38" s="18" t="s">
        <v>1</v>
      </c>
      <c r="E38" s="18" t="s">
        <v>1</v>
      </c>
      <c r="F38" s="18" t="s">
        <v>1</v>
      </c>
    </row>
    <row r="39" spans="1:10" ht="25.5">
      <c r="A39" s="50" t="s">
        <v>71</v>
      </c>
      <c r="B39" s="8" t="s">
        <v>60</v>
      </c>
      <c r="C39" s="55" t="s">
        <v>25</v>
      </c>
      <c r="D39" s="18" t="s">
        <v>1</v>
      </c>
      <c r="E39" s="18" t="s">
        <v>1</v>
      </c>
      <c r="F39" s="18" t="s">
        <v>1</v>
      </c>
    </row>
    <row r="40" spans="1:10" ht="25.5">
      <c r="A40" s="10" t="s">
        <v>72</v>
      </c>
      <c r="B40" s="5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0" t="s">
        <v>74</v>
      </c>
      <c r="B41" s="21" t="s">
        <v>56</v>
      </c>
      <c r="C41" s="50" t="s">
        <v>25</v>
      </c>
      <c r="D41" s="18" t="s">
        <v>1</v>
      </c>
      <c r="E41" s="18" t="s">
        <v>1</v>
      </c>
      <c r="F41" s="18" t="s">
        <v>1</v>
      </c>
    </row>
    <row r="42" spans="1:10">
      <c r="A42" s="50" t="s">
        <v>75</v>
      </c>
      <c r="B42" s="8" t="s">
        <v>58</v>
      </c>
      <c r="C42" s="50" t="s">
        <v>25</v>
      </c>
      <c r="D42" s="18" t="s">
        <v>1</v>
      </c>
      <c r="E42" s="18" t="s">
        <v>1</v>
      </c>
      <c r="F42" s="18" t="s">
        <v>1</v>
      </c>
    </row>
    <row r="43" spans="1:10" ht="25.5">
      <c r="A43" s="50" t="s">
        <v>76</v>
      </c>
      <c r="B43" s="8" t="s">
        <v>60</v>
      </c>
      <c r="C43" s="50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8.25">
      <c r="A45" s="25" t="s">
        <v>79</v>
      </c>
      <c r="B45" s="51" t="s">
        <v>80</v>
      </c>
      <c r="C45" s="52" t="s">
        <v>81</v>
      </c>
      <c r="D45" s="18" t="s">
        <v>1</v>
      </c>
      <c r="E45" s="18" t="s">
        <v>1</v>
      </c>
      <c r="F45" s="18" t="s">
        <v>1</v>
      </c>
    </row>
    <row r="46" spans="1:10" ht="73.5" customHeight="1">
      <c r="A46" s="25" t="s">
        <v>82</v>
      </c>
      <c r="B46" s="75" t="s">
        <v>83</v>
      </c>
      <c r="C46" s="76"/>
      <c r="D46" s="165" t="s">
        <v>213</v>
      </c>
      <c r="E46" s="165"/>
      <c r="F46" s="165"/>
    </row>
    <row r="48" spans="1:10">
      <c r="A48" s="27"/>
      <c r="B48" s="28" t="s">
        <v>84</v>
      </c>
    </row>
    <row r="49" spans="1:9" ht="30" customHeight="1">
      <c r="A49" s="29" t="s">
        <v>85</v>
      </c>
      <c r="B49" s="164" t="s">
        <v>86</v>
      </c>
      <c r="C49" s="164"/>
      <c r="D49" s="164"/>
      <c r="E49" s="164"/>
      <c r="F49" s="164"/>
    </row>
    <row r="50" spans="1:9" ht="28.5" customHeight="1">
      <c r="A50" s="30"/>
      <c r="B50" s="164"/>
      <c r="C50" s="164"/>
      <c r="D50" s="164"/>
      <c r="E50" s="164"/>
      <c r="F50" s="164"/>
    </row>
    <row r="51" spans="1:9" ht="16.5" customHeight="1">
      <c r="A51" s="64"/>
      <c r="B51" s="64"/>
      <c r="C51" s="64"/>
      <c r="D51" s="64"/>
      <c r="E51" s="166" t="s">
        <v>117</v>
      </c>
      <c r="F51" s="166"/>
      <c r="G51" s="166"/>
      <c r="H51" s="166"/>
      <c r="I51" s="166"/>
    </row>
    <row r="52" spans="1:9" ht="29.1" customHeight="1">
      <c r="A52" s="64"/>
      <c r="B52" s="64"/>
      <c r="C52" s="64"/>
      <c r="D52" s="64"/>
      <c r="E52" s="166" t="s">
        <v>209</v>
      </c>
      <c r="F52" s="166"/>
      <c r="G52" s="166"/>
      <c r="H52" s="166"/>
      <c r="I52" s="166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 customHeight="1">
      <c r="A55" s="162" t="s">
        <v>105</v>
      </c>
      <c r="B55" s="162"/>
      <c r="C55" s="162"/>
      <c r="D55" s="162"/>
      <c r="E55" s="162"/>
      <c r="F55" s="162"/>
      <c r="G55" s="162"/>
      <c r="H55" s="162"/>
      <c r="I55" s="162"/>
    </row>
    <row r="56" spans="1:9" ht="15.75" customHeight="1">
      <c r="A56" s="155" t="s">
        <v>145</v>
      </c>
      <c r="B56" s="155"/>
      <c r="C56" s="155"/>
      <c r="D56" s="155"/>
      <c r="E56" s="155"/>
      <c r="F56" s="155"/>
      <c r="G56" s="155"/>
      <c r="H56" s="155"/>
      <c r="I56" s="15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2.95" customHeight="1">
      <c r="A58" s="163" t="s">
        <v>106</v>
      </c>
      <c r="B58" s="163" t="s">
        <v>6</v>
      </c>
      <c r="C58" s="163" t="s">
        <v>186</v>
      </c>
      <c r="D58" s="163" t="s">
        <v>214</v>
      </c>
      <c r="E58" s="163"/>
      <c r="F58" s="163" t="s">
        <v>215</v>
      </c>
      <c r="G58" s="163"/>
      <c r="H58" s="163" t="s">
        <v>212</v>
      </c>
      <c r="I58" s="163"/>
    </row>
    <row r="59" spans="1:9" ht="28.5">
      <c r="A59" s="163"/>
      <c r="B59" s="163"/>
      <c r="C59" s="163"/>
      <c r="D59" s="65" t="s">
        <v>107</v>
      </c>
      <c r="E59" s="65" t="s">
        <v>108</v>
      </c>
      <c r="F59" s="65" t="s">
        <v>107</v>
      </c>
      <c r="G59" s="65" t="s">
        <v>108</v>
      </c>
      <c r="H59" s="65" t="s">
        <v>107</v>
      </c>
      <c r="I59" s="65" t="s">
        <v>108</v>
      </c>
    </row>
    <row r="60" spans="1:9">
      <c r="A60" s="66" t="s">
        <v>16</v>
      </c>
      <c r="B60" s="67" t="s">
        <v>110</v>
      </c>
      <c r="C60" s="66"/>
      <c r="D60" s="68"/>
      <c r="E60" s="68"/>
      <c r="F60" s="68"/>
      <c r="G60" s="68"/>
      <c r="H60" s="68"/>
      <c r="I60" s="68"/>
    </row>
    <row r="61" spans="1:9" ht="28.5">
      <c r="A61" s="66" t="s">
        <v>111</v>
      </c>
      <c r="B61" s="67" t="s">
        <v>112</v>
      </c>
      <c r="C61" s="66" t="s">
        <v>113</v>
      </c>
      <c r="D61" s="154">
        <v>1022.9597800213073</v>
      </c>
      <c r="E61" s="154">
        <v>1124.2</v>
      </c>
      <c r="F61" s="154">
        <f>E61</f>
        <v>1124.2</v>
      </c>
      <c r="G61" s="69">
        <v>1485.0288512792185</v>
      </c>
      <c r="H61" s="69">
        <f>G61</f>
        <v>1485.0288512792185</v>
      </c>
      <c r="I61" s="69">
        <v>1807.4442121258016</v>
      </c>
    </row>
    <row r="62" spans="1:9" ht="28.5">
      <c r="A62" s="66"/>
      <c r="B62" s="67" t="s">
        <v>114</v>
      </c>
      <c r="C62" s="66" t="s">
        <v>113</v>
      </c>
      <c r="D62" s="154">
        <v>1021.3677850213073</v>
      </c>
      <c r="E62" s="154">
        <v>1122.4100000000001</v>
      </c>
      <c r="F62" s="154">
        <f>E62</f>
        <v>1122.4100000000001</v>
      </c>
      <c r="G62" s="69">
        <v>1482.9667892792186</v>
      </c>
      <c r="H62" s="69">
        <f>G62</f>
        <v>1482.9667892792186</v>
      </c>
      <c r="I62" s="69">
        <v>1805.1524261258016</v>
      </c>
    </row>
    <row r="63" spans="1:9" ht="28.5">
      <c r="A63" s="66" t="s">
        <v>115</v>
      </c>
      <c r="B63" s="67" t="s">
        <v>116</v>
      </c>
      <c r="C63" s="66" t="s">
        <v>109</v>
      </c>
      <c r="D63" s="69" t="s">
        <v>1</v>
      </c>
      <c r="E63" s="69" t="s">
        <v>1</v>
      </c>
      <c r="F63" s="69" t="s">
        <v>1</v>
      </c>
      <c r="G63" s="69" t="s">
        <v>1</v>
      </c>
      <c r="H63" s="69" t="s">
        <v>1</v>
      </c>
      <c r="I63" s="69">
        <v>288701.62644599995</v>
      </c>
    </row>
    <row r="64" spans="1:9">
      <c r="A64" s="71" t="s">
        <v>118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H9:L9"/>
    <mergeCell ref="D1:F1"/>
    <mergeCell ref="D2:F2"/>
    <mergeCell ref="A4:F4"/>
    <mergeCell ref="A5:F5"/>
    <mergeCell ref="A6:F6"/>
    <mergeCell ref="B50:F50"/>
    <mergeCell ref="D46:F46"/>
    <mergeCell ref="B49:F49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I66"/>
  <sheetViews>
    <sheetView topLeftCell="A55" workbookViewId="0">
      <selection activeCell="J78" sqref="J78"/>
    </sheetView>
  </sheetViews>
  <sheetFormatPr defaultRowHeight="15"/>
  <cols>
    <col min="1" max="1" width="5.85546875" customWidth="1"/>
    <col min="2" max="2" width="38.85546875" customWidth="1"/>
    <col min="3" max="3" width="9.42578125" customWidth="1"/>
    <col min="4" max="4" width="17.28515625" customWidth="1"/>
    <col min="5" max="5" width="15.28515625" customWidth="1"/>
    <col min="6" max="6" width="15.42578125" customWidth="1"/>
    <col min="7" max="7" width="17.42578125" customWidth="1"/>
    <col min="8" max="8" width="15.7109375" customWidth="1"/>
    <col min="9" max="9" width="15.42578125" customWidth="1"/>
  </cols>
  <sheetData>
    <row r="1" spans="1:6">
      <c r="D1" s="168" t="s">
        <v>4</v>
      </c>
      <c r="E1" s="168"/>
      <c r="F1" s="168"/>
    </row>
    <row r="2" spans="1:6" ht="37.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55" t="s">
        <v>92</v>
      </c>
      <c r="B4" s="155"/>
      <c r="C4" s="155"/>
      <c r="D4" s="155"/>
      <c r="E4" s="155"/>
      <c r="F4" s="155"/>
    </row>
    <row r="5" spans="1:6" ht="17.25" customHeight="1">
      <c r="A5" s="155" t="s">
        <v>96</v>
      </c>
      <c r="B5" s="155"/>
      <c r="C5" s="155"/>
      <c r="D5" s="155"/>
      <c r="E5" s="155"/>
      <c r="F5" s="155"/>
    </row>
    <row r="6" spans="1:6" ht="17.25" customHeight="1">
      <c r="A6" s="155" t="s">
        <v>88</v>
      </c>
      <c r="B6" s="155"/>
      <c r="C6" s="155"/>
      <c r="D6" s="155"/>
      <c r="E6" s="155"/>
      <c r="F6" s="155"/>
    </row>
    <row r="8" spans="1:6" ht="64.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6">
      <c r="A9" s="4" t="s">
        <v>8</v>
      </c>
      <c r="B9" s="5" t="s">
        <v>9</v>
      </c>
      <c r="C9" s="4" t="s">
        <v>10</v>
      </c>
      <c r="D9" s="36">
        <v>29.5</v>
      </c>
      <c r="E9" s="36">
        <v>29.5</v>
      </c>
      <c r="F9" s="6">
        <v>29.5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29.238375000000001</v>
      </c>
      <c r="E10" s="13">
        <v>29.232291666666665</v>
      </c>
      <c r="F10" s="9">
        <v>29.251541666666668</v>
      </c>
    </row>
    <row r="11" spans="1:6">
      <c r="A11" s="7" t="s">
        <v>13</v>
      </c>
      <c r="B11" s="8" t="s">
        <v>14</v>
      </c>
      <c r="C11" s="7" t="s">
        <v>15</v>
      </c>
      <c r="D11" s="13">
        <v>205.47906400000002</v>
      </c>
      <c r="E11" s="13">
        <v>173.5</v>
      </c>
      <c r="F11" s="9">
        <v>164</v>
      </c>
    </row>
    <row r="12" spans="1:6">
      <c r="A12" s="7" t="s">
        <v>16</v>
      </c>
      <c r="B12" s="8" t="s">
        <v>17</v>
      </c>
      <c r="C12" s="7" t="s">
        <v>15</v>
      </c>
      <c r="D12" s="13">
        <v>203.21996600000003</v>
      </c>
      <c r="E12" s="13">
        <v>171.38801599999999</v>
      </c>
      <c r="F12" s="9">
        <v>154.52873049999999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79.461837908395694</v>
      </c>
      <c r="F15" s="37">
        <f>F16+F17</f>
        <v>83.823968731242374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f>8160.91271504899/1000</f>
        <v>8.1609127150489904</v>
      </c>
      <c r="F16" s="9">
        <f>8718.14678115767/1000</f>
        <v>8.7181467811576692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f>71300.9251933467/1000</f>
        <v>71.3009251933467</v>
      </c>
      <c r="F17" s="9">
        <f>75105.8219500847/1000</f>
        <v>75.105821950084703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18" t="s">
        <v>1</v>
      </c>
    </row>
    <row r="20" spans="1:6" ht="25.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18" t="s">
        <v>1</v>
      </c>
    </row>
    <row r="22" spans="1:6" ht="25.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.5">
      <c r="A23" s="7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f>E30+E31</f>
        <v>79.461837908395694</v>
      </c>
      <c r="F29" s="37">
        <f>F30+F31</f>
        <v>83.823968731242374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f>E16</f>
        <v>8.1609127150489904</v>
      </c>
      <c r="F30" s="13">
        <f>F16</f>
        <v>8.7181467811576692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f>E17</f>
        <v>71.3009251933467</v>
      </c>
      <c r="F31" s="13">
        <f>F17</f>
        <v>75.105821950084703</v>
      </c>
    </row>
    <row r="32" spans="1:6" ht="25.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36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>
      <c r="A58" s="155" t="s">
        <v>135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2.75" customHeight="1">
      <c r="A60" s="163" t="s">
        <v>106</v>
      </c>
      <c r="B60" s="163" t="s">
        <v>6</v>
      </c>
      <c r="C60" s="163" t="s">
        <v>7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>
      <c r="A61" s="163"/>
      <c r="B61" s="163"/>
      <c r="C61" s="163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32.794252749640712</v>
      </c>
      <c r="E63" s="113">
        <v>42.05</v>
      </c>
      <c r="F63" s="113">
        <v>42.05</v>
      </c>
      <c r="G63" s="113">
        <v>47.616588986297572</v>
      </c>
      <c r="H63" s="113">
        <v>47.616588986297572</v>
      </c>
      <c r="I63" s="113">
        <v>56.417643197797915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187519.65</v>
      </c>
      <c r="E65" s="113">
        <v>199520.91</v>
      </c>
      <c r="F65" s="113">
        <v>199520.91</v>
      </c>
      <c r="G65" s="113">
        <v>203259.59503501898</v>
      </c>
      <c r="H65" s="113">
        <v>203259.59503501898</v>
      </c>
      <c r="I65" s="113">
        <v>213965.42333262981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I66"/>
  <sheetViews>
    <sheetView topLeftCell="A55" workbookViewId="0">
      <selection activeCell="D10" sqref="D10:F12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7.28515625" customWidth="1"/>
    <col min="5" max="5" width="15.28515625" customWidth="1"/>
    <col min="6" max="6" width="15.42578125" customWidth="1"/>
    <col min="7" max="7" width="15.28515625" customWidth="1"/>
    <col min="8" max="8" width="18.140625" customWidth="1"/>
    <col min="9" max="9" width="15.28515625" customWidth="1"/>
  </cols>
  <sheetData>
    <row r="1" spans="1:6">
      <c r="D1" s="168" t="s">
        <v>4</v>
      </c>
      <c r="E1" s="168"/>
      <c r="F1" s="168"/>
    </row>
    <row r="2" spans="1:6" ht="37.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5" t="s">
        <v>92</v>
      </c>
      <c r="B4" s="155"/>
      <c r="C4" s="155"/>
      <c r="D4" s="155"/>
      <c r="E4" s="155"/>
      <c r="F4" s="155"/>
    </row>
    <row r="5" spans="1:6" ht="17.25" customHeight="1">
      <c r="A5" s="155" t="s">
        <v>97</v>
      </c>
      <c r="B5" s="155"/>
      <c r="C5" s="155"/>
      <c r="D5" s="155"/>
      <c r="E5" s="155"/>
      <c r="F5" s="155"/>
    </row>
    <row r="6" spans="1:6" ht="17.25" customHeight="1">
      <c r="A6" s="155" t="s">
        <v>88</v>
      </c>
      <c r="B6" s="155"/>
      <c r="C6" s="155"/>
      <c r="D6" s="155"/>
      <c r="E6" s="155"/>
      <c r="F6" s="155"/>
    </row>
    <row r="8" spans="1:6" ht="64.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29.24</v>
      </c>
      <c r="E10" s="13">
        <v>29.232291666666665</v>
      </c>
      <c r="F10" s="9">
        <v>29.251541666666668</v>
      </c>
    </row>
    <row r="11" spans="1:6">
      <c r="A11" s="57" t="s">
        <v>13</v>
      </c>
      <c r="B11" s="8" t="s">
        <v>14</v>
      </c>
      <c r="C11" s="57" t="s">
        <v>15</v>
      </c>
      <c r="D11" s="13">
        <v>205.47906400000002</v>
      </c>
      <c r="E11" s="13">
        <v>173.5</v>
      </c>
      <c r="F11" s="9">
        <v>164</v>
      </c>
    </row>
    <row r="12" spans="1:6">
      <c r="A12" s="57" t="s">
        <v>16</v>
      </c>
      <c r="B12" s="8" t="s">
        <v>17</v>
      </c>
      <c r="C12" s="57" t="s">
        <v>15</v>
      </c>
      <c r="D12" s="13">
        <v>203.21996600000003</v>
      </c>
      <c r="E12" s="13">
        <v>171.38801599999999</v>
      </c>
      <c r="F12" s="9">
        <v>154.52873049999999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81.719814899987085</v>
      </c>
      <c r="F15" s="37">
        <f>F16+F17</f>
        <v>86.187367981978468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f>8160.91271504899/1000</f>
        <v>8.1609127150489904</v>
      </c>
      <c r="F16" s="9">
        <f>8718.14678115767/1000</f>
        <v>8.7181467811576692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f>73558.9021849381/1000</f>
        <v>73.558902184938091</v>
      </c>
      <c r="F17" s="9">
        <f>77469.2212008208/1000</f>
        <v>77.469221200820797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4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4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4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4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4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43" t="s">
        <v>1</v>
      </c>
      <c r="E29" s="37">
        <f>E30+E31</f>
        <v>81.719814899987085</v>
      </c>
      <c r="F29" s="37">
        <f>F30+F31</f>
        <v>86.187367981978468</v>
      </c>
    </row>
    <row r="30" spans="1:6">
      <c r="A30" s="20" t="s">
        <v>55</v>
      </c>
      <c r="B30" s="21" t="s">
        <v>56</v>
      </c>
      <c r="C30" s="57" t="s">
        <v>25</v>
      </c>
      <c r="D30" s="43" t="s">
        <v>1</v>
      </c>
      <c r="E30" s="13">
        <f>E16</f>
        <v>8.1609127150489904</v>
      </c>
      <c r="F30" s="13">
        <f>F16</f>
        <v>8.7181467811576692</v>
      </c>
    </row>
    <row r="31" spans="1:6">
      <c r="A31" s="20" t="s">
        <v>57</v>
      </c>
      <c r="B31" s="8" t="s">
        <v>58</v>
      </c>
      <c r="C31" s="57" t="s">
        <v>25</v>
      </c>
      <c r="D31" s="43" t="s">
        <v>1</v>
      </c>
      <c r="E31" s="13">
        <f>E17</f>
        <v>73.558902184938091</v>
      </c>
      <c r="F31" s="13">
        <f>F17</f>
        <v>77.469221200820797</v>
      </c>
    </row>
    <row r="32" spans="1:6" ht="25.5">
      <c r="A32" s="20" t="s">
        <v>59</v>
      </c>
      <c r="B32" s="8" t="s">
        <v>60</v>
      </c>
      <c r="C32" s="57" t="s">
        <v>25</v>
      </c>
      <c r="D32" s="4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4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4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4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4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4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4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4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4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27.75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>
      <c r="A58" s="155" t="s">
        <v>134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63" t="s">
        <v>106</v>
      </c>
      <c r="B60" s="163" t="s">
        <v>6</v>
      </c>
      <c r="C60" s="163" t="s">
        <v>7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>
      <c r="A61" s="163"/>
      <c r="B61" s="163"/>
      <c r="C61" s="163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32.79</v>
      </c>
      <c r="E63" s="113">
        <v>42.05</v>
      </c>
      <c r="F63" s="113">
        <v>42.05</v>
      </c>
      <c r="G63" s="113">
        <v>47.616588986297572</v>
      </c>
      <c r="H63" s="113">
        <v>47.616588986297572</v>
      </c>
      <c r="I63" s="113">
        <v>56.417643197797915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187519.65</v>
      </c>
      <c r="E65" s="113">
        <v>199520.91</v>
      </c>
      <c r="F65" s="113">
        <v>199520.91</v>
      </c>
      <c r="G65" s="113">
        <v>209696.474888467</v>
      </c>
      <c r="H65" s="113">
        <v>209696.474888467</v>
      </c>
      <c r="I65" s="113">
        <v>220698.39965933646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I66"/>
  <sheetViews>
    <sheetView topLeftCell="A10" workbookViewId="0">
      <selection activeCell="E16" sqref="E16:F16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7.28515625" customWidth="1"/>
    <col min="5" max="5" width="15.28515625" customWidth="1"/>
    <col min="6" max="6" width="15.42578125" customWidth="1"/>
    <col min="7" max="7" width="14.42578125" customWidth="1"/>
    <col min="8" max="8" width="15.28515625" customWidth="1"/>
    <col min="9" max="9" width="17.140625" customWidth="1"/>
  </cols>
  <sheetData>
    <row r="1" spans="1:6">
      <c r="D1" s="168" t="s">
        <v>4</v>
      </c>
      <c r="E1" s="168"/>
      <c r="F1" s="168"/>
    </row>
    <row r="2" spans="1:6" ht="37.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5" t="s">
        <v>92</v>
      </c>
      <c r="B4" s="155"/>
      <c r="C4" s="155"/>
      <c r="D4" s="155"/>
      <c r="E4" s="155"/>
      <c r="F4" s="155"/>
    </row>
    <row r="5" spans="1:6" ht="17.25" customHeight="1">
      <c r="A5" s="155" t="s">
        <v>98</v>
      </c>
      <c r="B5" s="155"/>
      <c r="C5" s="155"/>
      <c r="D5" s="155"/>
      <c r="E5" s="155"/>
      <c r="F5" s="155"/>
    </row>
    <row r="6" spans="1:6" ht="17.25" customHeight="1">
      <c r="A6" s="155" t="s">
        <v>88</v>
      </c>
      <c r="B6" s="155"/>
      <c r="C6" s="155"/>
      <c r="D6" s="155"/>
      <c r="E6" s="155"/>
      <c r="F6" s="155"/>
    </row>
    <row r="8" spans="1:6" ht="64.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29.24</v>
      </c>
      <c r="E10" s="13">
        <v>29.232291666666665</v>
      </c>
      <c r="F10" s="9">
        <v>29.251541666666668</v>
      </c>
    </row>
    <row r="11" spans="1:6">
      <c r="A11" s="57" t="s">
        <v>13</v>
      </c>
      <c r="B11" s="8" t="s">
        <v>14</v>
      </c>
      <c r="C11" s="57" t="s">
        <v>15</v>
      </c>
      <c r="D11" s="13">
        <v>205.47906400000002</v>
      </c>
      <c r="E11" s="13">
        <v>173.5</v>
      </c>
      <c r="F11" s="9">
        <v>164</v>
      </c>
    </row>
    <row r="12" spans="1:6">
      <c r="A12" s="57" t="s">
        <v>16</v>
      </c>
      <c r="B12" s="8" t="s">
        <v>17</v>
      </c>
      <c r="C12" s="57" t="s">
        <v>15</v>
      </c>
      <c r="D12" s="13">
        <v>203.21996600000003</v>
      </c>
      <c r="E12" s="13">
        <v>171.38801599999999</v>
      </c>
      <c r="F12" s="9">
        <v>154.52873049999999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84.690522016424083</v>
      </c>
      <c r="F15" s="37">
        <f>F16+F17</f>
        <v>89.296773879066578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f>8160.91271504899/1000</f>
        <v>8.1609127150489904</v>
      </c>
      <c r="F16" s="9">
        <f>8718.14678115767/1000</f>
        <v>8.7181467811576692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f>76529.6093013751/1000</f>
        <v>76.529609301375089</v>
      </c>
      <c r="F17" s="9">
        <f>80578.6270979089/1000</f>
        <v>80.578627097908907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E30+E31</f>
        <v>84.690522016424083</v>
      </c>
      <c r="F29" s="37">
        <f>F30+F31</f>
        <v>89.296773879066578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8.1609127150489904</v>
      </c>
      <c r="F30" s="13">
        <f>F16</f>
        <v>8.7181467811576692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76.529609301375089</v>
      </c>
      <c r="F31" s="13">
        <f>F17</f>
        <v>80.578627097908907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95" t="s">
        <v>1</v>
      </c>
      <c r="F46" s="95" t="s">
        <v>1</v>
      </c>
    </row>
    <row r="47" spans="1:6">
      <c r="D47" s="94"/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27.75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>
      <c r="A58" s="155" t="s">
        <v>133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63" t="s">
        <v>106</v>
      </c>
      <c r="B60" s="163" t="s">
        <v>6</v>
      </c>
      <c r="C60" s="163" t="s">
        <v>7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 ht="28.5">
      <c r="A61" s="163"/>
      <c r="B61" s="163"/>
      <c r="C61" s="163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4" t="s">
        <v>111</v>
      </c>
      <c r="B63" s="112" t="s">
        <v>112</v>
      </c>
      <c r="C63" s="114" t="s">
        <v>113</v>
      </c>
      <c r="D63" s="113">
        <v>32.79</v>
      </c>
      <c r="E63" s="113">
        <v>42.05</v>
      </c>
      <c r="F63" s="113">
        <v>42.05</v>
      </c>
      <c r="G63" s="113">
        <v>47.616588986297572</v>
      </c>
      <c r="H63" s="113">
        <v>47.616588986297572</v>
      </c>
      <c r="I63" s="113">
        <v>56.417643197797915</v>
      </c>
    </row>
    <row r="64" spans="1:9" ht="28.5">
      <c r="A64" s="114"/>
      <c r="B64" s="112" t="s">
        <v>114</v>
      </c>
      <c r="C64" s="114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4" t="s">
        <v>115</v>
      </c>
      <c r="B65" s="112" t="s">
        <v>116</v>
      </c>
      <c r="C65" s="114" t="s">
        <v>109</v>
      </c>
      <c r="D65" s="113">
        <v>195092.71</v>
      </c>
      <c r="E65" s="113">
        <v>207578.64</v>
      </c>
      <c r="F65" s="113">
        <v>207578.64</v>
      </c>
      <c r="G65" s="113">
        <v>218165.15497665998</v>
      </c>
      <c r="H65" s="113">
        <v>218165.15497665998</v>
      </c>
      <c r="I65" s="113">
        <v>229556.6390315863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I65"/>
  <sheetViews>
    <sheetView topLeftCell="A52" workbookViewId="0">
      <selection activeCell="O64" sqref="O64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7.28515625" customWidth="1"/>
    <col min="5" max="5" width="15.28515625" customWidth="1"/>
    <col min="6" max="6" width="15.42578125" customWidth="1"/>
    <col min="7" max="7" width="16.140625" customWidth="1"/>
    <col min="8" max="8" width="15.85546875" customWidth="1"/>
    <col min="9" max="9" width="16.5703125" customWidth="1"/>
  </cols>
  <sheetData>
    <row r="1" spans="1:6">
      <c r="D1" s="168" t="s">
        <v>4</v>
      </c>
      <c r="E1" s="168"/>
      <c r="F1" s="168"/>
    </row>
    <row r="2" spans="1:6" ht="37.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5" t="s">
        <v>92</v>
      </c>
      <c r="B4" s="155"/>
      <c r="C4" s="155"/>
      <c r="D4" s="155"/>
      <c r="E4" s="155"/>
      <c r="F4" s="155"/>
    </row>
    <row r="5" spans="1:6" ht="17.25" customHeight="1">
      <c r="A5" s="155" t="s">
        <v>99</v>
      </c>
      <c r="B5" s="155"/>
      <c r="C5" s="155"/>
      <c r="D5" s="155"/>
      <c r="E5" s="155"/>
      <c r="F5" s="155"/>
    </row>
    <row r="6" spans="1:6" ht="17.25" customHeight="1">
      <c r="A6" s="155" t="s">
        <v>88</v>
      </c>
      <c r="B6" s="155"/>
      <c r="C6" s="155"/>
      <c r="D6" s="155"/>
      <c r="E6" s="155"/>
      <c r="F6" s="155"/>
    </row>
    <row r="8" spans="1:6" ht="64.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29.24</v>
      </c>
      <c r="E10" s="13">
        <v>29.232291666666665</v>
      </c>
      <c r="F10" s="9">
        <v>29.251541666666668</v>
      </c>
    </row>
    <row r="11" spans="1:6">
      <c r="A11" s="57" t="s">
        <v>13</v>
      </c>
      <c r="B11" s="8" t="s">
        <v>14</v>
      </c>
      <c r="C11" s="57" t="s">
        <v>15</v>
      </c>
      <c r="D11" s="13">
        <v>205.47906400000002</v>
      </c>
      <c r="E11" s="13">
        <v>173.5</v>
      </c>
      <c r="F11" s="9">
        <v>164</v>
      </c>
    </row>
    <row r="12" spans="1:6">
      <c r="A12" s="57" t="s">
        <v>16</v>
      </c>
      <c r="B12" s="8" t="s">
        <v>17</v>
      </c>
      <c r="C12" s="57" t="s">
        <v>15</v>
      </c>
      <c r="D12" s="13">
        <v>203.21996600000003</v>
      </c>
      <c r="E12" s="13">
        <v>171.38801599999999</v>
      </c>
      <c r="F12" s="9">
        <v>154.52873049999999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82.043628661408192</v>
      </c>
      <c r="F15" s="37">
        <f>F16+F17</f>
        <v>86.526300222639264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8.1609127150489904</v>
      </c>
      <c r="F16" s="9">
        <v>8.7181467811576692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f>73882.7159463592/1000</f>
        <v>73.882715946359198</v>
      </c>
      <c r="F17" s="9">
        <f>77808.1534414816/1000</f>
        <v>77.808153441481593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E30+E31</f>
        <v>82.043628661408192</v>
      </c>
      <c r="F29" s="37">
        <f>F30+F31</f>
        <v>86.526300222639264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8.1609127150489904</v>
      </c>
      <c r="F30" s="13">
        <f>F16</f>
        <v>8.7181467811576692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73.882715946359198</v>
      </c>
      <c r="F31" s="13">
        <f>F17</f>
        <v>77.808153441481593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6" t="s">
        <v>117</v>
      </c>
      <c r="F52" s="166"/>
      <c r="G52" s="166"/>
      <c r="H52" s="166"/>
      <c r="I52" s="166"/>
    </row>
    <row r="53" spans="1:9" ht="36" customHeight="1">
      <c r="A53" s="64"/>
      <c r="B53" s="64"/>
      <c r="C53" s="64"/>
      <c r="D53" s="64"/>
      <c r="E53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3" s="166"/>
      <c r="G53" s="166"/>
      <c r="H53" s="166"/>
      <c r="I53" s="166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2" t="s">
        <v>105</v>
      </c>
      <c r="B56" s="162"/>
      <c r="C56" s="162"/>
      <c r="D56" s="162"/>
      <c r="E56" s="162"/>
      <c r="F56" s="162"/>
      <c r="G56" s="162"/>
      <c r="H56" s="162"/>
      <c r="I56" s="162"/>
    </row>
    <row r="57" spans="1:9" ht="15.75" customHeight="1">
      <c r="A57" s="155" t="s">
        <v>132</v>
      </c>
      <c r="B57" s="155"/>
      <c r="C57" s="155"/>
      <c r="D57" s="155"/>
      <c r="E57" s="155"/>
      <c r="F57" s="155"/>
      <c r="G57" s="155"/>
      <c r="H57" s="155"/>
      <c r="I57" s="15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5.75" customHeight="1">
      <c r="A59" s="163" t="s">
        <v>106</v>
      </c>
      <c r="B59" s="163" t="s">
        <v>6</v>
      </c>
      <c r="C59" s="163" t="s">
        <v>7</v>
      </c>
      <c r="D59" s="163" t="str">
        <f>' ЦТЭЦ (ГТУ-1) ДПМ'!$D$58:$E$58</f>
        <v>Фактические показатели за год, предшествующий базовому периоду (2024г.)</v>
      </c>
      <c r="E59" s="163"/>
      <c r="F59" s="163" t="str">
        <f>' ЦТЭЦ (ГТУ-1) ДПМ'!$F$58:$G$58</f>
        <v>Показатели, утвержденные на базовый период (2025г.)*</v>
      </c>
      <c r="G59" s="163"/>
      <c r="H59" s="163" t="str">
        <f>' ЦТЭЦ (ГТУ-1) ДПМ'!$H$58:$I$58</f>
        <v>Предложения на расчетный период регулирования (2026г.)</v>
      </c>
      <c r="I59" s="163"/>
    </row>
    <row r="60" spans="1:9">
      <c r="A60" s="163"/>
      <c r="B60" s="163"/>
      <c r="C60" s="163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4" t="s">
        <v>111</v>
      </c>
      <c r="B62" s="112" t="s">
        <v>112</v>
      </c>
      <c r="C62" s="114" t="s">
        <v>113</v>
      </c>
      <c r="D62" s="113">
        <v>32.794252749640712</v>
      </c>
      <c r="E62" s="113">
        <v>42.05</v>
      </c>
      <c r="F62" s="113">
        <v>42.05</v>
      </c>
      <c r="G62" s="113">
        <v>47.616588986297572</v>
      </c>
      <c r="H62" s="113">
        <v>47.616588986297572</v>
      </c>
      <c r="I62" s="113">
        <v>56.417643197797915</v>
      </c>
    </row>
    <row r="63" spans="1:9" ht="28.5">
      <c r="A63" s="114"/>
      <c r="B63" s="112" t="s">
        <v>114</v>
      </c>
      <c r="C63" s="114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 t="s">
        <v>1</v>
      </c>
    </row>
    <row r="64" spans="1:9" ht="28.5">
      <c r="A64" s="114" t="s">
        <v>115</v>
      </c>
      <c r="B64" s="112" t="s">
        <v>116</v>
      </c>
      <c r="C64" s="114" t="s">
        <v>109</v>
      </c>
      <c r="D64" s="113">
        <v>188345.12999999998</v>
      </c>
      <c r="E64" s="113">
        <v>200399.22</v>
      </c>
      <c r="F64" s="113">
        <v>200399.22</v>
      </c>
      <c r="G64" s="113">
        <v>210619.58007728105</v>
      </c>
      <c r="H64" s="113">
        <v>210619.58007728105</v>
      </c>
      <c r="I64" s="113">
        <v>221663.96768683597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I66"/>
  <sheetViews>
    <sheetView workbookViewId="0">
      <selection activeCell="E16" sqref="E16:F16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3.42578125" customWidth="1"/>
    <col min="5" max="5" width="14" customWidth="1"/>
    <col min="6" max="6" width="15.42578125" customWidth="1"/>
    <col min="7" max="7" width="16.140625" customWidth="1"/>
    <col min="8" max="8" width="15.28515625" customWidth="1"/>
    <col min="9" max="9" width="15" customWidth="1"/>
  </cols>
  <sheetData>
    <row r="1" spans="1:6">
      <c r="D1" s="168" t="s">
        <v>4</v>
      </c>
      <c r="E1" s="168"/>
      <c r="F1" s="168"/>
    </row>
    <row r="2" spans="1:6" ht="36.7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55" t="s">
        <v>92</v>
      </c>
      <c r="B4" s="155"/>
      <c r="C4" s="155"/>
      <c r="D4" s="155"/>
      <c r="E4" s="155"/>
      <c r="F4" s="155"/>
    </row>
    <row r="5" spans="1:6" ht="17.25" customHeight="1">
      <c r="A5" s="155" t="s">
        <v>100</v>
      </c>
      <c r="B5" s="155"/>
      <c r="C5" s="155"/>
      <c r="D5" s="155"/>
      <c r="E5" s="155"/>
      <c r="F5" s="155"/>
    </row>
    <row r="6" spans="1:6" ht="17.25" customHeight="1">
      <c r="A6" s="155" t="s">
        <v>88</v>
      </c>
      <c r="B6" s="155"/>
      <c r="C6" s="155"/>
      <c r="D6" s="155"/>
      <c r="E6" s="155"/>
      <c r="F6" s="155"/>
    </row>
    <row r="8" spans="1:6" ht="102.7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6">
      <c r="A9" s="4" t="s">
        <v>8</v>
      </c>
      <c r="B9" s="5" t="s">
        <v>9</v>
      </c>
      <c r="C9" s="4" t="s">
        <v>10</v>
      </c>
      <c r="D9" s="36">
        <v>30.5</v>
      </c>
      <c r="E9" s="36">
        <v>30.5</v>
      </c>
      <c r="F9" s="6">
        <v>30.5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30.245249999999999</v>
      </c>
      <c r="E10" s="13">
        <v>30.164375</v>
      </c>
      <c r="F10" s="9">
        <v>29.994875</v>
      </c>
    </row>
    <row r="11" spans="1:6">
      <c r="A11" s="7" t="s">
        <v>13</v>
      </c>
      <c r="B11" s="8" t="s">
        <v>14</v>
      </c>
      <c r="C11" s="7" t="s">
        <v>15</v>
      </c>
      <c r="D11" s="13">
        <v>196.03230300000001</v>
      </c>
      <c r="E11" s="13">
        <v>171.5</v>
      </c>
      <c r="F11" s="9">
        <v>169.75</v>
      </c>
    </row>
    <row r="12" spans="1:6">
      <c r="A12" s="7" t="s">
        <v>16</v>
      </c>
      <c r="B12" s="8" t="s">
        <v>17</v>
      </c>
      <c r="C12" s="7" t="s">
        <v>15</v>
      </c>
      <c r="D12" s="13">
        <v>193.74826875000002</v>
      </c>
      <c r="E12" s="13">
        <v>169.10645725000001</v>
      </c>
      <c r="F12" s="9">
        <v>160.05468175000001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81.640590279541641</v>
      </c>
      <c r="F15" s="37">
        <f>F16+F17</f>
        <v>86.038453061828918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f>8066.20799944985/1000</f>
        <v>8.0662079994498495</v>
      </c>
      <c r="F16" s="9">
        <f>9024.06107886911/1000</f>
        <v>9.02406107886911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f>73574.3822800918/1000</f>
        <v>73.574382280091797</v>
      </c>
      <c r="F17" s="9">
        <f>77014.3919829598/1000</f>
        <v>77.014391982959808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>E30+E31</f>
        <v>81.640590279541641</v>
      </c>
      <c r="F29" s="37">
        <f>F30+F31</f>
        <v>86.038453061828918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8.0662079994498495</v>
      </c>
      <c r="F30" s="13">
        <f>F16</f>
        <v>9.02406107886911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73.574382280091797</v>
      </c>
      <c r="F31" s="13">
        <f>F17</f>
        <v>77.014391982959808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25.5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>
      <c r="A58" s="155" t="s">
        <v>131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2.75" customHeight="1">
      <c r="A60" s="163" t="s">
        <v>106</v>
      </c>
      <c r="B60" s="163" t="s">
        <v>6</v>
      </c>
      <c r="C60" s="163" t="s">
        <v>7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 ht="28.5">
      <c r="A61" s="163"/>
      <c r="B61" s="163"/>
      <c r="C61" s="163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33.661596305397588</v>
      </c>
      <c r="E63" s="113">
        <v>43.17</v>
      </c>
      <c r="F63" s="113">
        <v>43.17</v>
      </c>
      <c r="G63" s="113">
        <v>47.698994648827039</v>
      </c>
      <c r="H63" s="113">
        <v>47.698994648827039</v>
      </c>
      <c r="I63" s="113">
        <v>56.381112880936428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181763.51</v>
      </c>
      <c r="E65" s="113">
        <v>193396.38</v>
      </c>
      <c r="F65" s="113">
        <v>193396.38</v>
      </c>
      <c r="G65" s="113">
        <v>203259.59093602898</v>
      </c>
      <c r="H65" s="113">
        <v>203259.59093602898</v>
      </c>
      <c r="I65" s="113">
        <v>213965.41904508631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I66"/>
  <sheetViews>
    <sheetView topLeftCell="A4" workbookViewId="0">
      <selection activeCell="E16" sqref="E16:F16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5" customWidth="1"/>
    <col min="5" max="5" width="15.85546875" customWidth="1"/>
    <col min="6" max="6" width="15.42578125" customWidth="1"/>
    <col min="7" max="7" width="15.85546875" customWidth="1"/>
    <col min="8" max="8" width="14.42578125" customWidth="1"/>
    <col min="9" max="9" width="17.42578125" customWidth="1"/>
  </cols>
  <sheetData>
    <row r="1" spans="1:6">
      <c r="D1" s="168" t="s">
        <v>4</v>
      </c>
      <c r="E1" s="168"/>
      <c r="F1" s="168"/>
    </row>
    <row r="2" spans="1:6" ht="36.7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5" t="s">
        <v>92</v>
      </c>
      <c r="B4" s="155"/>
      <c r="C4" s="155"/>
      <c r="D4" s="155"/>
      <c r="E4" s="155"/>
      <c r="F4" s="155"/>
    </row>
    <row r="5" spans="1:6" ht="17.25" customHeight="1">
      <c r="A5" s="155" t="s">
        <v>101</v>
      </c>
      <c r="B5" s="155"/>
      <c r="C5" s="155"/>
      <c r="D5" s="155"/>
      <c r="E5" s="155"/>
      <c r="F5" s="155"/>
    </row>
    <row r="6" spans="1:6" ht="17.25" customHeight="1">
      <c r="A6" s="155" t="s">
        <v>88</v>
      </c>
      <c r="B6" s="155"/>
      <c r="C6" s="155"/>
      <c r="D6" s="155"/>
      <c r="E6" s="155"/>
      <c r="F6" s="155"/>
    </row>
    <row r="8" spans="1:6" ht="90" customHeight="1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30.245249999999999</v>
      </c>
      <c r="E10" s="13">
        <v>30.164375</v>
      </c>
      <c r="F10" s="9">
        <v>29.994875</v>
      </c>
    </row>
    <row r="11" spans="1:6">
      <c r="A11" s="57" t="s">
        <v>13</v>
      </c>
      <c r="B11" s="8" t="s">
        <v>14</v>
      </c>
      <c r="C11" s="57" t="s">
        <v>15</v>
      </c>
      <c r="D11" s="13">
        <v>196.03230300000001</v>
      </c>
      <c r="E11" s="13">
        <v>171.5</v>
      </c>
      <c r="F11" s="9">
        <v>169.75</v>
      </c>
    </row>
    <row r="12" spans="1:6">
      <c r="A12" s="57" t="s">
        <v>16</v>
      </c>
      <c r="B12" s="8" t="s">
        <v>17</v>
      </c>
      <c r="C12" s="57" t="s">
        <v>15</v>
      </c>
      <c r="D12" s="13">
        <v>193.74826875000002</v>
      </c>
      <c r="E12" s="13">
        <v>169.10645725000001</v>
      </c>
      <c r="F12" s="9">
        <v>160.05468175000001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87.035994559238958</v>
      </c>
      <c r="F15" s="37">
        <f>F16+F17</f>
        <v>91.6503333969398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8.0662079994498495</v>
      </c>
      <c r="F16" s="9">
        <v>9.02406107886911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f>78969.7865597891/1000</f>
        <v>78.969786559789114</v>
      </c>
      <c r="F17" s="9">
        <f>82626.2723180707/1000</f>
        <v>82.62627231807069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E30+E31</f>
        <v>87.035994559238958</v>
      </c>
      <c r="F29" s="37">
        <f>F30+F31</f>
        <v>91.6503333969398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8.0662079994498495</v>
      </c>
      <c r="F30" s="13">
        <f>F16</f>
        <v>9.02406107886911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78.969786559789114</v>
      </c>
      <c r="F31" s="13">
        <f>F17</f>
        <v>82.62627231807069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30.75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>
      <c r="A58" s="155" t="s">
        <v>130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52.5" customHeight="1">
      <c r="A60" s="163" t="s">
        <v>106</v>
      </c>
      <c r="B60" s="163" t="s">
        <v>6</v>
      </c>
      <c r="C60" s="163" t="s">
        <v>7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 ht="28.5">
      <c r="A61" s="163"/>
      <c r="B61" s="163"/>
      <c r="C61" s="163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33.659999999999997</v>
      </c>
      <c r="E63" s="113">
        <v>43.17</v>
      </c>
      <c r="F63" s="113">
        <v>43.17</v>
      </c>
      <c r="G63" s="113">
        <v>47.698994648827039</v>
      </c>
      <c r="H63" s="113">
        <v>47.698994648827039</v>
      </c>
      <c r="I63" s="113">
        <v>56.381112880936428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195092.70999999996</v>
      </c>
      <c r="E65" s="113">
        <v>207578.64</v>
      </c>
      <c r="F65" s="113">
        <v>207578.64</v>
      </c>
      <c r="G65" s="113">
        <v>218165.15497666004</v>
      </c>
      <c r="H65" s="113">
        <v>218165.15497666004</v>
      </c>
      <c r="I65" s="113">
        <v>229556.63903158638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I67"/>
  <sheetViews>
    <sheetView topLeftCell="A7" workbookViewId="0">
      <selection activeCell="E16" sqref="E16:F16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5.7109375" customWidth="1"/>
    <col min="5" max="5" width="15.85546875" customWidth="1"/>
    <col min="6" max="6" width="15.42578125" customWidth="1"/>
    <col min="7" max="7" width="14.42578125" customWidth="1"/>
    <col min="8" max="8" width="16.28515625" customWidth="1"/>
    <col min="9" max="9" width="15.7109375" customWidth="1"/>
  </cols>
  <sheetData>
    <row r="1" spans="1:6">
      <c r="D1" s="168" t="s">
        <v>4</v>
      </c>
      <c r="E1" s="168"/>
      <c r="F1" s="168"/>
    </row>
    <row r="2" spans="1:6" ht="36.7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5" t="s">
        <v>92</v>
      </c>
      <c r="B4" s="155"/>
      <c r="C4" s="155"/>
      <c r="D4" s="155"/>
      <c r="E4" s="155"/>
      <c r="F4" s="155"/>
    </row>
    <row r="5" spans="1:6" ht="17.25" customHeight="1">
      <c r="A5" s="155" t="s">
        <v>102</v>
      </c>
      <c r="B5" s="155"/>
      <c r="C5" s="155"/>
      <c r="D5" s="155"/>
      <c r="E5" s="155"/>
      <c r="F5" s="155"/>
    </row>
    <row r="6" spans="1:6" ht="17.25" customHeight="1">
      <c r="A6" s="155" t="s">
        <v>88</v>
      </c>
      <c r="B6" s="155"/>
      <c r="C6" s="155"/>
      <c r="D6" s="155"/>
      <c r="E6" s="155"/>
      <c r="F6" s="155"/>
    </row>
    <row r="8" spans="1:6" ht="77.2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30.245249999999999</v>
      </c>
      <c r="E10" s="13">
        <v>30.164375</v>
      </c>
      <c r="F10" s="9">
        <v>29.994875</v>
      </c>
    </row>
    <row r="11" spans="1:6">
      <c r="A11" s="57" t="s">
        <v>13</v>
      </c>
      <c r="B11" s="8" t="s">
        <v>14</v>
      </c>
      <c r="C11" s="57" t="s">
        <v>15</v>
      </c>
      <c r="D11" s="13">
        <v>196.03230300000001</v>
      </c>
      <c r="E11" s="13">
        <v>171.5</v>
      </c>
      <c r="F11" s="9">
        <v>169.75</v>
      </c>
    </row>
    <row r="12" spans="1:6">
      <c r="A12" s="57" t="s">
        <v>16</v>
      </c>
      <c r="B12" s="8" t="s">
        <v>17</v>
      </c>
      <c r="C12" s="57" t="s">
        <v>15</v>
      </c>
      <c r="D12" s="13">
        <v>193.74826875000002</v>
      </c>
      <c r="E12" s="13">
        <v>169.10645725000001</v>
      </c>
      <c r="F12" s="9">
        <v>160.05468175000001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81.640590279541641</v>
      </c>
      <c r="F15" s="37">
        <f>F16+F17</f>
        <v>86.038453061828918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8.0662079994498495</v>
      </c>
      <c r="F16" s="9">
        <v>9.02406107886911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f>73574.3822800918/1000</f>
        <v>73.574382280091797</v>
      </c>
      <c r="F17" s="9">
        <f>77014.3919829598/1000</f>
        <v>77.014391982959808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E30+E31</f>
        <v>81.640590279541641</v>
      </c>
      <c r="F29" s="37">
        <f>F30+F31</f>
        <v>86.038453061828918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8.0662079994498495</v>
      </c>
      <c r="F30" s="13">
        <f>F16</f>
        <v>9.02406107886911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73.574382280091797</v>
      </c>
      <c r="F31" s="13">
        <f>F17</f>
        <v>77.014391982959808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>
      <c r="A53" s="27"/>
      <c r="B53" s="27"/>
    </row>
    <row r="54" spans="1:9" ht="15.75">
      <c r="A54" s="64"/>
      <c r="B54" s="64"/>
      <c r="C54" s="64"/>
      <c r="D54" s="64"/>
      <c r="E54" s="166" t="s">
        <v>117</v>
      </c>
      <c r="F54" s="166"/>
      <c r="G54" s="166"/>
      <c r="H54" s="166"/>
      <c r="I54" s="166"/>
    </row>
    <row r="55" spans="1:9" ht="24.75" customHeight="1">
      <c r="A55" s="64"/>
      <c r="B55" s="64"/>
      <c r="C55" s="64"/>
      <c r="D55" s="64"/>
      <c r="E55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5" s="166"/>
      <c r="G55" s="166"/>
      <c r="H55" s="166"/>
      <c r="I55" s="166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16.5">
      <c r="A58" s="162" t="s">
        <v>105</v>
      </c>
      <c r="B58" s="162"/>
      <c r="C58" s="162"/>
      <c r="D58" s="162"/>
      <c r="E58" s="162"/>
      <c r="F58" s="162"/>
      <c r="G58" s="162"/>
      <c r="H58" s="162"/>
      <c r="I58" s="162"/>
    </row>
    <row r="59" spans="1:9">
      <c r="A59" s="155" t="s">
        <v>129</v>
      </c>
      <c r="B59" s="155"/>
      <c r="C59" s="155"/>
      <c r="D59" s="155"/>
      <c r="E59" s="155"/>
      <c r="F59" s="155"/>
      <c r="G59" s="155"/>
      <c r="H59" s="155"/>
      <c r="I59" s="155"/>
    </row>
    <row r="60" spans="1:9" ht="15.75">
      <c r="A60" s="64"/>
      <c r="B60" s="64"/>
      <c r="C60" s="64"/>
      <c r="D60" s="64"/>
      <c r="E60" s="64"/>
      <c r="F60" s="64"/>
      <c r="G60" s="64"/>
      <c r="H60" s="64"/>
      <c r="I60" s="64"/>
    </row>
    <row r="61" spans="1:9" ht="42.75" customHeight="1">
      <c r="A61" s="163" t="s">
        <v>106</v>
      </c>
      <c r="B61" s="163" t="s">
        <v>6</v>
      </c>
      <c r="C61" s="163" t="s">
        <v>7</v>
      </c>
      <c r="D61" s="163" t="str">
        <f>' ЦТЭЦ (ГТУ-1) ДПМ'!$D$58:$E$58</f>
        <v>Фактические показатели за год, предшествующий базовому периоду (2024г.)</v>
      </c>
      <c r="E61" s="163"/>
      <c r="F61" s="163" t="str">
        <f>' ЦТЭЦ (ГТУ-1) ДПМ'!$F$58:$G$58</f>
        <v>Показатели, утвержденные на базовый период (2025г.)*</v>
      </c>
      <c r="G61" s="163"/>
      <c r="H61" s="163" t="str">
        <f>' ЦТЭЦ (ГТУ-1) ДПМ'!$H$58:$I$58</f>
        <v>Предложения на расчетный период регулирования (2026г.)</v>
      </c>
      <c r="I61" s="163"/>
    </row>
    <row r="62" spans="1:9" ht="28.5">
      <c r="A62" s="163"/>
      <c r="B62" s="163"/>
      <c r="C62" s="163"/>
      <c r="D62" s="65" t="s">
        <v>107</v>
      </c>
      <c r="E62" s="65" t="s">
        <v>108</v>
      </c>
      <c r="F62" s="65" t="s">
        <v>107</v>
      </c>
      <c r="G62" s="65" t="s">
        <v>108</v>
      </c>
      <c r="H62" s="65" t="s">
        <v>107</v>
      </c>
      <c r="I62" s="65" t="s">
        <v>108</v>
      </c>
    </row>
    <row r="63" spans="1:9">
      <c r="A63" s="66" t="s">
        <v>16</v>
      </c>
      <c r="B63" s="67" t="s">
        <v>110</v>
      </c>
      <c r="C63" s="66"/>
      <c r="D63" s="68"/>
      <c r="E63" s="68"/>
      <c r="F63" s="68"/>
      <c r="G63" s="68"/>
      <c r="H63" s="68"/>
      <c r="I63" s="68"/>
    </row>
    <row r="64" spans="1:9" ht="28.5">
      <c r="A64" s="110" t="s">
        <v>111</v>
      </c>
      <c r="B64" s="112" t="s">
        <v>112</v>
      </c>
      <c r="C64" s="66" t="s">
        <v>113</v>
      </c>
      <c r="D64" s="113">
        <v>33.659999999999997</v>
      </c>
      <c r="E64" s="113">
        <v>43.168784099496989</v>
      </c>
      <c r="F64" s="113">
        <v>43.168784099496989</v>
      </c>
      <c r="G64" s="113">
        <v>47.698994648827039</v>
      </c>
      <c r="H64" s="113">
        <v>47.698994648827039</v>
      </c>
      <c r="I64" s="113">
        <v>56.381112880936428</v>
      </c>
    </row>
    <row r="65" spans="1:9" ht="28.5">
      <c r="A65" s="110"/>
      <c r="B65" s="112" t="s">
        <v>114</v>
      </c>
      <c r="C65" s="66" t="s">
        <v>113</v>
      </c>
      <c r="D65" s="113" t="s">
        <v>1</v>
      </c>
      <c r="E65" s="113" t="s">
        <v>1</v>
      </c>
      <c r="F65" s="113" t="s">
        <v>1</v>
      </c>
      <c r="G65" s="113" t="s">
        <v>1</v>
      </c>
      <c r="H65" s="113" t="s">
        <v>1</v>
      </c>
      <c r="I65" s="113" t="s">
        <v>1</v>
      </c>
    </row>
    <row r="66" spans="1:9" ht="28.5">
      <c r="A66" s="110" t="s">
        <v>115</v>
      </c>
      <c r="B66" s="112" t="s">
        <v>116</v>
      </c>
      <c r="C66" s="66" t="s">
        <v>109</v>
      </c>
      <c r="D66" s="113">
        <v>181763.51</v>
      </c>
      <c r="E66" s="113">
        <v>193396.37577167357</v>
      </c>
      <c r="F66" s="113">
        <v>193396.37577167357</v>
      </c>
      <c r="G66" s="113">
        <v>203259.59093602898</v>
      </c>
      <c r="H66" s="113">
        <v>203259.59093602898</v>
      </c>
      <c r="I66" s="113">
        <v>213965.41904508631</v>
      </c>
    </row>
    <row r="67" spans="1:9">
      <c r="A67" s="71" t="s">
        <v>118</v>
      </c>
      <c r="B67" s="70"/>
      <c r="C67" s="70"/>
      <c r="D67" s="70"/>
      <c r="E67" s="70"/>
      <c r="F67" s="70"/>
      <c r="G67" s="70"/>
      <c r="H67" s="70"/>
      <c r="I67" s="70"/>
    </row>
  </sheetData>
  <mergeCells count="16">
    <mergeCell ref="E54:I54"/>
    <mergeCell ref="E55:I55"/>
    <mergeCell ref="A58:I58"/>
    <mergeCell ref="A61:A62"/>
    <mergeCell ref="B61:B62"/>
    <mergeCell ref="C61:C62"/>
    <mergeCell ref="D61:E61"/>
    <mergeCell ref="F61:G61"/>
    <mergeCell ref="H61:I61"/>
    <mergeCell ref="A59:I59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I65"/>
  <sheetViews>
    <sheetView topLeftCell="A52" workbookViewId="0">
      <selection activeCell="I64" sqref="I64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  <col min="7" max="7" width="15.7109375" customWidth="1"/>
    <col min="8" max="8" width="16.7109375" customWidth="1"/>
    <col min="9" max="9" width="15.28515625" customWidth="1"/>
  </cols>
  <sheetData>
    <row r="1" spans="1:6">
      <c r="D1" s="168" t="s">
        <v>4</v>
      </c>
      <c r="E1" s="168"/>
      <c r="F1" s="168"/>
    </row>
    <row r="2" spans="1:6" ht="36.7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5" t="s">
        <v>92</v>
      </c>
      <c r="B4" s="155"/>
      <c r="C4" s="155"/>
      <c r="D4" s="155"/>
      <c r="E4" s="155"/>
      <c r="F4" s="155"/>
    </row>
    <row r="5" spans="1:6" ht="17.25" customHeight="1">
      <c r="A5" s="155" t="s">
        <v>103</v>
      </c>
      <c r="B5" s="155"/>
      <c r="C5" s="155"/>
      <c r="D5" s="155"/>
      <c r="E5" s="155"/>
      <c r="F5" s="155"/>
    </row>
    <row r="6" spans="1:6" ht="17.25" customHeight="1">
      <c r="A6" s="155" t="s">
        <v>88</v>
      </c>
      <c r="B6" s="155"/>
      <c r="C6" s="155"/>
      <c r="D6" s="155"/>
      <c r="E6" s="155"/>
      <c r="F6" s="155"/>
    </row>
    <row r="8" spans="1:6" ht="102.7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30.245249999999999</v>
      </c>
      <c r="E10" s="13">
        <v>30.164375</v>
      </c>
      <c r="F10" s="9">
        <v>29.994875</v>
      </c>
    </row>
    <row r="11" spans="1:6">
      <c r="A11" s="57" t="s">
        <v>13</v>
      </c>
      <c r="B11" s="8" t="s">
        <v>14</v>
      </c>
      <c r="C11" s="57" t="s">
        <v>15</v>
      </c>
      <c r="D11" s="13">
        <v>196.03230300000001</v>
      </c>
      <c r="E11" s="13">
        <v>171.5</v>
      </c>
      <c r="F11" s="9">
        <v>169.75</v>
      </c>
    </row>
    <row r="12" spans="1:6">
      <c r="A12" s="57" t="s">
        <v>16</v>
      </c>
      <c r="B12" s="8" t="s">
        <v>17</v>
      </c>
      <c r="C12" s="57" t="s">
        <v>15</v>
      </c>
      <c r="D12" s="13">
        <v>193.74826875000002</v>
      </c>
      <c r="E12" s="13">
        <v>169.10645725000001</v>
      </c>
      <c r="F12" s="9">
        <v>160.05468175000001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83.97056309941695</v>
      </c>
      <c r="F15" s="37">
        <f>F16+F17</f>
        <v>88.461909761525007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8.0662079994498495</v>
      </c>
      <c r="F16" s="9">
        <v>9.02406107886911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f>75904.3550999671/1000</f>
        <v>75.904355099967106</v>
      </c>
      <c r="F17" s="9">
        <f>79437.8486826559/1000</f>
        <v>79.437848682655897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E30+E31</f>
        <v>83.97056309941695</v>
      </c>
      <c r="F29" s="37">
        <f>F30+F31</f>
        <v>88.461909761525007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8.0662079994498495</v>
      </c>
      <c r="F30" s="13">
        <f>F16</f>
        <v>9.02406107886911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75.904355099967106</v>
      </c>
      <c r="F31" s="13">
        <f>F17</f>
        <v>79.437848682655897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6" t="s">
        <v>117</v>
      </c>
      <c r="F52" s="166"/>
      <c r="G52" s="166"/>
      <c r="H52" s="166"/>
      <c r="I52" s="166"/>
    </row>
    <row r="53" spans="1:9" ht="28.5" customHeight="1">
      <c r="A53" s="64"/>
      <c r="B53" s="64"/>
      <c r="C53" s="64"/>
      <c r="D53" s="64"/>
      <c r="E53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3" s="166"/>
      <c r="G53" s="166"/>
      <c r="H53" s="166"/>
      <c r="I53" s="166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2" t="s">
        <v>105</v>
      </c>
      <c r="B56" s="162"/>
      <c r="C56" s="162"/>
      <c r="D56" s="162"/>
      <c r="E56" s="162"/>
      <c r="F56" s="162"/>
      <c r="G56" s="162"/>
      <c r="H56" s="162"/>
      <c r="I56" s="162"/>
    </row>
    <row r="57" spans="1:9" ht="15.75" customHeight="1">
      <c r="A57" s="155" t="s">
        <v>128</v>
      </c>
      <c r="B57" s="155"/>
      <c r="C57" s="155"/>
      <c r="D57" s="155"/>
      <c r="E57" s="155"/>
      <c r="F57" s="155"/>
      <c r="G57" s="155"/>
      <c r="H57" s="155"/>
      <c r="I57" s="15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8.75" customHeight="1">
      <c r="A59" s="163" t="s">
        <v>106</v>
      </c>
      <c r="B59" s="163" t="s">
        <v>6</v>
      </c>
      <c r="C59" s="163" t="s">
        <v>7</v>
      </c>
      <c r="D59" s="163" t="str">
        <f>' ЦТЭЦ (ГТУ-1) ДПМ'!$D$58:$E$58</f>
        <v>Фактические показатели за год, предшествующий базовому периоду (2024г.)</v>
      </c>
      <c r="E59" s="163"/>
      <c r="F59" s="163" t="str">
        <f>' ЦТЭЦ (ГТУ-1) ДПМ'!$F$58:$G$58</f>
        <v>Показатели, утвержденные на базовый период (2025г.)*</v>
      </c>
      <c r="G59" s="163"/>
      <c r="H59" s="163" t="str">
        <f>' ЦТЭЦ (ГТУ-1) ДПМ'!$H$58:$I$58</f>
        <v>Предложения на расчетный период регулирования (2026г.)</v>
      </c>
      <c r="I59" s="163"/>
    </row>
    <row r="60" spans="1:9" ht="28.5">
      <c r="A60" s="163"/>
      <c r="B60" s="163"/>
      <c r="C60" s="163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33.659999999999997</v>
      </c>
      <c r="E62" s="113">
        <v>43.168784099496989</v>
      </c>
      <c r="F62" s="113">
        <v>43.168784099496989</v>
      </c>
      <c r="G62" s="113">
        <v>47.698994648827039</v>
      </c>
      <c r="H62" s="113">
        <v>47.698994648827039</v>
      </c>
      <c r="I62" s="113">
        <v>56.381112880936428</v>
      </c>
    </row>
    <row r="63" spans="1:9" ht="28.5">
      <c r="A63" s="110"/>
      <c r="B63" s="112" t="s">
        <v>114</v>
      </c>
      <c r="C63" s="110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 t="s">
        <v>1</v>
      </c>
    </row>
    <row r="64" spans="1:9" ht="28.5">
      <c r="A64" s="110" t="s">
        <v>115</v>
      </c>
      <c r="B64" s="112" t="s">
        <v>116</v>
      </c>
      <c r="C64" s="110" t="s">
        <v>109</v>
      </c>
      <c r="D64" s="113">
        <v>187519.65</v>
      </c>
      <c r="E64" s="113">
        <v>199520.90288350085</v>
      </c>
      <c r="F64" s="113">
        <v>199520.90288350085</v>
      </c>
      <c r="G64" s="113">
        <v>209696.46893055993</v>
      </c>
      <c r="H64" s="113">
        <v>209696.46893055993</v>
      </c>
      <c r="I64" s="113">
        <v>220698.39342736569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I66"/>
  <sheetViews>
    <sheetView topLeftCell="A55" workbookViewId="0">
      <selection activeCell="I65" sqref="I65"/>
    </sheetView>
  </sheetViews>
  <sheetFormatPr defaultRowHeight="15"/>
  <cols>
    <col min="1" max="1" width="5.85546875" customWidth="1"/>
    <col min="2" max="2" width="38.85546875" customWidth="1"/>
    <col min="3" max="3" width="10.42578125" customWidth="1"/>
    <col min="4" max="4" width="13.42578125" customWidth="1"/>
    <col min="5" max="5" width="14" customWidth="1"/>
    <col min="6" max="6" width="15.42578125" customWidth="1"/>
    <col min="7" max="7" width="15.140625" customWidth="1"/>
    <col min="8" max="8" width="14.7109375" customWidth="1"/>
    <col min="9" max="9" width="15.85546875" customWidth="1"/>
  </cols>
  <sheetData>
    <row r="1" spans="1:6">
      <c r="D1" s="168" t="s">
        <v>4</v>
      </c>
      <c r="E1" s="168"/>
      <c r="F1" s="168"/>
    </row>
    <row r="2" spans="1:6" ht="42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55" t="s">
        <v>92</v>
      </c>
      <c r="B4" s="155"/>
      <c r="C4" s="155"/>
      <c r="D4" s="155"/>
      <c r="E4" s="155"/>
      <c r="F4" s="155"/>
    </row>
    <row r="5" spans="1:6" ht="17.25" customHeight="1">
      <c r="A5" s="155" t="s">
        <v>3</v>
      </c>
      <c r="B5" s="155"/>
      <c r="C5" s="155"/>
      <c r="D5" s="155"/>
      <c r="E5" s="155"/>
      <c r="F5" s="155"/>
    </row>
    <row r="6" spans="1:6" ht="17.25" customHeight="1">
      <c r="A6" s="155" t="s">
        <v>88</v>
      </c>
      <c r="B6" s="155"/>
      <c r="C6" s="155"/>
      <c r="D6" s="155"/>
      <c r="E6" s="155"/>
      <c r="F6" s="155"/>
    </row>
    <row r="8" spans="1:6" ht="102.7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6">
      <c r="A9" s="4" t="s">
        <v>8</v>
      </c>
      <c r="B9" s="5" t="s">
        <v>9</v>
      </c>
      <c r="C9" s="4" t="s">
        <v>10</v>
      </c>
      <c r="D9" s="36">
        <v>259</v>
      </c>
      <c r="E9" s="36">
        <v>259</v>
      </c>
      <c r="F9" s="36">
        <v>259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216.04650000000001</v>
      </c>
      <c r="E10" s="13">
        <v>215.51333333333335</v>
      </c>
      <c r="F10" s="13">
        <v>214.06616666666667</v>
      </c>
    </row>
    <row r="11" spans="1:6">
      <c r="A11" s="7" t="s">
        <v>13</v>
      </c>
      <c r="B11" s="8" t="s">
        <v>14</v>
      </c>
      <c r="C11" s="7" t="s">
        <v>15</v>
      </c>
      <c r="D11" s="13">
        <v>1314.3644879999999</v>
      </c>
      <c r="E11" s="13">
        <v>1173</v>
      </c>
      <c r="F11" s="13">
        <v>1173</v>
      </c>
    </row>
    <row r="12" spans="1:6">
      <c r="A12" s="7" t="s">
        <v>16</v>
      </c>
      <c r="B12" s="8" t="s">
        <v>17</v>
      </c>
      <c r="C12" s="7" t="s">
        <v>15</v>
      </c>
      <c r="D12" s="13">
        <v>1303.3525440000001</v>
      </c>
      <c r="E12" s="13">
        <v>1140.5200010000001</v>
      </c>
      <c r="F12" s="13">
        <v>1127.668312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591.05533147516712</v>
      </c>
      <c r="F15" s="37">
        <f>F16+F17</f>
        <v>623.31422441867039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f>63709.9633790172/1000</f>
        <v>63.709963379017204</v>
      </c>
      <c r="F16" s="13">
        <f>71273.8310548005/1000</f>
        <v>71.273831054800496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f>527345.36809615/1000</f>
        <v>527.34536809614997</v>
      </c>
      <c r="F17" s="13">
        <f>552040.39336387/1000</f>
        <v>552.04039336386995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>E30+E31</f>
        <v>591.05533147516712</v>
      </c>
      <c r="F29" s="37">
        <f>F30+F31</f>
        <v>623.31422441867039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63.709963379017204</v>
      </c>
      <c r="F30" s="13">
        <f>F16</f>
        <v>71.273831054800496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527.34536809614997</v>
      </c>
      <c r="F31" s="13">
        <f>F17</f>
        <v>552.04039336386995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6" t="s">
        <v>117</v>
      </c>
      <c r="F53" s="166"/>
      <c r="G53" s="166"/>
      <c r="H53" s="166"/>
      <c r="I53" s="166"/>
    </row>
    <row r="54" spans="1:9" ht="33.75" customHeight="1">
      <c r="A54" s="64"/>
      <c r="B54" s="64"/>
      <c r="C54" s="64"/>
      <c r="D54" s="64"/>
      <c r="E54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4" s="166"/>
      <c r="G54" s="166"/>
      <c r="H54" s="166"/>
      <c r="I54" s="166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2" t="s">
        <v>105</v>
      </c>
      <c r="B57" s="162"/>
      <c r="C57" s="162"/>
      <c r="D57" s="162"/>
      <c r="E57" s="162"/>
      <c r="F57" s="162"/>
      <c r="G57" s="162"/>
      <c r="H57" s="162"/>
      <c r="I57" s="162"/>
    </row>
    <row r="58" spans="1:9" ht="15.75" customHeight="1">
      <c r="A58" s="155" t="s">
        <v>127</v>
      </c>
      <c r="B58" s="155"/>
      <c r="C58" s="155"/>
      <c r="D58" s="155"/>
      <c r="E58" s="155"/>
      <c r="F58" s="155"/>
      <c r="G58" s="155"/>
      <c r="H58" s="155"/>
      <c r="I58" s="155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55.5" customHeight="1">
      <c r="A60" s="163" t="s">
        <v>106</v>
      </c>
      <c r="B60" s="163" t="s">
        <v>6</v>
      </c>
      <c r="C60" s="163" t="s">
        <v>7</v>
      </c>
      <c r="D60" s="163" t="str">
        <f>' ЦТЭЦ (ГТУ-1) ДПМ'!$D$58:$E$58</f>
        <v>Фактические показатели за год, предшествующий базовому периоду (2024г.)</v>
      </c>
      <c r="E60" s="163"/>
      <c r="F60" s="163" t="str">
        <f>' ЦТЭЦ (ГТУ-1) ДПМ'!$F$58:$G$58</f>
        <v>Показатели, утвержденные на базовый период (2025г.)*</v>
      </c>
      <c r="G60" s="163"/>
      <c r="H60" s="163" t="str">
        <f>' ЦТЭЦ (ГТУ-1) ДПМ'!$H$58:$I$58</f>
        <v>Предложения на расчетный период регулирования (2026г.)</v>
      </c>
      <c r="I60" s="163"/>
    </row>
    <row r="61" spans="1:9" ht="28.5">
      <c r="A61" s="163"/>
      <c r="B61" s="163"/>
      <c r="C61" s="163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39.72</v>
      </c>
      <c r="E63" s="113">
        <v>49.296516948885085</v>
      </c>
      <c r="F63" s="113">
        <v>49.296516948885085</v>
      </c>
      <c r="G63" s="113">
        <v>55.860452533192564</v>
      </c>
      <c r="H63" s="113">
        <v>55.860452533192564</v>
      </c>
      <c r="I63" s="113">
        <v>63.204605730555002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180411.93</v>
      </c>
      <c r="E65" s="113">
        <v>192921.68820801534</v>
      </c>
      <c r="F65" s="113">
        <v>192921.68820801534</v>
      </c>
      <c r="G65" s="113">
        <v>203910.5732422396</v>
      </c>
      <c r="H65" s="113">
        <v>203910.5732422396</v>
      </c>
      <c r="I65" s="113">
        <v>214902.55480348755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view="pageBreakPreview" zoomScaleNormal="100" zoomScaleSheetLayoutView="100" workbookViewId="0">
      <pane xSplit="2" ySplit="7" topLeftCell="C38" activePane="bottomRight" state="frozen"/>
      <selection activeCell="L30" sqref="L30"/>
      <selection pane="topRight" activeCell="L30" sqref="L30"/>
      <selection pane="bottomLeft" activeCell="L30" sqref="L30"/>
      <selection pane="bottomRight" activeCell="M57" sqref="M57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7.42578125" customWidth="1"/>
    <col min="5" max="5" width="16.42578125" customWidth="1"/>
    <col min="6" max="6" width="15.42578125" customWidth="1"/>
    <col min="7" max="7" width="16" customWidth="1"/>
    <col min="8" max="8" width="17.28515625" customWidth="1"/>
    <col min="9" max="9" width="18.85546875" customWidth="1"/>
  </cols>
  <sheetData>
    <row r="1" spans="1:9">
      <c r="D1" s="168" t="s">
        <v>4</v>
      </c>
      <c r="E1" s="168"/>
      <c r="F1" s="168"/>
    </row>
    <row r="2" spans="1:9" ht="36.7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9" ht="13.5" customHeight="1">
      <c r="A3" s="2"/>
      <c r="B3" s="2"/>
      <c r="C3" s="2"/>
      <c r="D3" s="2"/>
      <c r="E3" s="73"/>
      <c r="F3" s="73"/>
    </row>
    <row r="4" spans="1:9" ht="16.5" customHeight="1">
      <c r="A4" s="155" t="s">
        <v>119</v>
      </c>
      <c r="B4" s="155"/>
      <c r="C4" s="155"/>
      <c r="D4" s="155"/>
      <c r="E4" s="155"/>
      <c r="F4" s="155"/>
    </row>
    <row r="5" spans="1:9" ht="17.25" customHeight="1">
      <c r="A5" s="155" t="s">
        <v>123</v>
      </c>
      <c r="B5" s="155"/>
      <c r="C5" s="155"/>
      <c r="D5" s="155"/>
      <c r="E5" s="155"/>
      <c r="F5" s="155"/>
    </row>
    <row r="7" spans="1:9" ht="64.5" thickBot="1">
      <c r="A7" s="42" t="s">
        <v>0</v>
      </c>
      <c r="B7" s="42" t="s">
        <v>6</v>
      </c>
      <c r="C7" s="42" t="s">
        <v>7</v>
      </c>
      <c r="D7" s="125" t="str">
        <f>' ЦТЭЦ (ГТУ-1) ДПМ'!$D$8</f>
        <v xml:space="preserve">Фактические показатели за год, предшествующий базовому периоду (2024г.) </v>
      </c>
      <c r="E7" s="125" t="str">
        <f>' ЦТЭЦ (ГТУ-1) ДПМ'!$E$8</f>
        <v>Показатели, утвержденные на базовый период (2025г.)</v>
      </c>
      <c r="F7" s="125" t="str">
        <f>' ЦТЭЦ (ГТУ-1) ДПМ'!$F$8</f>
        <v>Предложения на расчетный период регулирования (2026г.)</v>
      </c>
    </row>
    <row r="8" spans="1:9">
      <c r="A8" s="54" t="s">
        <v>8</v>
      </c>
      <c r="B8" s="5" t="s">
        <v>9</v>
      </c>
      <c r="C8" s="54" t="s">
        <v>10</v>
      </c>
      <c r="D8" s="36">
        <v>1562.8999999999996</v>
      </c>
      <c r="E8" s="6">
        <v>1562.9</v>
      </c>
      <c r="F8" s="6">
        <v>1562.8999999999999</v>
      </c>
    </row>
    <row r="9" spans="1:9" ht="63.75">
      <c r="A9" s="74" t="s">
        <v>11</v>
      </c>
      <c r="B9" s="8" t="s">
        <v>12</v>
      </c>
      <c r="C9" s="74" t="s">
        <v>10</v>
      </c>
      <c r="D9" s="13">
        <v>1533.8147500000005</v>
      </c>
      <c r="E9" s="13">
        <v>1534.6915000000001</v>
      </c>
      <c r="F9" s="13">
        <v>1535.4279999999999</v>
      </c>
      <c r="H9" s="78"/>
      <c r="I9" s="78"/>
    </row>
    <row r="10" spans="1:9">
      <c r="A10" s="74" t="s">
        <v>13</v>
      </c>
      <c r="B10" s="8" t="s">
        <v>14</v>
      </c>
      <c r="C10" s="74" t="s">
        <v>15</v>
      </c>
      <c r="D10" s="9">
        <v>5971.7119999999995</v>
      </c>
      <c r="E10" s="9">
        <v>6513.3104000000003</v>
      </c>
      <c r="F10" s="9">
        <v>6649</v>
      </c>
      <c r="H10" s="78"/>
      <c r="I10" s="78"/>
    </row>
    <row r="11" spans="1:9">
      <c r="A11" s="74" t="s">
        <v>16</v>
      </c>
      <c r="B11" s="8" t="s">
        <v>17</v>
      </c>
      <c r="C11" s="74" t="s">
        <v>15</v>
      </c>
      <c r="D11" s="9">
        <v>6025.4359999999997</v>
      </c>
      <c r="E11" s="9">
        <v>6428.6343999999999</v>
      </c>
      <c r="F11" s="9">
        <v>6561.4319999999998</v>
      </c>
    </row>
    <row r="12" spans="1:9">
      <c r="A12" s="74" t="s">
        <v>18</v>
      </c>
      <c r="B12" s="8" t="s">
        <v>19</v>
      </c>
      <c r="C12" s="74" t="s">
        <v>20</v>
      </c>
      <c r="D12" s="19">
        <v>0</v>
      </c>
      <c r="E12" s="19">
        <v>0</v>
      </c>
      <c r="F12" s="19">
        <v>0</v>
      </c>
    </row>
    <row r="13" spans="1:9">
      <c r="A13" s="74" t="s">
        <v>21</v>
      </c>
      <c r="B13" s="8" t="s">
        <v>22</v>
      </c>
      <c r="C13" s="74" t="s">
        <v>20</v>
      </c>
      <c r="D13" s="19">
        <v>0</v>
      </c>
      <c r="E13" s="19">
        <v>0</v>
      </c>
      <c r="F13" s="19">
        <v>0</v>
      </c>
    </row>
    <row r="14" spans="1:9" ht="25.5">
      <c r="A14" s="10" t="s">
        <v>23</v>
      </c>
      <c r="B14" s="75" t="s">
        <v>24</v>
      </c>
      <c r="C14" s="10" t="s">
        <v>25</v>
      </c>
      <c r="D14" s="19" t="s">
        <v>1</v>
      </c>
      <c r="E14" s="12">
        <f>E15+E16</f>
        <v>2894.0196104310248</v>
      </c>
      <c r="F14" s="12">
        <f>F15+F16</f>
        <v>3089.9626394030502</v>
      </c>
    </row>
    <row r="15" spans="1:9">
      <c r="A15" s="10" t="s">
        <v>26</v>
      </c>
      <c r="B15" s="75" t="s">
        <v>27</v>
      </c>
      <c r="C15" s="74" t="s">
        <v>25</v>
      </c>
      <c r="D15" s="19" t="s">
        <v>1</v>
      </c>
      <c r="E15" s="9">
        <v>409.15789031426885</v>
      </c>
      <c r="F15" s="13">
        <v>463.88930291768673</v>
      </c>
    </row>
    <row r="16" spans="1:9" ht="25.5">
      <c r="A16" s="10" t="s">
        <v>28</v>
      </c>
      <c r="B16" s="75" t="s">
        <v>29</v>
      </c>
      <c r="C16" s="74" t="s">
        <v>25</v>
      </c>
      <c r="D16" s="19" t="s">
        <v>1</v>
      </c>
      <c r="E16" s="9">
        <v>2484.8617201167558</v>
      </c>
      <c r="F16" s="13">
        <v>2626.0733364853636</v>
      </c>
    </row>
    <row r="17" spans="1:9" ht="38.25">
      <c r="A17" s="10" t="s">
        <v>30</v>
      </c>
      <c r="B17" s="75" t="s">
        <v>31</v>
      </c>
      <c r="C17" s="74" t="s">
        <v>25</v>
      </c>
      <c r="D17" s="19" t="s">
        <v>1</v>
      </c>
      <c r="E17" s="19" t="s">
        <v>1</v>
      </c>
      <c r="F17" s="19" t="s">
        <v>1</v>
      </c>
    </row>
    <row r="18" spans="1:9">
      <c r="A18" s="74" t="s">
        <v>32</v>
      </c>
      <c r="B18" s="8" t="s">
        <v>33</v>
      </c>
      <c r="C18" s="74" t="s">
        <v>25</v>
      </c>
      <c r="D18" s="19" t="s">
        <v>1</v>
      </c>
      <c r="E18" s="19" t="s">
        <v>1</v>
      </c>
      <c r="F18" s="19" t="s">
        <v>1</v>
      </c>
    </row>
    <row r="19" spans="1:9" ht="25.5">
      <c r="A19" s="74"/>
      <c r="B19" s="8" t="s">
        <v>34</v>
      </c>
      <c r="C19" s="14" t="s">
        <v>35</v>
      </c>
      <c r="D19" s="19" t="s">
        <v>1</v>
      </c>
      <c r="E19" s="19" t="s">
        <v>1</v>
      </c>
      <c r="F19" s="19" t="s">
        <v>1</v>
      </c>
    </row>
    <row r="20" spans="1:9">
      <c r="A20" s="74" t="s">
        <v>36</v>
      </c>
      <c r="B20" s="8" t="s">
        <v>37</v>
      </c>
      <c r="C20" s="74" t="s">
        <v>25</v>
      </c>
      <c r="D20" s="19" t="s">
        <v>1</v>
      </c>
      <c r="E20" s="19" t="s">
        <v>1</v>
      </c>
      <c r="F20" s="19" t="s">
        <v>1</v>
      </c>
    </row>
    <row r="21" spans="1:9" ht="25.5">
      <c r="A21" s="74"/>
      <c r="B21" s="8" t="s">
        <v>38</v>
      </c>
      <c r="C21" s="14" t="s">
        <v>39</v>
      </c>
      <c r="D21" s="19" t="s">
        <v>1</v>
      </c>
      <c r="E21" s="19" t="s">
        <v>1</v>
      </c>
      <c r="F21" s="19" t="s">
        <v>1</v>
      </c>
    </row>
    <row r="22" spans="1:9" ht="25.5">
      <c r="A22" s="74"/>
      <c r="B22" s="8" t="s">
        <v>40</v>
      </c>
      <c r="C22" s="14"/>
      <c r="D22" s="19" t="s">
        <v>1</v>
      </c>
      <c r="E22" s="19" t="s">
        <v>1</v>
      </c>
      <c r="F22" s="19" t="s">
        <v>1</v>
      </c>
    </row>
    <row r="23" spans="1:9">
      <c r="A23" s="22" t="s">
        <v>41</v>
      </c>
      <c r="B23" s="75" t="s">
        <v>42</v>
      </c>
      <c r="C23" s="10" t="s">
        <v>25</v>
      </c>
      <c r="D23" s="19" t="s">
        <v>1</v>
      </c>
      <c r="E23" s="19" t="s">
        <v>1</v>
      </c>
      <c r="F23" s="19" t="s">
        <v>1</v>
      </c>
    </row>
    <row r="24" spans="1:9" ht="38.25">
      <c r="A24" s="22" t="s">
        <v>43</v>
      </c>
      <c r="B24" s="75" t="s">
        <v>44</v>
      </c>
      <c r="C24" s="74"/>
      <c r="D24" s="19" t="s">
        <v>1</v>
      </c>
      <c r="E24" s="19" t="s">
        <v>1</v>
      </c>
      <c r="F24" s="19" t="s">
        <v>1</v>
      </c>
    </row>
    <row r="25" spans="1:9">
      <c r="A25" s="74" t="s">
        <v>45</v>
      </c>
      <c r="B25" s="8" t="s">
        <v>46</v>
      </c>
      <c r="C25" s="74" t="s">
        <v>47</v>
      </c>
      <c r="D25" s="19" t="s">
        <v>1</v>
      </c>
      <c r="E25" s="19" t="s">
        <v>1</v>
      </c>
      <c r="F25" s="19" t="s">
        <v>1</v>
      </c>
    </row>
    <row r="26" spans="1:9" ht="25.5">
      <c r="A26" s="74" t="s">
        <v>48</v>
      </c>
      <c r="B26" s="8" t="s">
        <v>49</v>
      </c>
      <c r="C26" s="74" t="s">
        <v>50</v>
      </c>
      <c r="D26" s="19" t="s">
        <v>1</v>
      </c>
      <c r="E26" s="19" t="s">
        <v>1</v>
      </c>
      <c r="F26" s="19" t="s">
        <v>1</v>
      </c>
    </row>
    <row r="27" spans="1:9" ht="38.25">
      <c r="A27" s="74" t="s">
        <v>51</v>
      </c>
      <c r="B27" s="8" t="s">
        <v>52</v>
      </c>
      <c r="C27" s="74"/>
      <c r="D27" s="19" t="s">
        <v>1</v>
      </c>
      <c r="E27" s="19" t="s">
        <v>1</v>
      </c>
      <c r="F27" s="19" t="s">
        <v>1</v>
      </c>
    </row>
    <row r="28" spans="1:9">
      <c r="A28" s="10" t="s">
        <v>53</v>
      </c>
      <c r="B28" s="75" t="s">
        <v>54</v>
      </c>
      <c r="C28" s="10" t="s">
        <v>25</v>
      </c>
      <c r="D28" s="19" t="s">
        <v>1</v>
      </c>
      <c r="E28" s="12">
        <f>E29+E30</f>
        <v>2894.0196104310248</v>
      </c>
      <c r="F28" s="12">
        <f>F29+F30</f>
        <v>3089.9626394030502</v>
      </c>
      <c r="H28" s="173"/>
      <c r="I28" s="173"/>
    </row>
    <row r="29" spans="1:9">
      <c r="A29" s="20" t="s">
        <v>55</v>
      </c>
      <c r="B29" s="21" t="s">
        <v>56</v>
      </c>
      <c r="C29" s="74" t="s">
        <v>25</v>
      </c>
      <c r="D29" s="19" t="s">
        <v>1</v>
      </c>
      <c r="E29" s="9">
        <f>E15</f>
        <v>409.15789031426885</v>
      </c>
      <c r="F29" s="9">
        <f>F15</f>
        <v>463.88930291768673</v>
      </c>
    </row>
    <row r="30" spans="1:9">
      <c r="A30" s="20" t="s">
        <v>57</v>
      </c>
      <c r="B30" s="8" t="s">
        <v>58</v>
      </c>
      <c r="C30" s="74" t="s">
        <v>25</v>
      </c>
      <c r="D30" s="19" t="s">
        <v>1</v>
      </c>
      <c r="E30" s="9">
        <f>E16</f>
        <v>2484.8617201167558</v>
      </c>
      <c r="F30" s="9">
        <f>F16</f>
        <v>2626.0733364853636</v>
      </c>
    </row>
    <row r="31" spans="1:9" ht="25.5">
      <c r="A31" s="20" t="s">
        <v>59</v>
      </c>
      <c r="B31" s="8" t="s">
        <v>60</v>
      </c>
      <c r="C31" s="74" t="s">
        <v>25</v>
      </c>
      <c r="D31" s="19" t="s">
        <v>1</v>
      </c>
      <c r="E31" s="19" t="s">
        <v>1</v>
      </c>
      <c r="F31" s="19" t="s">
        <v>1</v>
      </c>
    </row>
    <row r="32" spans="1:9" ht="25.5">
      <c r="A32" s="22" t="s">
        <v>61</v>
      </c>
      <c r="B32" s="75" t="s">
        <v>62</v>
      </c>
      <c r="C32" s="10" t="s">
        <v>25</v>
      </c>
      <c r="D32" s="19" t="s">
        <v>1</v>
      </c>
      <c r="E32" s="19" t="s">
        <v>1</v>
      </c>
      <c r="F32" s="19" t="s">
        <v>1</v>
      </c>
    </row>
    <row r="33" spans="1:6">
      <c r="A33" s="20" t="s">
        <v>63</v>
      </c>
      <c r="B33" s="23" t="s">
        <v>64</v>
      </c>
      <c r="C33" s="74" t="s">
        <v>25</v>
      </c>
      <c r="D33" s="19" t="s">
        <v>1</v>
      </c>
      <c r="E33" s="19" t="s">
        <v>1</v>
      </c>
      <c r="F33" s="19" t="s">
        <v>1</v>
      </c>
    </row>
    <row r="34" spans="1:6">
      <c r="A34" s="20" t="s">
        <v>65</v>
      </c>
      <c r="B34" s="23" t="s">
        <v>66</v>
      </c>
      <c r="C34" s="74" t="s">
        <v>25</v>
      </c>
      <c r="D34" s="19" t="s">
        <v>1</v>
      </c>
      <c r="E34" s="19" t="s">
        <v>1</v>
      </c>
      <c r="F34" s="19" t="s">
        <v>1</v>
      </c>
    </row>
    <row r="35" spans="1:6" ht="25.5">
      <c r="A35" s="22" t="s">
        <v>67</v>
      </c>
      <c r="B35" s="75" t="s">
        <v>68</v>
      </c>
      <c r="C35" s="10" t="s">
        <v>25</v>
      </c>
      <c r="D35" s="19" t="s">
        <v>1</v>
      </c>
      <c r="E35" s="19" t="s">
        <v>1</v>
      </c>
      <c r="F35" s="19" t="s">
        <v>1</v>
      </c>
    </row>
    <row r="36" spans="1:6">
      <c r="A36" s="74" t="s">
        <v>69</v>
      </c>
      <c r="B36" s="21" t="s">
        <v>56</v>
      </c>
      <c r="C36" s="74" t="s">
        <v>25</v>
      </c>
      <c r="D36" s="19" t="s">
        <v>1</v>
      </c>
      <c r="E36" s="19" t="s">
        <v>1</v>
      </c>
      <c r="F36" s="19" t="s">
        <v>1</v>
      </c>
    </row>
    <row r="37" spans="1:6">
      <c r="A37" s="74" t="s">
        <v>70</v>
      </c>
      <c r="B37" s="8" t="s">
        <v>58</v>
      </c>
      <c r="C37" s="74" t="s">
        <v>25</v>
      </c>
      <c r="D37" s="19" t="s">
        <v>1</v>
      </c>
      <c r="E37" s="19" t="s">
        <v>1</v>
      </c>
      <c r="F37" s="19" t="s">
        <v>1</v>
      </c>
    </row>
    <row r="38" spans="1:6" ht="25.5">
      <c r="A38" s="74" t="s">
        <v>71</v>
      </c>
      <c r="B38" s="8" t="s">
        <v>60</v>
      </c>
      <c r="C38" s="74" t="s">
        <v>25</v>
      </c>
      <c r="D38" s="19" t="s">
        <v>1</v>
      </c>
      <c r="E38" s="19" t="s">
        <v>1</v>
      </c>
      <c r="F38" s="19" t="s">
        <v>1</v>
      </c>
    </row>
    <row r="39" spans="1:6" ht="25.5">
      <c r="A39" s="22" t="s">
        <v>72</v>
      </c>
      <c r="B39" s="75" t="s">
        <v>73</v>
      </c>
      <c r="C39" s="10" t="s">
        <v>25</v>
      </c>
      <c r="D39" s="19" t="s">
        <v>1</v>
      </c>
      <c r="E39" s="19" t="s">
        <v>1</v>
      </c>
      <c r="F39" s="19" t="s">
        <v>1</v>
      </c>
    </row>
    <row r="40" spans="1:6">
      <c r="A40" s="74" t="s">
        <v>74</v>
      </c>
      <c r="B40" s="21" t="s">
        <v>56</v>
      </c>
      <c r="C40" s="74" t="s">
        <v>25</v>
      </c>
      <c r="D40" s="19" t="s">
        <v>1</v>
      </c>
      <c r="E40" s="19" t="s">
        <v>1</v>
      </c>
      <c r="F40" s="19" t="s">
        <v>1</v>
      </c>
    </row>
    <row r="41" spans="1:6">
      <c r="A41" s="74" t="s">
        <v>75</v>
      </c>
      <c r="B41" s="8" t="s">
        <v>58</v>
      </c>
      <c r="C41" s="74" t="s">
        <v>25</v>
      </c>
      <c r="D41" s="19" t="s">
        <v>1</v>
      </c>
      <c r="E41" s="19" t="s">
        <v>1</v>
      </c>
      <c r="F41" s="19" t="s">
        <v>1</v>
      </c>
    </row>
    <row r="42" spans="1:6" ht="25.5">
      <c r="A42" s="74" t="s">
        <v>76</v>
      </c>
      <c r="B42" s="8" t="s">
        <v>60</v>
      </c>
      <c r="C42" s="74" t="s">
        <v>25</v>
      </c>
      <c r="D42" s="19" t="s">
        <v>1</v>
      </c>
      <c r="E42" s="19" t="s">
        <v>1</v>
      </c>
      <c r="F42" s="19" t="s">
        <v>1</v>
      </c>
    </row>
    <row r="43" spans="1:6">
      <c r="A43" s="10" t="s">
        <v>77</v>
      </c>
      <c r="B43" s="75" t="s">
        <v>78</v>
      </c>
      <c r="C43" s="10" t="s">
        <v>25</v>
      </c>
      <c r="D43" s="19" t="s">
        <v>1</v>
      </c>
      <c r="E43" s="19" t="s">
        <v>1</v>
      </c>
      <c r="F43" s="19" t="s">
        <v>1</v>
      </c>
    </row>
    <row r="44" spans="1:6" ht="38.25">
      <c r="A44" s="25" t="s">
        <v>79</v>
      </c>
      <c r="B44" s="75" t="s">
        <v>80</v>
      </c>
      <c r="C44" s="76" t="s">
        <v>81</v>
      </c>
      <c r="D44" s="19" t="s">
        <v>1</v>
      </c>
      <c r="E44" s="19" t="s">
        <v>1</v>
      </c>
      <c r="F44" s="19" t="s">
        <v>1</v>
      </c>
    </row>
    <row r="45" spans="1:6" ht="63.75">
      <c r="A45" s="25" t="s">
        <v>82</v>
      </c>
      <c r="B45" s="40" t="s">
        <v>83</v>
      </c>
      <c r="C45" s="39"/>
      <c r="D45" s="19" t="s">
        <v>1</v>
      </c>
      <c r="E45" s="19" t="s">
        <v>1</v>
      </c>
      <c r="F45" s="19" t="s">
        <v>1</v>
      </c>
    </row>
    <row r="47" spans="1:6">
      <c r="A47" s="27"/>
      <c r="B47" s="28" t="s">
        <v>89</v>
      </c>
    </row>
    <row r="48" spans="1:6" ht="30" customHeight="1">
      <c r="A48" s="79" t="s">
        <v>8</v>
      </c>
      <c r="B48" s="172" t="s">
        <v>86</v>
      </c>
      <c r="C48" s="172"/>
      <c r="D48" s="172"/>
      <c r="E48" s="172"/>
      <c r="F48" s="172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6" t="s">
        <v>117</v>
      </c>
      <c r="F52" s="166"/>
      <c r="G52" s="166"/>
      <c r="H52" s="166"/>
      <c r="I52" s="166"/>
    </row>
    <row r="53" spans="1:9" ht="33.75" customHeight="1">
      <c r="A53" s="64"/>
      <c r="B53" s="64"/>
      <c r="C53" s="64"/>
      <c r="D53" s="64"/>
      <c r="E53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3" s="166"/>
      <c r="G53" s="166"/>
      <c r="H53" s="166"/>
      <c r="I53" s="166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2" t="s">
        <v>105</v>
      </c>
      <c r="B56" s="162"/>
      <c r="C56" s="162"/>
      <c r="D56" s="162"/>
      <c r="E56" s="162"/>
      <c r="F56" s="162"/>
      <c r="G56" s="162"/>
      <c r="H56" s="162"/>
      <c r="I56" s="162"/>
    </row>
    <row r="57" spans="1:9" ht="15.75" customHeight="1">
      <c r="A57" s="155" t="s">
        <v>123</v>
      </c>
      <c r="B57" s="155"/>
      <c r="C57" s="155"/>
      <c r="D57" s="155"/>
      <c r="E57" s="155"/>
      <c r="F57" s="155"/>
      <c r="G57" s="155"/>
      <c r="H57" s="155"/>
      <c r="I57" s="15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6.5" customHeight="1">
      <c r="A59" s="163" t="s">
        <v>106</v>
      </c>
      <c r="B59" s="163" t="s">
        <v>6</v>
      </c>
      <c r="C59" s="163" t="s">
        <v>7</v>
      </c>
      <c r="D59" s="163" t="str">
        <f>' ЦТЭЦ (ГТУ-1) ДПМ'!$D$58:$E$58</f>
        <v>Фактические показатели за год, предшествующий базовому периоду (2024г.)</v>
      </c>
      <c r="E59" s="163"/>
      <c r="F59" s="163" t="str">
        <f>' ЦТЭЦ (ГТУ-1) ДПМ'!$F$58:$G$58</f>
        <v>Показатели, утвержденные на базовый период (2025г.)*</v>
      </c>
      <c r="G59" s="163"/>
      <c r="H59" s="163" t="str">
        <f>' ЦТЭЦ (ГТУ-1) ДПМ'!$H$58:$I$58</f>
        <v>Предложения на расчетный период регулирования (2026г.)</v>
      </c>
      <c r="I59" s="163"/>
    </row>
    <row r="60" spans="1:9">
      <c r="A60" s="163"/>
      <c r="B60" s="163"/>
      <c r="C60" s="163"/>
      <c r="D60" s="77" t="s">
        <v>107</v>
      </c>
      <c r="E60" s="77" t="s">
        <v>108</v>
      </c>
      <c r="F60" s="77" t="s">
        <v>107</v>
      </c>
      <c r="G60" s="77" t="s">
        <v>108</v>
      </c>
      <c r="H60" s="77" t="s">
        <v>107</v>
      </c>
      <c r="I60" s="77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46.396156678861189</v>
      </c>
      <c r="E62" s="113">
        <v>55.244515356093899</v>
      </c>
      <c r="F62" s="113">
        <v>55.244515356093899</v>
      </c>
      <c r="G62" s="113">
        <v>63.646159488283992</v>
      </c>
      <c r="H62" s="113">
        <v>63.646159488283992</v>
      </c>
      <c r="I62" s="113">
        <v>70.699399600222449</v>
      </c>
    </row>
    <row r="63" spans="1:9" ht="28.5">
      <c r="A63" s="110"/>
      <c r="B63" s="112" t="s">
        <v>114</v>
      </c>
      <c r="C63" s="110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 t="s">
        <v>1</v>
      </c>
    </row>
    <row r="64" spans="1:9" ht="28.5">
      <c r="A64" s="110" t="s">
        <v>115</v>
      </c>
      <c r="B64" s="112" t="s">
        <v>116</v>
      </c>
      <c r="C64" s="110" t="s">
        <v>109</v>
      </c>
      <c r="D64" s="113">
        <v>118869.46909245421</v>
      </c>
      <c r="E64" s="113">
        <v>127309.39490249303</v>
      </c>
      <c r="F64" s="113">
        <v>127309.39490249303</v>
      </c>
      <c r="G64" s="113">
        <v>134927.31927539158</v>
      </c>
      <c r="H64" s="113">
        <v>134927.31927539158</v>
      </c>
      <c r="I64" s="113">
        <v>142526.67315374842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H59:I59"/>
    <mergeCell ref="A59:A60"/>
    <mergeCell ref="B59:B60"/>
    <mergeCell ref="C59:C60"/>
    <mergeCell ref="D59:E59"/>
    <mergeCell ref="F59:G59"/>
    <mergeCell ref="B48:F48"/>
    <mergeCell ref="A57:I57"/>
    <mergeCell ref="D1:F1"/>
    <mergeCell ref="D2:F2"/>
    <mergeCell ref="A4:F4"/>
    <mergeCell ref="A5:F5"/>
    <mergeCell ref="H28:I28"/>
    <mergeCell ref="E52:I52"/>
    <mergeCell ref="E53:I53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8" orientation="portrait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L65"/>
  <sheetViews>
    <sheetView workbookViewId="0">
      <selection activeCell="D10" sqref="D10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6.28515625" customWidth="1"/>
    <col min="5" max="5" width="16.5703125" customWidth="1"/>
    <col min="6" max="6" width="15.42578125" customWidth="1"/>
    <col min="7" max="7" width="14.140625" customWidth="1"/>
    <col min="8" max="8" width="15.5703125" customWidth="1"/>
    <col min="9" max="9" width="14.85546875" customWidth="1"/>
  </cols>
  <sheetData>
    <row r="1" spans="1:12">
      <c r="D1" s="168" t="s">
        <v>4</v>
      </c>
      <c r="E1" s="168"/>
      <c r="F1" s="168"/>
    </row>
    <row r="2" spans="1:12" ht="39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49"/>
      <c r="F3" s="48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95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77.2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53" t="s">
        <v>8</v>
      </c>
      <c r="B9" s="5" t="s">
        <v>9</v>
      </c>
      <c r="C9" s="53" t="s">
        <v>10</v>
      </c>
      <c r="D9" s="6">
        <v>50</v>
      </c>
      <c r="E9" s="6">
        <v>50</v>
      </c>
      <c r="F9" s="6">
        <v>50</v>
      </c>
      <c r="H9" s="167"/>
      <c r="I9" s="167"/>
      <c r="J9" s="167"/>
      <c r="K9" s="167"/>
      <c r="L9" s="167"/>
    </row>
    <row r="10" spans="1:12" ht="63.75">
      <c r="A10" s="50" t="s">
        <v>11</v>
      </c>
      <c r="B10" s="8" t="s">
        <v>12</v>
      </c>
      <c r="C10" s="50" t="s">
        <v>10</v>
      </c>
      <c r="D10" s="13">
        <v>45.596833333333329</v>
      </c>
      <c r="E10" s="9">
        <v>45.789166666666667</v>
      </c>
      <c r="F10" s="9">
        <v>45.596833333333329</v>
      </c>
      <c r="H10" s="47"/>
    </row>
    <row r="11" spans="1:12" ht="15.75">
      <c r="A11" s="50" t="s">
        <v>13</v>
      </c>
      <c r="B11" s="8" t="s">
        <v>14</v>
      </c>
      <c r="C11" s="50" t="s">
        <v>15</v>
      </c>
      <c r="D11" s="9">
        <v>268.44000699999998</v>
      </c>
      <c r="E11" s="9">
        <v>268.43990000000002</v>
      </c>
      <c r="F11" s="9">
        <v>199.51499999999999</v>
      </c>
      <c r="H11" s="47"/>
    </row>
    <row r="12" spans="1:12" ht="15.75">
      <c r="A12" s="50" t="s">
        <v>16</v>
      </c>
      <c r="B12" s="8" t="s">
        <v>17</v>
      </c>
      <c r="C12" s="50" t="s">
        <v>15</v>
      </c>
      <c r="D12" s="9">
        <v>241.02780299999998</v>
      </c>
      <c r="E12" s="9">
        <v>245.11370000000002</v>
      </c>
      <c r="F12" s="9">
        <v>173.17955599999999</v>
      </c>
      <c r="H12" s="47"/>
    </row>
    <row r="13" spans="1:12" ht="15.75">
      <c r="A13" s="50" t="s">
        <v>18</v>
      </c>
      <c r="B13" s="8" t="s">
        <v>19</v>
      </c>
      <c r="C13" s="50" t="s">
        <v>20</v>
      </c>
      <c r="D13" s="9">
        <v>283.23599999999999</v>
      </c>
      <c r="E13" s="9">
        <v>237.6601</v>
      </c>
      <c r="F13" s="9">
        <v>222.68199999999999</v>
      </c>
      <c r="H13" s="47"/>
    </row>
    <row r="14" spans="1:12">
      <c r="A14" s="50" t="s">
        <v>21</v>
      </c>
      <c r="B14" s="8" t="s">
        <v>22</v>
      </c>
      <c r="C14" s="50" t="s">
        <v>20</v>
      </c>
      <c r="D14" s="9">
        <v>282.24397999999997</v>
      </c>
      <c r="E14" s="9">
        <v>236.40010000000001</v>
      </c>
      <c r="F14" s="9">
        <v>221.172</v>
      </c>
    </row>
    <row r="15" spans="1:12" ht="21" customHeight="1">
      <c r="A15" s="10" t="s">
        <v>23</v>
      </c>
      <c r="B15" s="51" t="s">
        <v>24</v>
      </c>
      <c r="C15" s="10" t="s">
        <v>25</v>
      </c>
      <c r="D15" s="9" t="s">
        <v>1</v>
      </c>
      <c r="E15" s="12">
        <f>E16</f>
        <v>354.86466166960696</v>
      </c>
      <c r="F15" s="12">
        <f>F16+F17</f>
        <v>465.25241309688397</v>
      </c>
    </row>
    <row r="16" spans="1:12">
      <c r="A16" s="50" t="s">
        <v>26</v>
      </c>
      <c r="B16" s="8" t="s">
        <v>27</v>
      </c>
      <c r="C16" s="50" t="s">
        <v>25</v>
      </c>
      <c r="D16" s="9" t="s">
        <v>1</v>
      </c>
      <c r="E16" s="9">
        <f>354864.661669607/1000</f>
        <v>354.86466166960696</v>
      </c>
      <c r="F16" s="9">
        <f>307285.853767438/1000</f>
        <v>307.28585376743797</v>
      </c>
    </row>
    <row r="17" spans="1:6" ht="16.5" customHeight="1">
      <c r="A17" s="50" t="s">
        <v>28</v>
      </c>
      <c r="B17" s="8" t="s">
        <v>29</v>
      </c>
      <c r="C17" s="50" t="s">
        <v>25</v>
      </c>
      <c r="D17" s="9" t="s">
        <v>1</v>
      </c>
      <c r="E17" s="9" t="s">
        <v>1</v>
      </c>
      <c r="F17" s="9">
        <f>157966.559329446/1000</f>
        <v>157.966559329446</v>
      </c>
    </row>
    <row r="18" spans="1:6" ht="24.75" customHeight="1">
      <c r="A18" s="50" t="s">
        <v>30</v>
      </c>
      <c r="B18" s="8" t="s">
        <v>31</v>
      </c>
      <c r="C18" s="50" t="s">
        <v>25</v>
      </c>
      <c r="D18" s="9" t="s">
        <v>1</v>
      </c>
      <c r="E18" s="9" t="s">
        <v>1</v>
      </c>
      <c r="F18" s="9" t="s">
        <v>1</v>
      </c>
    </row>
    <row r="19" spans="1:6">
      <c r="A19" s="50" t="s">
        <v>32</v>
      </c>
      <c r="B19" s="8" t="s">
        <v>33</v>
      </c>
      <c r="C19" s="50" t="s">
        <v>25</v>
      </c>
      <c r="D19" s="13">
        <f>263494.34162/1000</f>
        <v>263.49434162</v>
      </c>
      <c r="E19" s="9">
        <v>265.83661197449698</v>
      </c>
      <c r="F19" s="9">
        <v>262.62247435160805</v>
      </c>
    </row>
    <row r="20" spans="1:6" ht="25.5">
      <c r="A20" s="50"/>
      <c r="B20" s="8" t="s">
        <v>34</v>
      </c>
      <c r="C20" s="14" t="s">
        <v>35</v>
      </c>
      <c r="D20" s="15">
        <v>180.53157271743851</v>
      </c>
      <c r="E20" s="15">
        <v>196.99999999999997</v>
      </c>
      <c r="F20" s="15">
        <v>197</v>
      </c>
    </row>
    <row r="21" spans="1:6">
      <c r="A21" s="50" t="s">
        <v>36</v>
      </c>
      <c r="B21" s="8" t="s">
        <v>37</v>
      </c>
      <c r="C21" s="50" t="s">
        <v>25</v>
      </c>
      <c r="D21" s="13">
        <f>271204.5632/1000</f>
        <v>271.2045632</v>
      </c>
      <c r="E21" s="13">
        <v>299.23772378463701</v>
      </c>
      <c r="F21" s="9">
        <v>248.03818028083001</v>
      </c>
    </row>
    <row r="22" spans="1:6" ht="25.5">
      <c r="A22" s="50"/>
      <c r="B22" s="8" t="s">
        <v>38</v>
      </c>
      <c r="C22" s="14" t="s">
        <v>39</v>
      </c>
      <c r="D22" s="16">
        <v>159.98333471062998</v>
      </c>
      <c r="E22" s="16">
        <v>160</v>
      </c>
      <c r="F22" s="16">
        <v>160.00033661250009</v>
      </c>
    </row>
    <row r="23" spans="1:6" ht="63.75">
      <c r="A23" s="50"/>
      <c r="B23" s="8" t="s">
        <v>40</v>
      </c>
      <c r="C23" s="14"/>
      <c r="D23" s="18" t="s">
        <v>1</v>
      </c>
      <c r="E23" s="17" t="s">
        <v>194</v>
      </c>
      <c r="F23" s="17" t="s">
        <v>194</v>
      </c>
    </row>
    <row r="24" spans="1:6">
      <c r="A24" s="10" t="s">
        <v>41</v>
      </c>
      <c r="B24" s="5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51" t="s">
        <v>44</v>
      </c>
      <c r="C25" s="50"/>
      <c r="D25" s="18" t="s">
        <v>1</v>
      </c>
      <c r="E25" s="18" t="s">
        <v>1</v>
      </c>
      <c r="F25" s="18" t="s">
        <v>1</v>
      </c>
    </row>
    <row r="26" spans="1:6">
      <c r="A26" s="50" t="s">
        <v>45</v>
      </c>
      <c r="B26" s="8" t="s">
        <v>46</v>
      </c>
      <c r="C26" s="50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50" t="s">
        <v>48</v>
      </c>
      <c r="B27" s="8" t="s">
        <v>49</v>
      </c>
      <c r="C27" s="50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50" t="s">
        <v>51</v>
      </c>
      <c r="B28" s="8" t="s">
        <v>52</v>
      </c>
      <c r="C28" s="5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1" t="s">
        <v>54</v>
      </c>
      <c r="C29" s="10" t="s">
        <v>25</v>
      </c>
      <c r="D29" s="18" t="s">
        <v>1</v>
      </c>
      <c r="E29" s="12">
        <f>SUM(E30:E32)</f>
        <v>354.86466166960696</v>
      </c>
      <c r="F29" s="12">
        <f>SUM(F30:F32)</f>
        <v>465.25241309688397</v>
      </c>
    </row>
    <row r="30" spans="1:6">
      <c r="A30" s="20" t="s">
        <v>55</v>
      </c>
      <c r="B30" s="21" t="s">
        <v>56</v>
      </c>
      <c r="C30" s="50" t="s">
        <v>25</v>
      </c>
      <c r="D30" s="18" t="s">
        <v>1</v>
      </c>
      <c r="E30" s="9">
        <f>E16</f>
        <v>354.86466166960696</v>
      </c>
      <c r="F30" s="9">
        <f>F16</f>
        <v>307.28585376743797</v>
      </c>
    </row>
    <row r="31" spans="1:6">
      <c r="A31" s="20" t="s">
        <v>57</v>
      </c>
      <c r="B31" s="8" t="s">
        <v>58</v>
      </c>
      <c r="C31" s="50" t="s">
        <v>25</v>
      </c>
      <c r="D31" s="18" t="s">
        <v>1</v>
      </c>
      <c r="E31" s="9" t="str">
        <f>E17</f>
        <v>-</v>
      </c>
      <c r="F31" s="9">
        <f>F17</f>
        <v>157.966559329446</v>
      </c>
    </row>
    <row r="32" spans="1:6" ht="25.5">
      <c r="A32" s="20" t="s">
        <v>59</v>
      </c>
      <c r="B32" s="8" t="s">
        <v>60</v>
      </c>
      <c r="C32" s="50" t="s">
        <v>25</v>
      </c>
      <c r="D32" s="18" t="s">
        <v>1</v>
      </c>
      <c r="E32" s="18" t="s">
        <v>1</v>
      </c>
      <c r="F32" s="18" t="s">
        <v>1</v>
      </c>
    </row>
    <row r="33" spans="1:10" ht="25.5">
      <c r="A33" s="22" t="s">
        <v>61</v>
      </c>
      <c r="B33" s="5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0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0" t="s">
        <v>25</v>
      </c>
      <c r="D35" s="18" t="s">
        <v>1</v>
      </c>
      <c r="E35" s="18" t="s">
        <v>1</v>
      </c>
      <c r="F35" s="18" t="s">
        <v>1</v>
      </c>
    </row>
    <row r="36" spans="1:10" ht="25.5">
      <c r="A36" s="10" t="s">
        <v>67</v>
      </c>
      <c r="B36" s="5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0" t="s">
        <v>69</v>
      </c>
      <c r="B37" s="21" t="s">
        <v>56</v>
      </c>
      <c r="C37" s="50" t="s">
        <v>25</v>
      </c>
      <c r="D37" s="18" t="s">
        <v>1</v>
      </c>
      <c r="E37" s="18" t="s">
        <v>1</v>
      </c>
      <c r="F37" s="18" t="s">
        <v>1</v>
      </c>
    </row>
    <row r="38" spans="1:10">
      <c r="A38" s="50" t="s">
        <v>70</v>
      </c>
      <c r="B38" s="8" t="s">
        <v>58</v>
      </c>
      <c r="C38" s="50"/>
      <c r="D38" s="18" t="s">
        <v>1</v>
      </c>
      <c r="E38" s="18" t="s">
        <v>1</v>
      </c>
      <c r="F38" s="18" t="s">
        <v>1</v>
      </c>
    </row>
    <row r="39" spans="1:10" ht="25.5">
      <c r="A39" s="50" t="s">
        <v>71</v>
      </c>
      <c r="B39" s="8" t="s">
        <v>60</v>
      </c>
      <c r="C39" s="50"/>
      <c r="D39" s="18" t="s">
        <v>1</v>
      </c>
      <c r="E39" s="18" t="s">
        <v>1</v>
      </c>
      <c r="F39" s="18" t="s">
        <v>1</v>
      </c>
    </row>
    <row r="40" spans="1:10" ht="25.5">
      <c r="A40" s="10" t="s">
        <v>72</v>
      </c>
      <c r="B40" s="5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0" t="s">
        <v>74</v>
      </c>
      <c r="B41" s="21" t="s">
        <v>56</v>
      </c>
      <c r="C41" s="50" t="s">
        <v>25</v>
      </c>
      <c r="D41" s="18" t="s">
        <v>1</v>
      </c>
      <c r="E41" s="18" t="s">
        <v>1</v>
      </c>
      <c r="F41" s="18" t="s">
        <v>1</v>
      </c>
    </row>
    <row r="42" spans="1:10">
      <c r="A42" s="50" t="s">
        <v>75</v>
      </c>
      <c r="B42" s="8" t="s">
        <v>58</v>
      </c>
      <c r="C42" s="50" t="s">
        <v>25</v>
      </c>
      <c r="D42" s="18" t="s">
        <v>1</v>
      </c>
      <c r="E42" s="18" t="s">
        <v>1</v>
      </c>
      <c r="F42" s="18" t="s">
        <v>1</v>
      </c>
    </row>
    <row r="43" spans="1:10" ht="25.5">
      <c r="A43" s="50" t="s">
        <v>76</v>
      </c>
      <c r="B43" s="8" t="s">
        <v>60</v>
      </c>
      <c r="C43" s="50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8.25">
      <c r="A45" s="25" t="s">
        <v>79</v>
      </c>
      <c r="B45" s="51" t="s">
        <v>80</v>
      </c>
      <c r="C45" s="52" t="s">
        <v>81</v>
      </c>
      <c r="D45" s="18" t="s">
        <v>1</v>
      </c>
      <c r="E45" s="18" t="s">
        <v>1</v>
      </c>
      <c r="F45" s="18" t="s">
        <v>1</v>
      </c>
    </row>
    <row r="46" spans="1:10" ht="73.5" customHeight="1">
      <c r="A46" s="25" t="s">
        <v>82</v>
      </c>
      <c r="B46" s="75" t="s">
        <v>83</v>
      </c>
      <c r="C46" s="76"/>
      <c r="D46" s="165" t="s">
        <v>213</v>
      </c>
      <c r="E46" s="165"/>
      <c r="F46" s="165"/>
    </row>
    <row r="48" spans="1:10">
      <c r="A48" s="27"/>
      <c r="B48" s="28" t="s">
        <v>84</v>
      </c>
    </row>
    <row r="49" spans="1:9" ht="30" customHeight="1">
      <c r="A49" s="29" t="s">
        <v>85</v>
      </c>
      <c r="B49" s="164" t="s">
        <v>86</v>
      </c>
      <c r="C49" s="164"/>
      <c r="D49" s="164"/>
      <c r="E49" s="164"/>
      <c r="F49" s="164"/>
    </row>
    <row r="50" spans="1:9" ht="28.5" customHeight="1">
      <c r="A50" s="30"/>
      <c r="B50" s="164"/>
      <c r="C50" s="164"/>
      <c r="D50" s="164"/>
      <c r="E50" s="164"/>
      <c r="F50" s="164"/>
    </row>
    <row r="51" spans="1:9" ht="31.5" customHeight="1"/>
    <row r="52" spans="1:9" ht="15.75">
      <c r="A52" s="64"/>
      <c r="B52" s="64"/>
      <c r="C52" s="64"/>
      <c r="D52" s="64"/>
      <c r="E52" s="166" t="s">
        <v>117</v>
      </c>
      <c r="F52" s="166"/>
      <c r="G52" s="166"/>
      <c r="H52" s="166"/>
      <c r="I52" s="166"/>
    </row>
    <row r="53" spans="1:9" ht="27.6" customHeight="1">
      <c r="A53" s="64"/>
      <c r="B53" s="64"/>
      <c r="C53" s="64"/>
      <c r="D53" s="64"/>
      <c r="E53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3" s="166"/>
      <c r="G53" s="166"/>
      <c r="H53" s="166"/>
      <c r="I53" s="166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2" t="s">
        <v>105</v>
      </c>
      <c r="B56" s="162"/>
      <c r="C56" s="162"/>
      <c r="D56" s="162"/>
      <c r="E56" s="162"/>
      <c r="F56" s="162"/>
      <c r="G56" s="162"/>
      <c r="H56" s="162"/>
      <c r="I56" s="162"/>
    </row>
    <row r="57" spans="1:9" ht="15.75" customHeight="1">
      <c r="A57" s="155" t="s">
        <v>144</v>
      </c>
      <c r="B57" s="155"/>
      <c r="C57" s="155"/>
      <c r="D57" s="155"/>
      <c r="E57" s="155"/>
      <c r="F57" s="155"/>
      <c r="G57" s="155"/>
      <c r="H57" s="155"/>
      <c r="I57" s="15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4.45" customHeight="1">
      <c r="A59" s="163" t="s">
        <v>106</v>
      </c>
      <c r="B59" s="163" t="s">
        <v>6</v>
      </c>
      <c r="C59" s="163" t="s">
        <v>186</v>
      </c>
      <c r="D59" s="163" t="str">
        <f>' ЦТЭЦ (ГТУ-1) ДПМ'!$D$58:$E$58</f>
        <v>Фактические показатели за год, предшествующий базовому периоду (2024г.)</v>
      </c>
      <c r="E59" s="163"/>
      <c r="F59" s="163" t="str">
        <f>' ЦТЭЦ (ГТУ-1) ДПМ'!$F$58:$G$58</f>
        <v>Показатели, утвержденные на базовый период (2025г.)*</v>
      </c>
      <c r="G59" s="163"/>
      <c r="H59" s="163" t="str">
        <f>' ЦТЭЦ (ГТУ-1) ДПМ'!$H$58:$I$58</f>
        <v>Предложения на расчетный период регулирования (2026г.)</v>
      </c>
      <c r="I59" s="163"/>
    </row>
    <row r="60" spans="1:9" ht="28.5">
      <c r="A60" s="163"/>
      <c r="B60" s="163"/>
      <c r="C60" s="163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111</v>
      </c>
      <c r="B62" s="67" t="s">
        <v>112</v>
      </c>
      <c r="C62" s="66" t="s">
        <v>113</v>
      </c>
      <c r="D62" s="154">
        <v>941.35521653882313</v>
      </c>
      <c r="E62" s="154">
        <v>1055.46</v>
      </c>
      <c r="F62" s="154">
        <f>E62</f>
        <v>1055.46</v>
      </c>
      <c r="G62" s="69">
        <v>1447.7553138384644</v>
      </c>
      <c r="H62" s="69">
        <f>G62</f>
        <v>1447.7553138384644</v>
      </c>
      <c r="I62" s="69">
        <v>1774.3771889993632</v>
      </c>
    </row>
    <row r="63" spans="1:9" ht="28.5">
      <c r="A63" s="66"/>
      <c r="B63" s="67" t="s">
        <v>114</v>
      </c>
      <c r="C63" s="66" t="s">
        <v>113</v>
      </c>
      <c r="D63" s="154">
        <v>939.76322153882313</v>
      </c>
      <c r="E63" s="154">
        <v>1053.68</v>
      </c>
      <c r="F63" s="154">
        <f>E63</f>
        <v>1053.68</v>
      </c>
      <c r="G63" s="69">
        <v>1445.6932518384644</v>
      </c>
      <c r="H63" s="69">
        <f>G63</f>
        <v>1445.6932518384644</v>
      </c>
      <c r="I63" s="69">
        <v>1772.0854029993632</v>
      </c>
    </row>
    <row r="64" spans="1:9" ht="28.5">
      <c r="A64" s="66" t="s">
        <v>115</v>
      </c>
      <c r="B64" s="67" t="s">
        <v>116</v>
      </c>
      <c r="C64" s="66" t="s">
        <v>109</v>
      </c>
      <c r="D64" s="69" t="s">
        <v>1</v>
      </c>
      <c r="E64" s="69" t="s">
        <v>1</v>
      </c>
      <c r="F64" s="69" t="s">
        <v>1</v>
      </c>
      <c r="G64" s="69" t="s">
        <v>1</v>
      </c>
      <c r="H64" s="69" t="s">
        <v>1</v>
      </c>
      <c r="I64" s="69">
        <v>288701.62644599995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9">
    <mergeCell ref="H9:L9"/>
    <mergeCell ref="D1:F1"/>
    <mergeCell ref="D2:F2"/>
    <mergeCell ref="A4:F4"/>
    <mergeCell ref="A5:F5"/>
    <mergeCell ref="A6:F6"/>
    <mergeCell ref="B50:F50"/>
    <mergeCell ref="B49:F49"/>
    <mergeCell ref="E52:I52"/>
    <mergeCell ref="E53:I53"/>
    <mergeCell ref="D46:F46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view="pageBreakPreview" topLeftCell="A49" zoomScaleNormal="100" zoomScaleSheetLayoutView="100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5" width="16.7109375" customWidth="1"/>
    <col min="6" max="6" width="15.42578125" customWidth="1"/>
    <col min="7" max="7" width="16.140625" customWidth="1"/>
    <col min="8" max="8" width="17.5703125" customWidth="1"/>
    <col min="9" max="9" width="15.140625" customWidth="1"/>
    <col min="10" max="10" width="14.5703125" bestFit="1" customWidth="1"/>
  </cols>
  <sheetData>
    <row r="1" spans="1:8">
      <c r="D1" s="168" t="s">
        <v>4</v>
      </c>
      <c r="E1" s="168"/>
      <c r="F1" s="168"/>
    </row>
    <row r="2" spans="1:8" ht="44.45" customHeight="1">
      <c r="A2" s="2"/>
      <c r="B2" s="2"/>
      <c r="C2" s="2"/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8" ht="13.5" customHeight="1">
      <c r="A3" s="2"/>
      <c r="B3" s="2"/>
      <c r="C3" s="2"/>
      <c r="D3" s="72"/>
      <c r="E3" s="72"/>
      <c r="F3" s="72"/>
    </row>
    <row r="4" spans="1:8" ht="16.5" customHeight="1">
      <c r="A4" s="155" t="s">
        <v>119</v>
      </c>
      <c r="B4" s="155"/>
      <c r="C4" s="155"/>
      <c r="D4" s="155"/>
      <c r="E4" s="155"/>
      <c r="F4" s="155"/>
    </row>
    <row r="5" spans="1:8" ht="17.25" customHeight="1">
      <c r="A5" s="155" t="s">
        <v>122</v>
      </c>
      <c r="B5" s="155"/>
      <c r="C5" s="155"/>
      <c r="D5" s="155"/>
      <c r="E5" s="155"/>
      <c r="F5" s="155"/>
    </row>
    <row r="7" spans="1:8" ht="77.25" thickBot="1">
      <c r="A7" s="42" t="s">
        <v>0</v>
      </c>
      <c r="B7" s="42" t="s">
        <v>6</v>
      </c>
      <c r="C7" s="42" t="s">
        <v>7</v>
      </c>
      <c r="D7" s="125" t="str">
        <f>' ЦТЭЦ (ГТУ-1) ДПМ'!$D$8</f>
        <v xml:space="preserve">Фактические показатели за год, предшествующий базовому периоду (2024г.) </v>
      </c>
      <c r="E7" s="125" t="str">
        <f>' ЦТЭЦ (ГТУ-1) ДПМ'!$E$8</f>
        <v>Показатели, утвержденные на базовый период (2025г.)</v>
      </c>
      <c r="F7" s="125" t="str">
        <f>' ЦТЭЦ (ГТУ-1) ДПМ'!$F$8</f>
        <v>Предложения на расчетный период регулирования (2026г.)</v>
      </c>
    </row>
    <row r="8" spans="1:8">
      <c r="A8" s="54" t="s">
        <v>8</v>
      </c>
      <c r="B8" s="5" t="s">
        <v>9</v>
      </c>
      <c r="C8" s="54" t="s">
        <v>10</v>
      </c>
      <c r="D8" s="36">
        <v>230</v>
      </c>
      <c r="E8" s="6">
        <v>230</v>
      </c>
      <c r="F8" s="6">
        <v>230</v>
      </c>
    </row>
    <row r="9" spans="1:8" ht="63.75">
      <c r="A9" s="74" t="s">
        <v>11</v>
      </c>
      <c r="B9" s="8" t="s">
        <v>12</v>
      </c>
      <c r="C9" s="74" t="s">
        <v>10</v>
      </c>
      <c r="D9" s="13">
        <v>118.48058333333334</v>
      </c>
      <c r="E9" s="13">
        <v>118.46875000000001</v>
      </c>
      <c r="F9" s="13">
        <v>123.34633333333333</v>
      </c>
    </row>
    <row r="10" spans="1:8">
      <c r="A10" s="74" t="s">
        <v>13</v>
      </c>
      <c r="B10" s="8" t="s">
        <v>14</v>
      </c>
      <c r="C10" s="74" t="s">
        <v>15</v>
      </c>
      <c r="D10" s="9">
        <v>502.04699999999997</v>
      </c>
      <c r="E10" s="9">
        <v>491.33580000000001</v>
      </c>
      <c r="F10" s="9">
        <v>467.87699999999995</v>
      </c>
    </row>
    <row r="11" spans="1:8">
      <c r="A11" s="74" t="s">
        <v>16</v>
      </c>
      <c r="B11" s="8" t="s">
        <v>17</v>
      </c>
      <c r="C11" s="74" t="s">
        <v>15</v>
      </c>
      <c r="D11" s="9">
        <v>388.15999999999997</v>
      </c>
      <c r="E11" s="9">
        <v>432.37580000000003</v>
      </c>
      <c r="F11" s="9">
        <v>340.19099999999992</v>
      </c>
    </row>
    <row r="12" spans="1:8">
      <c r="A12" s="74" t="s">
        <v>18</v>
      </c>
      <c r="B12" s="8" t="s">
        <v>19</v>
      </c>
      <c r="C12" s="74" t="s">
        <v>20</v>
      </c>
      <c r="D12" s="9">
        <v>1524.816</v>
      </c>
      <c r="E12" s="13">
        <v>1476.088</v>
      </c>
      <c r="F12" s="9">
        <v>1489.7410000000002</v>
      </c>
      <c r="H12" s="78"/>
    </row>
    <row r="13" spans="1:8">
      <c r="A13" s="74" t="s">
        <v>21</v>
      </c>
      <c r="B13" s="8" t="s">
        <v>22</v>
      </c>
      <c r="C13" s="74" t="s">
        <v>20</v>
      </c>
      <c r="D13" s="9">
        <v>1518.6119999999996</v>
      </c>
      <c r="E13" s="13">
        <v>1469.9780000000001</v>
      </c>
      <c r="F13" s="9">
        <v>1483.6780000000001</v>
      </c>
      <c r="H13" s="78"/>
    </row>
    <row r="14" spans="1:8" ht="21" customHeight="1">
      <c r="A14" s="10" t="s">
        <v>23</v>
      </c>
      <c r="B14" s="75" t="s">
        <v>24</v>
      </c>
      <c r="C14" s="10" t="s">
        <v>25</v>
      </c>
      <c r="D14" s="13" t="s">
        <v>1</v>
      </c>
      <c r="E14" s="37">
        <f>E15+E16</f>
        <v>760.8019031584704</v>
      </c>
      <c r="F14" s="37">
        <f>F15+F16</f>
        <v>824.53957397187276</v>
      </c>
      <c r="H14" s="78"/>
    </row>
    <row r="15" spans="1:8">
      <c r="A15" s="10" t="s">
        <v>26</v>
      </c>
      <c r="B15" s="75" t="s">
        <v>27</v>
      </c>
      <c r="C15" s="74" t="s">
        <v>25</v>
      </c>
      <c r="D15" s="13" t="s">
        <v>1</v>
      </c>
      <c r="E15" s="9">
        <v>465.09048446689224</v>
      </c>
      <c r="F15" s="9">
        <v>499.21160032487103</v>
      </c>
    </row>
    <row r="16" spans="1:8" ht="16.5" customHeight="1">
      <c r="A16" s="10" t="s">
        <v>28</v>
      </c>
      <c r="B16" s="75" t="s">
        <v>29</v>
      </c>
      <c r="C16" s="74" t="s">
        <v>25</v>
      </c>
      <c r="D16" s="13" t="s">
        <v>1</v>
      </c>
      <c r="E16" s="9">
        <v>295.71141869157816</v>
      </c>
      <c r="F16" s="9">
        <v>325.32797364700173</v>
      </c>
    </row>
    <row r="17" spans="1:10" ht="38.25">
      <c r="A17" s="10" t="s">
        <v>30</v>
      </c>
      <c r="B17" s="75" t="s">
        <v>31</v>
      </c>
      <c r="C17" s="74" t="s">
        <v>25</v>
      </c>
      <c r="D17" s="13" t="s">
        <v>1</v>
      </c>
      <c r="E17" s="13" t="s">
        <v>1</v>
      </c>
      <c r="F17" s="13" t="s">
        <v>1</v>
      </c>
      <c r="H17" s="80"/>
      <c r="J17" s="80"/>
    </row>
    <row r="18" spans="1:10">
      <c r="A18" s="74" t="s">
        <v>32</v>
      </c>
      <c r="B18" s="8" t="s">
        <v>33</v>
      </c>
      <c r="C18" s="74" t="s">
        <v>25</v>
      </c>
      <c r="D18" s="9">
        <v>461.50700000000001</v>
      </c>
      <c r="E18" s="9">
        <v>464.19889875999269</v>
      </c>
      <c r="F18" s="9">
        <v>498.43195535374514</v>
      </c>
      <c r="I18" s="81"/>
    </row>
    <row r="19" spans="1:10" ht="25.5">
      <c r="A19" s="74"/>
      <c r="B19" s="8" t="s">
        <v>34</v>
      </c>
      <c r="C19" s="14" t="s">
        <v>35</v>
      </c>
      <c r="D19" s="82">
        <v>188.55</v>
      </c>
      <c r="E19" s="82">
        <v>186.6</v>
      </c>
      <c r="F19" s="82">
        <v>186.6</v>
      </c>
    </row>
    <row r="20" spans="1:10">
      <c r="A20" s="74" t="s">
        <v>36</v>
      </c>
      <c r="B20" s="8" t="s">
        <v>37</v>
      </c>
      <c r="C20" s="74" t="s">
        <v>25</v>
      </c>
      <c r="D20" s="9">
        <v>1669.0609999999999</v>
      </c>
      <c r="E20" s="9">
        <v>1498.8942392205211</v>
      </c>
      <c r="F20" s="9">
        <v>2028.1233674933417</v>
      </c>
    </row>
    <row r="21" spans="1:10" ht="25.5">
      <c r="A21" s="74"/>
      <c r="B21" s="8" t="s">
        <v>38</v>
      </c>
      <c r="C21" s="14" t="s">
        <v>39</v>
      </c>
      <c r="D21" s="82">
        <v>179.15</v>
      </c>
      <c r="E21" s="82">
        <v>178.8</v>
      </c>
      <c r="F21" s="82">
        <v>178.8</v>
      </c>
    </row>
    <row r="22" spans="1:10" ht="63.75">
      <c r="A22" s="74"/>
      <c r="B22" s="8" t="s">
        <v>40</v>
      </c>
      <c r="C22" s="14"/>
      <c r="D22" s="17" t="s">
        <v>1</v>
      </c>
      <c r="E22" s="131" t="s">
        <v>204</v>
      </c>
      <c r="F22" s="17" t="s">
        <v>204</v>
      </c>
    </row>
    <row r="23" spans="1:10">
      <c r="A23" s="22" t="s">
        <v>41</v>
      </c>
      <c r="B23" s="75" t="s">
        <v>42</v>
      </c>
      <c r="C23" s="10" t="s">
        <v>25</v>
      </c>
      <c r="D23" s="83" t="s">
        <v>1</v>
      </c>
      <c r="E23" s="83" t="s">
        <v>1</v>
      </c>
      <c r="F23" s="83" t="s">
        <v>1</v>
      </c>
    </row>
    <row r="24" spans="1:10" ht="38.25">
      <c r="A24" s="22" t="s">
        <v>43</v>
      </c>
      <c r="B24" s="75" t="s">
        <v>44</v>
      </c>
      <c r="C24" s="74"/>
      <c r="D24" s="83" t="s">
        <v>1</v>
      </c>
      <c r="E24" s="83" t="s">
        <v>1</v>
      </c>
      <c r="F24" s="83" t="s">
        <v>1</v>
      </c>
    </row>
    <row r="25" spans="1:10" ht="33" customHeight="1">
      <c r="A25" s="20" t="s">
        <v>45</v>
      </c>
      <c r="B25" s="8" t="s">
        <v>46</v>
      </c>
      <c r="C25" s="74" t="s">
        <v>47</v>
      </c>
      <c r="D25" s="83" t="s">
        <v>1</v>
      </c>
      <c r="E25" s="83" t="s">
        <v>1</v>
      </c>
      <c r="F25" s="83" t="s">
        <v>1</v>
      </c>
    </row>
    <row r="26" spans="1:10" ht="25.5">
      <c r="A26" s="20" t="s">
        <v>48</v>
      </c>
      <c r="B26" s="8" t="s">
        <v>49</v>
      </c>
      <c r="C26" s="74" t="s">
        <v>50</v>
      </c>
      <c r="D26" s="83" t="s">
        <v>1</v>
      </c>
      <c r="E26" s="83" t="s">
        <v>1</v>
      </c>
      <c r="F26" s="83" t="s">
        <v>1</v>
      </c>
    </row>
    <row r="27" spans="1:10" ht="46.5" customHeight="1">
      <c r="A27" s="20" t="s">
        <v>51</v>
      </c>
      <c r="B27" s="8" t="s">
        <v>52</v>
      </c>
      <c r="C27" s="74"/>
      <c r="D27" s="83" t="s">
        <v>1</v>
      </c>
      <c r="E27" s="83" t="s">
        <v>1</v>
      </c>
      <c r="F27" s="83" t="s">
        <v>1</v>
      </c>
    </row>
    <row r="28" spans="1:10">
      <c r="A28" s="22" t="s">
        <v>53</v>
      </c>
      <c r="B28" s="75" t="s">
        <v>54</v>
      </c>
      <c r="C28" s="10" t="s">
        <v>25</v>
      </c>
      <c r="D28" s="83" t="s">
        <v>1</v>
      </c>
      <c r="E28" s="12">
        <f>E29+E30</f>
        <v>760.8019031584704</v>
      </c>
      <c r="F28" s="12">
        <f>F29+F30</f>
        <v>824.53957397187276</v>
      </c>
      <c r="G28" s="173"/>
      <c r="H28" s="173"/>
    </row>
    <row r="29" spans="1:10">
      <c r="A29" s="20" t="s">
        <v>55</v>
      </c>
      <c r="B29" s="21" t="s">
        <v>56</v>
      </c>
      <c r="C29" s="74" t="s">
        <v>25</v>
      </c>
      <c r="D29" s="83" t="s">
        <v>1</v>
      </c>
      <c r="E29" s="9">
        <f>E15</f>
        <v>465.09048446689224</v>
      </c>
      <c r="F29" s="9">
        <f>F15</f>
        <v>499.21160032487103</v>
      </c>
    </row>
    <row r="30" spans="1:10">
      <c r="A30" s="20" t="s">
        <v>57</v>
      </c>
      <c r="B30" s="8" t="s">
        <v>58</v>
      </c>
      <c r="C30" s="74" t="s">
        <v>25</v>
      </c>
      <c r="D30" s="83" t="s">
        <v>1</v>
      </c>
      <c r="E30" s="9">
        <f>E16</f>
        <v>295.71141869157816</v>
      </c>
      <c r="F30" s="9">
        <f>F16</f>
        <v>325.32797364700173</v>
      </c>
    </row>
    <row r="31" spans="1:10" ht="25.5">
      <c r="A31" s="20" t="s">
        <v>59</v>
      </c>
      <c r="B31" s="8" t="s">
        <v>60</v>
      </c>
      <c r="C31" s="74" t="s">
        <v>25</v>
      </c>
      <c r="D31" s="83" t="s">
        <v>1</v>
      </c>
      <c r="E31" s="83" t="s">
        <v>1</v>
      </c>
      <c r="F31" s="83" t="s">
        <v>1</v>
      </c>
      <c r="H31" s="81"/>
      <c r="J31" s="84"/>
    </row>
    <row r="32" spans="1:10" ht="25.5">
      <c r="A32" s="22" t="s">
        <v>61</v>
      </c>
      <c r="B32" s="75" t="s">
        <v>62</v>
      </c>
      <c r="C32" s="10" t="s">
        <v>25</v>
      </c>
      <c r="D32" s="83" t="s">
        <v>1</v>
      </c>
      <c r="E32" s="83" t="s">
        <v>1</v>
      </c>
      <c r="F32" s="83" t="s">
        <v>1</v>
      </c>
    </row>
    <row r="33" spans="1:10">
      <c r="A33" s="20" t="s">
        <v>63</v>
      </c>
      <c r="B33" s="23" t="s">
        <v>64</v>
      </c>
      <c r="C33" s="74" t="s">
        <v>25</v>
      </c>
      <c r="D33" s="83" t="s">
        <v>1</v>
      </c>
      <c r="E33" s="83" t="s">
        <v>1</v>
      </c>
      <c r="F33" s="83" t="s">
        <v>1</v>
      </c>
    </row>
    <row r="34" spans="1:10">
      <c r="A34" s="20" t="s">
        <v>65</v>
      </c>
      <c r="B34" s="23" t="s">
        <v>66</v>
      </c>
      <c r="C34" s="74" t="s">
        <v>25</v>
      </c>
      <c r="D34" s="83" t="s">
        <v>1</v>
      </c>
      <c r="E34" s="83" t="s">
        <v>1</v>
      </c>
      <c r="F34" s="83" t="s">
        <v>1</v>
      </c>
      <c r="J34" s="85"/>
    </row>
    <row r="35" spans="1:10" ht="25.5">
      <c r="A35" s="22" t="s">
        <v>67</v>
      </c>
      <c r="B35" s="75" t="s">
        <v>68</v>
      </c>
      <c r="C35" s="10" t="s">
        <v>25</v>
      </c>
      <c r="D35" s="83" t="s">
        <v>1</v>
      </c>
      <c r="E35" s="83" t="s">
        <v>1</v>
      </c>
      <c r="F35" s="83" t="s">
        <v>1</v>
      </c>
      <c r="J35" s="86"/>
    </row>
    <row r="36" spans="1:10">
      <c r="A36" s="20" t="s">
        <v>69</v>
      </c>
      <c r="B36" s="21" t="s">
        <v>56</v>
      </c>
      <c r="C36" s="74" t="s">
        <v>25</v>
      </c>
      <c r="D36" s="83" t="s">
        <v>1</v>
      </c>
      <c r="E36" s="83" t="s">
        <v>1</v>
      </c>
      <c r="F36" s="83" t="s">
        <v>1</v>
      </c>
    </row>
    <row r="37" spans="1:10">
      <c r="A37" s="20" t="s">
        <v>70</v>
      </c>
      <c r="B37" s="8" t="s">
        <v>58</v>
      </c>
      <c r="C37" s="74" t="s">
        <v>25</v>
      </c>
      <c r="D37" s="83" t="s">
        <v>1</v>
      </c>
      <c r="E37" s="83" t="s">
        <v>1</v>
      </c>
      <c r="F37" s="83" t="s">
        <v>1</v>
      </c>
    </row>
    <row r="38" spans="1:10" ht="25.5">
      <c r="A38" s="20" t="s">
        <v>71</v>
      </c>
      <c r="B38" s="8" t="s">
        <v>60</v>
      </c>
      <c r="C38" s="74" t="s">
        <v>25</v>
      </c>
      <c r="D38" s="83" t="s">
        <v>1</v>
      </c>
      <c r="E38" s="83" t="s">
        <v>1</v>
      </c>
      <c r="F38" s="83" t="s">
        <v>1</v>
      </c>
    </row>
    <row r="39" spans="1:10" ht="25.5">
      <c r="A39" s="22" t="s">
        <v>72</v>
      </c>
      <c r="B39" s="75" t="s">
        <v>73</v>
      </c>
      <c r="C39" s="10" t="s">
        <v>25</v>
      </c>
      <c r="D39" s="83" t="s">
        <v>1</v>
      </c>
      <c r="E39" s="83" t="s">
        <v>1</v>
      </c>
      <c r="F39" s="83" t="s">
        <v>1</v>
      </c>
    </row>
    <row r="40" spans="1:10">
      <c r="A40" s="20" t="s">
        <v>74</v>
      </c>
      <c r="B40" s="21" t="s">
        <v>56</v>
      </c>
      <c r="C40" s="74" t="s">
        <v>25</v>
      </c>
      <c r="D40" s="83" t="s">
        <v>1</v>
      </c>
      <c r="E40" s="83" t="s">
        <v>1</v>
      </c>
      <c r="F40" s="83" t="s">
        <v>1</v>
      </c>
    </row>
    <row r="41" spans="1:10">
      <c r="A41" s="20" t="s">
        <v>75</v>
      </c>
      <c r="B41" s="8" t="s">
        <v>58</v>
      </c>
      <c r="C41" s="74" t="s">
        <v>25</v>
      </c>
      <c r="D41" s="83" t="s">
        <v>1</v>
      </c>
      <c r="E41" s="83" t="s">
        <v>1</v>
      </c>
      <c r="F41" s="83" t="s">
        <v>1</v>
      </c>
    </row>
    <row r="42" spans="1:10" ht="25.5">
      <c r="A42" s="20" t="s">
        <v>76</v>
      </c>
      <c r="B42" s="8" t="s">
        <v>60</v>
      </c>
      <c r="C42" s="74" t="s">
        <v>25</v>
      </c>
      <c r="D42" s="83" t="s">
        <v>1</v>
      </c>
      <c r="E42" s="83" t="s">
        <v>1</v>
      </c>
      <c r="F42" s="83" t="s">
        <v>1</v>
      </c>
    </row>
    <row r="43" spans="1:10">
      <c r="A43" s="22" t="s">
        <v>77</v>
      </c>
      <c r="B43" s="75" t="s">
        <v>78</v>
      </c>
      <c r="C43" s="10" t="s">
        <v>25</v>
      </c>
      <c r="D43" s="83" t="s">
        <v>1</v>
      </c>
      <c r="E43" s="83" t="s">
        <v>1</v>
      </c>
      <c r="F43" s="83" t="s">
        <v>1</v>
      </c>
    </row>
    <row r="44" spans="1:10" ht="38.25">
      <c r="A44" s="87" t="s">
        <v>79</v>
      </c>
      <c r="B44" s="75" t="s">
        <v>80</v>
      </c>
      <c r="C44" s="76" t="s">
        <v>81</v>
      </c>
      <c r="D44" s="83" t="s">
        <v>1</v>
      </c>
      <c r="E44" s="83" t="s">
        <v>1</v>
      </c>
      <c r="F44" s="83" t="s">
        <v>1</v>
      </c>
    </row>
    <row r="45" spans="1:10" ht="63.75" customHeight="1">
      <c r="A45" s="87" t="s">
        <v>82</v>
      </c>
      <c r="B45" s="40" t="s">
        <v>83</v>
      </c>
      <c r="C45" s="39"/>
      <c r="D45" s="174" t="s">
        <v>219</v>
      </c>
      <c r="E45" s="174"/>
      <c r="F45" s="174"/>
    </row>
    <row r="47" spans="1:10">
      <c r="A47" s="27"/>
      <c r="B47" s="28" t="s">
        <v>89</v>
      </c>
    </row>
    <row r="48" spans="1:10" ht="30" customHeight="1">
      <c r="A48" s="79" t="s">
        <v>8</v>
      </c>
      <c r="B48" s="172" t="s">
        <v>86</v>
      </c>
      <c r="C48" s="172"/>
      <c r="D48" s="172"/>
      <c r="E48" s="172"/>
      <c r="F48" s="172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6" t="s">
        <v>117</v>
      </c>
      <c r="F52" s="166"/>
      <c r="G52" s="166"/>
      <c r="H52" s="166"/>
      <c r="I52" s="166"/>
    </row>
    <row r="53" spans="1:9" ht="27" customHeight="1">
      <c r="A53" s="64"/>
      <c r="B53" s="64"/>
      <c r="C53" s="64"/>
      <c r="D53" s="64"/>
      <c r="E53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3" s="166"/>
      <c r="G53" s="166"/>
      <c r="H53" s="166"/>
      <c r="I53" s="166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2" t="s">
        <v>105</v>
      </c>
      <c r="B56" s="162"/>
      <c r="C56" s="162"/>
      <c r="D56" s="162"/>
      <c r="E56" s="162"/>
      <c r="F56" s="162"/>
      <c r="G56" s="162"/>
      <c r="H56" s="162"/>
      <c r="I56" s="162"/>
    </row>
    <row r="57" spans="1:9" ht="15.75" customHeight="1">
      <c r="A57" s="155" t="s">
        <v>122</v>
      </c>
      <c r="B57" s="155"/>
      <c r="C57" s="155"/>
      <c r="D57" s="155"/>
      <c r="E57" s="155"/>
      <c r="F57" s="155"/>
      <c r="G57" s="155"/>
      <c r="H57" s="155"/>
      <c r="I57" s="15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4.75" customHeight="1">
      <c r="A59" s="163" t="s">
        <v>106</v>
      </c>
      <c r="B59" s="163" t="s">
        <v>6</v>
      </c>
      <c r="C59" s="163" t="s">
        <v>7</v>
      </c>
      <c r="D59" s="163" t="str">
        <f>' ЦТЭЦ (ГТУ-1) ДПМ'!$D$58:$E$58</f>
        <v>Фактические показатели за год, предшествующий базовому периоду (2024г.)</v>
      </c>
      <c r="E59" s="163"/>
      <c r="F59" s="163" t="str">
        <f>' ЦТЭЦ (ГТУ-1) ДПМ'!$F$58:$G$58</f>
        <v>Показатели, утвержденные на базовый период (2025г.)*</v>
      </c>
      <c r="G59" s="163"/>
      <c r="H59" s="163" t="str">
        <f>' ЦТЭЦ (ГТУ-1) ДПМ'!$H$58:$I$58</f>
        <v>Предложения на расчетный период регулирования (2026г.)</v>
      </c>
      <c r="I59" s="163"/>
    </row>
    <row r="60" spans="1:9">
      <c r="A60" s="163"/>
      <c r="B60" s="163"/>
      <c r="C60" s="163"/>
      <c r="D60" s="77" t="s">
        <v>107</v>
      </c>
      <c r="E60" s="77" t="s">
        <v>108</v>
      </c>
      <c r="F60" s="77" t="s">
        <v>107</v>
      </c>
      <c r="G60" s="77" t="s">
        <v>108</v>
      </c>
      <c r="H60" s="77" t="s">
        <v>107</v>
      </c>
      <c r="I60" s="77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758.67505781793477</v>
      </c>
      <c r="E62" s="113">
        <v>985.60890171174185</v>
      </c>
      <c r="F62" s="113">
        <v>985.60890171174185</v>
      </c>
      <c r="G62" s="113">
        <v>1075.6600000000001</v>
      </c>
      <c r="H62" s="113">
        <v>1075.6600000000001</v>
      </c>
      <c r="I62" s="113">
        <v>1467.4450538811172</v>
      </c>
    </row>
    <row r="63" spans="1:9" ht="28.5">
      <c r="A63" s="110"/>
      <c r="B63" s="112" t="s">
        <v>114</v>
      </c>
      <c r="C63" s="110" t="s">
        <v>113</v>
      </c>
      <c r="D63" s="113">
        <v>757.08306281793477</v>
      </c>
      <c r="E63" s="113">
        <v>983.82031771174184</v>
      </c>
      <c r="F63" s="113">
        <v>983.82031771174184</v>
      </c>
      <c r="G63" s="113">
        <v>1073.6005547951404</v>
      </c>
      <c r="H63" s="113">
        <v>1073.6005547951404</v>
      </c>
      <c r="I63" s="113">
        <v>1465.1532678811172</v>
      </c>
    </row>
    <row r="64" spans="1:9" ht="28.5">
      <c r="A64" s="110" t="s">
        <v>115</v>
      </c>
      <c r="B64" s="112" t="s">
        <v>116</v>
      </c>
      <c r="C64" s="110" t="s">
        <v>109</v>
      </c>
      <c r="D64" s="113">
        <v>183637.63545342055</v>
      </c>
      <c r="E64" s="113">
        <v>196714.22730644728</v>
      </c>
      <c r="F64" s="113">
        <v>196714.22730644728</v>
      </c>
      <c r="G64" s="113">
        <v>208009.44</v>
      </c>
      <c r="H64" s="113">
        <v>208009.44</v>
      </c>
      <c r="I64" s="113">
        <v>219793.03103659462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H59:I59"/>
    <mergeCell ref="A59:A60"/>
    <mergeCell ref="B59:B60"/>
    <mergeCell ref="C59:C60"/>
    <mergeCell ref="D59:E59"/>
    <mergeCell ref="F59:G59"/>
    <mergeCell ref="B48:F48"/>
    <mergeCell ref="A57:I57"/>
    <mergeCell ref="D1:F1"/>
    <mergeCell ref="D2:F2"/>
    <mergeCell ref="A4:F4"/>
    <mergeCell ref="A5:F5"/>
    <mergeCell ref="G28:H28"/>
    <mergeCell ref="E52:I52"/>
    <mergeCell ref="E53:I53"/>
    <mergeCell ref="A56:I56"/>
    <mergeCell ref="D45:F45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  <headerFooter>
    <oddFooter>&amp;L&amp;Z&amp;F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workbookViewId="0">
      <pane xSplit="3" ySplit="10" topLeftCell="D60" activePane="bottomRight" state="frozen"/>
      <selection activeCell="L30" sqref="L30"/>
      <selection pane="topRight" activeCell="L30" sqref="L30"/>
      <selection pane="bottomLeft" activeCell="L30" sqref="L30"/>
      <selection pane="bottomRight" activeCell="D68" sqref="D68:I70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5.5703125" customWidth="1"/>
    <col min="5" max="5" width="15" customWidth="1"/>
    <col min="6" max="6" width="15.42578125" customWidth="1"/>
    <col min="7" max="7" width="17.42578125" customWidth="1"/>
    <col min="8" max="8" width="16" customWidth="1"/>
    <col min="9" max="9" width="18" customWidth="1"/>
  </cols>
  <sheetData>
    <row r="1" spans="1:15">
      <c r="A1" s="122"/>
      <c r="B1" s="122"/>
      <c r="C1" s="122"/>
      <c r="D1" s="182" t="s">
        <v>155</v>
      </c>
      <c r="E1" s="182"/>
      <c r="F1" s="182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39" customHeight="1">
      <c r="A2" s="122"/>
      <c r="B2" s="122"/>
      <c r="C2" s="122"/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  <c r="G2" s="122"/>
      <c r="H2" s="122"/>
      <c r="I2" s="122"/>
      <c r="J2" s="122"/>
      <c r="K2" s="122"/>
      <c r="L2" s="122"/>
      <c r="M2" s="122"/>
      <c r="N2" s="122"/>
      <c r="O2" s="122"/>
    </row>
    <row r="3" spans="1:15" ht="13.5" customHeight="1">
      <c r="A3" s="123"/>
      <c r="B3" s="123"/>
      <c r="C3" s="123"/>
      <c r="D3" s="123"/>
      <c r="E3" s="124"/>
      <c r="F3" s="124"/>
      <c r="G3" s="122"/>
      <c r="H3" s="122"/>
      <c r="I3" s="122"/>
      <c r="J3" s="122"/>
      <c r="K3" s="122"/>
      <c r="L3" s="122"/>
      <c r="M3" s="122"/>
      <c r="N3" s="122"/>
      <c r="O3" s="122"/>
    </row>
    <row r="4" spans="1:15" ht="16.5" customHeight="1">
      <c r="A4" s="181" t="s">
        <v>92</v>
      </c>
      <c r="B4" s="181"/>
      <c r="C4" s="181"/>
      <c r="D4" s="181"/>
      <c r="E4" s="181"/>
      <c r="F4" s="181"/>
      <c r="G4" s="122"/>
      <c r="H4" s="122"/>
      <c r="I4" s="122"/>
      <c r="J4" s="122"/>
      <c r="K4" s="122"/>
      <c r="L4" s="122"/>
      <c r="M4" s="122"/>
      <c r="N4" s="122"/>
      <c r="O4" s="122"/>
    </row>
    <row r="5" spans="1:15" ht="17.25" customHeight="1">
      <c r="A5" s="181" t="s">
        <v>187</v>
      </c>
      <c r="B5" s="181"/>
      <c r="C5" s="181"/>
      <c r="D5" s="181"/>
      <c r="E5" s="181"/>
      <c r="F5" s="181"/>
      <c r="G5" s="122"/>
      <c r="H5" s="122"/>
      <c r="I5" s="122"/>
      <c r="J5" s="122"/>
      <c r="K5" s="122"/>
      <c r="L5" s="122"/>
      <c r="M5" s="122"/>
      <c r="N5" s="122"/>
      <c r="O5" s="122"/>
    </row>
    <row r="6" spans="1:15" ht="17.25" customHeight="1">
      <c r="A6" s="118"/>
      <c r="B6" s="177" t="s">
        <v>188</v>
      </c>
      <c r="C6" s="177"/>
      <c r="D6" s="177"/>
      <c r="E6" s="177"/>
      <c r="F6" s="177"/>
      <c r="G6" s="122"/>
      <c r="H6" s="122"/>
      <c r="I6" s="122"/>
      <c r="J6" s="122"/>
      <c r="K6" s="122"/>
      <c r="L6" s="122"/>
      <c r="M6" s="122"/>
      <c r="N6" s="122"/>
      <c r="O6" s="122"/>
    </row>
    <row r="7" spans="1:15" ht="17.25" customHeight="1">
      <c r="A7" s="181" t="s">
        <v>189</v>
      </c>
      <c r="B7" s="181"/>
      <c r="C7" s="181"/>
      <c r="D7" s="181"/>
      <c r="E7" s="181"/>
      <c r="F7" s="181"/>
      <c r="G7" s="122"/>
      <c r="H7" s="122"/>
      <c r="I7" s="122"/>
      <c r="J7" s="122"/>
      <c r="K7" s="122"/>
      <c r="L7" s="122"/>
      <c r="M7" s="122"/>
      <c r="N7" s="122"/>
      <c r="O7" s="122"/>
    </row>
    <row r="8" spans="1:15" ht="17.25" customHeight="1">
      <c r="A8" s="118"/>
      <c r="B8" s="177" t="s">
        <v>190</v>
      </c>
      <c r="C8" s="177"/>
      <c r="D8" s="177"/>
      <c r="E8" s="177"/>
      <c r="F8" s="177"/>
      <c r="G8" s="122"/>
      <c r="H8" s="122"/>
      <c r="I8" s="122"/>
      <c r="J8" s="122"/>
      <c r="K8" s="122"/>
      <c r="L8" s="122"/>
      <c r="M8" s="122"/>
      <c r="N8" s="122"/>
      <c r="O8" s="122"/>
    </row>
    <row r="9" spans="1:1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</row>
    <row r="10" spans="1:15" ht="77.25" thickBot="1">
      <c r="A10" s="125" t="s">
        <v>0</v>
      </c>
      <c r="B10" s="125" t="s">
        <v>6</v>
      </c>
      <c r="C10" s="125" t="s">
        <v>7</v>
      </c>
      <c r="D10" s="125" t="str">
        <f>' ЦТЭЦ (ГТУ-1) ДПМ'!$D$8</f>
        <v xml:space="preserve">Фактические показатели за год, предшествующий базовому периоду (2024г.) </v>
      </c>
      <c r="E10" s="125" t="str">
        <f>' ЦТЭЦ (ГТУ-1) ДПМ'!$E$8</f>
        <v>Показатели, утвержденные на базовый период (2025г.)</v>
      </c>
      <c r="F10" s="125" t="str">
        <f>' ЦТЭЦ (ГТУ-1) ДПМ'!$F$8</f>
        <v>Предложения на расчетный период регулирования (2026г.)</v>
      </c>
      <c r="G10" s="122"/>
      <c r="H10" s="122"/>
      <c r="I10" s="122"/>
      <c r="J10" s="177"/>
      <c r="K10" s="177"/>
      <c r="L10" s="177"/>
      <c r="M10" s="177"/>
      <c r="N10" s="177"/>
      <c r="O10" s="177"/>
    </row>
    <row r="11" spans="1:15">
      <c r="A11" s="126" t="s">
        <v>8</v>
      </c>
      <c r="B11" s="127" t="s">
        <v>9</v>
      </c>
      <c r="C11" s="126" t="s">
        <v>10</v>
      </c>
      <c r="D11" s="36">
        <v>280</v>
      </c>
      <c r="E11" s="36">
        <v>280</v>
      </c>
      <c r="F11" s="36">
        <v>280</v>
      </c>
      <c r="G11" s="122"/>
      <c r="H11" s="178"/>
      <c r="I11" s="178"/>
      <c r="J11" s="178"/>
      <c r="K11" s="178"/>
      <c r="L11" s="178"/>
      <c r="M11" s="122"/>
      <c r="N11" s="122"/>
      <c r="O11" s="122"/>
    </row>
    <row r="12" spans="1:15" ht="63.75">
      <c r="A12" s="20" t="s">
        <v>11</v>
      </c>
      <c r="B12" s="21" t="s">
        <v>12</v>
      </c>
      <c r="C12" s="20" t="s">
        <v>10</v>
      </c>
      <c r="D12" s="13">
        <v>214.47516666666664</v>
      </c>
      <c r="E12" s="13">
        <v>212.32980000000001</v>
      </c>
      <c r="F12" s="13">
        <v>212.05083333333337</v>
      </c>
      <c r="G12" s="122"/>
      <c r="H12" s="128"/>
      <c r="I12" s="122"/>
      <c r="J12" s="122"/>
      <c r="K12" s="122"/>
      <c r="L12" s="122"/>
      <c r="M12" s="122"/>
      <c r="N12" s="122"/>
      <c r="O12" s="122"/>
    </row>
    <row r="13" spans="1:15" ht="15.75">
      <c r="A13" s="20" t="s">
        <v>13</v>
      </c>
      <c r="B13" s="21" t="s">
        <v>14</v>
      </c>
      <c r="C13" s="20" t="s">
        <v>15</v>
      </c>
      <c r="D13" s="13">
        <v>1297.926473</v>
      </c>
      <c r="E13" s="13">
        <v>1261.5119999999999</v>
      </c>
      <c r="F13" s="13">
        <v>1266.923</v>
      </c>
      <c r="G13" s="122"/>
      <c r="H13" s="128"/>
      <c r="I13" s="122"/>
      <c r="J13" s="122"/>
      <c r="K13" s="122"/>
      <c r="L13" s="122"/>
      <c r="M13" s="122"/>
      <c r="N13" s="122"/>
      <c r="O13" s="122"/>
    </row>
    <row r="14" spans="1:15" ht="15.75">
      <c r="A14" s="20" t="s">
        <v>16</v>
      </c>
      <c r="B14" s="21" t="s">
        <v>17</v>
      </c>
      <c r="C14" s="20" t="s">
        <v>15</v>
      </c>
      <c r="D14" s="13">
        <v>1125.624865</v>
      </c>
      <c r="E14" s="13">
        <v>1122.7456999999999</v>
      </c>
      <c r="F14" s="13">
        <v>1096.268</v>
      </c>
      <c r="G14" s="122"/>
      <c r="H14" s="128"/>
      <c r="I14" s="122"/>
      <c r="J14" s="122"/>
      <c r="K14" s="122"/>
      <c r="L14" s="122"/>
      <c r="M14" s="122"/>
      <c r="N14" s="122"/>
      <c r="O14" s="122"/>
    </row>
    <row r="15" spans="1:15" ht="15.75">
      <c r="A15" s="20" t="s">
        <v>18</v>
      </c>
      <c r="B15" s="21" t="s">
        <v>19</v>
      </c>
      <c r="C15" s="20" t="s">
        <v>20</v>
      </c>
      <c r="D15" s="13">
        <v>1749.231</v>
      </c>
      <c r="E15" s="13">
        <v>1769.5198</v>
      </c>
      <c r="F15" s="13">
        <v>1769.5190000000002</v>
      </c>
      <c r="G15" s="122"/>
      <c r="H15" s="128"/>
      <c r="I15" s="122"/>
      <c r="J15" s="122"/>
      <c r="K15" s="122"/>
      <c r="L15" s="122"/>
      <c r="M15" s="122"/>
      <c r="N15" s="122"/>
      <c r="O15" s="122"/>
    </row>
    <row r="16" spans="1:15">
      <c r="A16" s="20" t="s">
        <v>21</v>
      </c>
      <c r="B16" s="21" t="s">
        <v>22</v>
      </c>
      <c r="C16" s="20" t="s">
        <v>20</v>
      </c>
      <c r="D16" s="13">
        <v>1746.2560000000001</v>
      </c>
      <c r="E16" s="13">
        <v>1766.44</v>
      </c>
      <c r="F16" s="13">
        <v>1766.4390000000003</v>
      </c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5" ht="21" customHeight="1">
      <c r="A17" s="22" t="s">
        <v>23</v>
      </c>
      <c r="B17" s="129" t="s">
        <v>24</v>
      </c>
      <c r="C17" s="22" t="s">
        <v>25</v>
      </c>
      <c r="D17" s="13" t="s">
        <v>1</v>
      </c>
      <c r="E17" s="37">
        <f t="shared" ref="E17" si="0">SUM(E18:E20)</f>
        <v>2265.5495202751799</v>
      </c>
      <c r="F17" s="37">
        <f>SUM(F18:F20)</f>
        <v>2719.684534209639</v>
      </c>
      <c r="G17" s="122"/>
      <c r="H17" s="122"/>
      <c r="I17" s="122"/>
      <c r="J17" s="122"/>
      <c r="K17" s="122"/>
      <c r="L17" s="122"/>
      <c r="M17" s="122"/>
      <c r="N17" s="122"/>
      <c r="O17" s="122"/>
    </row>
    <row r="18" spans="1:15">
      <c r="A18" s="20" t="s">
        <v>26</v>
      </c>
      <c r="B18" s="21" t="s">
        <v>27</v>
      </c>
      <c r="C18" s="20" t="s">
        <v>25</v>
      </c>
      <c r="D18" s="13" t="s">
        <v>1</v>
      </c>
      <c r="E18" s="13">
        <v>1482.7751858695676</v>
      </c>
      <c r="F18" s="13">
        <v>1896.7603453610693</v>
      </c>
      <c r="G18" s="122"/>
      <c r="H18" s="122"/>
      <c r="I18" s="122"/>
      <c r="J18" s="122"/>
      <c r="K18" s="122"/>
      <c r="L18" s="122"/>
      <c r="M18" s="122"/>
      <c r="N18" s="122"/>
      <c r="O18" s="122"/>
    </row>
    <row r="19" spans="1:15" ht="16.5" customHeight="1">
      <c r="A19" s="20" t="s">
        <v>28</v>
      </c>
      <c r="B19" s="21" t="s">
        <v>29</v>
      </c>
      <c r="C19" s="20" t="s">
        <v>25</v>
      </c>
      <c r="D19" s="13" t="s">
        <v>1</v>
      </c>
      <c r="E19" s="13">
        <v>782.77433440561254</v>
      </c>
      <c r="F19" s="13">
        <v>822.92418884856966</v>
      </c>
      <c r="G19" s="122"/>
      <c r="H19" s="122"/>
      <c r="I19" s="122"/>
      <c r="J19" s="122"/>
      <c r="K19" s="122"/>
      <c r="L19" s="122"/>
      <c r="M19" s="122"/>
      <c r="N19" s="122"/>
      <c r="O19" s="122"/>
    </row>
    <row r="20" spans="1:15" ht="27.75" customHeight="1">
      <c r="A20" s="20" t="s">
        <v>30</v>
      </c>
      <c r="B20" s="21" t="s">
        <v>31</v>
      </c>
      <c r="C20" s="20" t="s">
        <v>25</v>
      </c>
      <c r="D20" s="13" t="s">
        <v>1</v>
      </c>
      <c r="E20" s="13" t="s">
        <v>1</v>
      </c>
      <c r="F20" s="13" t="s">
        <v>1</v>
      </c>
      <c r="G20" s="122"/>
      <c r="H20" s="122"/>
      <c r="I20" s="122"/>
      <c r="J20" s="122"/>
      <c r="K20" s="122"/>
      <c r="L20" s="122"/>
      <c r="M20" s="122"/>
      <c r="N20" s="122"/>
      <c r="O20" s="122"/>
    </row>
    <row r="21" spans="1:15">
      <c r="A21" s="20" t="s">
        <v>32</v>
      </c>
      <c r="B21" s="21" t="s">
        <v>33</v>
      </c>
      <c r="C21" s="20" t="s">
        <v>25</v>
      </c>
      <c r="D21" s="13">
        <v>1556.14834482164</v>
      </c>
      <c r="E21" s="13">
        <v>1470.8353452802992</v>
      </c>
      <c r="F21" s="13">
        <v>1884.4179490564213</v>
      </c>
      <c r="G21" s="122"/>
      <c r="H21" s="122"/>
      <c r="I21" s="122"/>
      <c r="J21" s="122"/>
      <c r="K21" s="122"/>
      <c r="L21" s="122"/>
      <c r="M21" s="122"/>
      <c r="N21" s="122"/>
      <c r="O21" s="122"/>
    </row>
    <row r="22" spans="1:15" ht="25.5">
      <c r="A22" s="20"/>
      <c r="B22" s="21" t="s">
        <v>34</v>
      </c>
      <c r="C22" s="130" t="s">
        <v>35</v>
      </c>
      <c r="D22" s="38">
        <v>245.06574863941506</v>
      </c>
      <c r="E22" s="38">
        <v>226.7</v>
      </c>
      <c r="F22" s="38">
        <v>226.7</v>
      </c>
      <c r="G22" s="122"/>
      <c r="H22" s="122"/>
      <c r="I22" s="122"/>
      <c r="J22" s="122"/>
      <c r="K22" s="122"/>
      <c r="L22" s="122"/>
      <c r="M22" s="122"/>
      <c r="N22" s="122"/>
      <c r="O22" s="122"/>
    </row>
    <row r="23" spans="1:15">
      <c r="A23" s="20" t="s">
        <v>36</v>
      </c>
      <c r="B23" s="21" t="s">
        <v>37</v>
      </c>
      <c r="C23" s="20" t="s">
        <v>25</v>
      </c>
      <c r="D23" s="13">
        <v>1606.6038148583571</v>
      </c>
      <c r="E23" s="13">
        <v>1676.2297641556499</v>
      </c>
      <c r="F23" s="13">
        <v>2175.22065676378</v>
      </c>
      <c r="G23" s="122"/>
      <c r="H23" s="122"/>
      <c r="I23" s="122"/>
      <c r="J23" s="122"/>
      <c r="K23" s="122"/>
      <c r="L23" s="122"/>
      <c r="M23" s="122"/>
      <c r="N23" s="122"/>
      <c r="O23" s="122"/>
    </row>
    <row r="24" spans="1:15" ht="25.5">
      <c r="A24" s="20"/>
      <c r="B24" s="21" t="s">
        <v>38</v>
      </c>
      <c r="C24" s="130" t="s">
        <v>39</v>
      </c>
      <c r="D24" s="38">
        <v>167.28722507204594</v>
      </c>
      <c r="E24" s="38">
        <v>166.5</v>
      </c>
      <c r="F24" s="38">
        <v>166.5</v>
      </c>
      <c r="G24" s="122"/>
      <c r="H24" s="122"/>
      <c r="I24" s="122"/>
      <c r="J24" s="122"/>
      <c r="K24" s="122"/>
      <c r="L24" s="122"/>
      <c r="M24" s="122"/>
      <c r="N24" s="122"/>
      <c r="O24" s="122"/>
    </row>
    <row r="25" spans="1:15" ht="51">
      <c r="A25" s="20"/>
      <c r="B25" s="21" t="s">
        <v>40</v>
      </c>
      <c r="C25" s="130"/>
      <c r="D25" s="43" t="s">
        <v>1</v>
      </c>
      <c r="E25" s="17" t="s">
        <v>217</v>
      </c>
      <c r="F25" s="17" t="s">
        <v>217</v>
      </c>
      <c r="G25" s="122"/>
      <c r="H25" s="122"/>
      <c r="I25" s="122"/>
      <c r="J25" s="122"/>
      <c r="K25" s="122"/>
      <c r="L25" s="122"/>
      <c r="M25" s="122"/>
      <c r="N25" s="122"/>
      <c r="O25" s="122"/>
    </row>
    <row r="26" spans="1:15" hidden="1">
      <c r="A26" s="22" t="s">
        <v>41</v>
      </c>
      <c r="B26" s="129" t="s">
        <v>42</v>
      </c>
      <c r="C26" s="22" t="s">
        <v>25</v>
      </c>
      <c r="D26" s="43" t="s">
        <v>1</v>
      </c>
      <c r="E26" s="43" t="s">
        <v>1</v>
      </c>
      <c r="F26" s="43" t="s">
        <v>1</v>
      </c>
      <c r="G26" s="122"/>
      <c r="H26" s="122"/>
      <c r="I26" s="122"/>
      <c r="J26" s="122"/>
      <c r="K26" s="122"/>
      <c r="L26" s="122"/>
      <c r="M26" s="122"/>
      <c r="N26" s="122"/>
      <c r="O26" s="122"/>
    </row>
    <row r="27" spans="1:15" ht="38.25" hidden="1">
      <c r="A27" s="22" t="s">
        <v>43</v>
      </c>
      <c r="B27" s="129" t="s">
        <v>44</v>
      </c>
      <c r="C27" s="20"/>
      <c r="D27" s="43" t="s">
        <v>1</v>
      </c>
      <c r="E27" s="43" t="s">
        <v>1</v>
      </c>
      <c r="F27" s="43" t="s">
        <v>1</v>
      </c>
      <c r="G27" s="122"/>
      <c r="H27" s="122"/>
      <c r="I27" s="122"/>
      <c r="J27" s="122"/>
      <c r="K27" s="122"/>
      <c r="L27" s="122"/>
      <c r="M27" s="122"/>
      <c r="N27" s="122"/>
      <c r="O27" s="122"/>
    </row>
    <row r="28" spans="1:15" hidden="1">
      <c r="A28" s="20" t="s">
        <v>45</v>
      </c>
      <c r="B28" s="21" t="s">
        <v>46</v>
      </c>
      <c r="C28" s="20" t="s">
        <v>47</v>
      </c>
      <c r="D28" s="43" t="s">
        <v>1</v>
      </c>
      <c r="E28" s="43" t="s">
        <v>1</v>
      </c>
      <c r="F28" s="43" t="s">
        <v>1</v>
      </c>
      <c r="G28" s="122"/>
      <c r="H28" s="122"/>
      <c r="I28" s="122"/>
      <c r="J28" s="122"/>
      <c r="K28" s="122"/>
      <c r="L28" s="122"/>
      <c r="M28" s="122"/>
      <c r="N28" s="122"/>
      <c r="O28" s="122"/>
    </row>
    <row r="29" spans="1:15" ht="25.5" hidden="1">
      <c r="A29" s="20" t="s">
        <v>48</v>
      </c>
      <c r="B29" s="21" t="s">
        <v>49</v>
      </c>
      <c r="C29" s="20" t="s">
        <v>50</v>
      </c>
      <c r="D29" s="43" t="s">
        <v>1</v>
      </c>
      <c r="E29" s="43" t="s">
        <v>1</v>
      </c>
      <c r="F29" s="43" t="s">
        <v>1</v>
      </c>
      <c r="G29" s="122"/>
      <c r="H29" s="122"/>
      <c r="I29" s="122"/>
      <c r="J29" s="122"/>
      <c r="K29" s="122"/>
      <c r="L29" s="122"/>
      <c r="M29" s="122"/>
      <c r="N29" s="122"/>
      <c r="O29" s="122"/>
    </row>
    <row r="30" spans="1:15" ht="38.25" hidden="1">
      <c r="A30" s="20" t="s">
        <v>51</v>
      </c>
      <c r="B30" s="21" t="s">
        <v>52</v>
      </c>
      <c r="C30" s="20"/>
      <c r="D30" s="43" t="s">
        <v>1</v>
      </c>
      <c r="E30" s="43" t="s">
        <v>1</v>
      </c>
      <c r="F30" s="43" t="s">
        <v>1</v>
      </c>
      <c r="G30" s="122"/>
      <c r="H30" s="122"/>
      <c r="I30" s="122"/>
      <c r="J30" s="122"/>
      <c r="K30" s="122"/>
      <c r="L30" s="122"/>
      <c r="M30" s="122"/>
      <c r="N30" s="122"/>
      <c r="O30" s="122"/>
    </row>
    <row r="31" spans="1:15">
      <c r="A31" s="22" t="s">
        <v>53</v>
      </c>
      <c r="B31" s="129" t="s">
        <v>54</v>
      </c>
      <c r="C31" s="22" t="s">
        <v>25</v>
      </c>
      <c r="D31" s="43" t="s">
        <v>1</v>
      </c>
      <c r="E31" s="37">
        <f t="shared" ref="E31" si="1">SUM(E32:E34)</f>
        <v>2265.5495202751799</v>
      </c>
      <c r="F31" s="37">
        <f>SUM(F32:F34)</f>
        <v>2719.684534209639</v>
      </c>
      <c r="G31" s="122"/>
      <c r="H31" s="122"/>
      <c r="I31" s="122"/>
      <c r="J31" s="122"/>
      <c r="K31" s="122"/>
      <c r="L31" s="122"/>
      <c r="M31" s="122"/>
      <c r="N31" s="122"/>
      <c r="O31" s="122"/>
    </row>
    <row r="32" spans="1:15">
      <c r="A32" s="20" t="s">
        <v>55</v>
      </c>
      <c r="B32" s="21" t="s">
        <v>56</v>
      </c>
      <c r="C32" s="20" t="s">
        <v>25</v>
      </c>
      <c r="D32" s="43" t="s">
        <v>1</v>
      </c>
      <c r="E32" s="13">
        <f>E18</f>
        <v>1482.7751858695676</v>
      </c>
      <c r="F32" s="13">
        <f>F18</f>
        <v>1896.7603453610693</v>
      </c>
      <c r="G32" s="122"/>
      <c r="H32" s="122"/>
      <c r="I32" s="122"/>
      <c r="J32" s="122"/>
      <c r="K32" s="122"/>
      <c r="L32" s="122"/>
      <c r="M32" s="122"/>
      <c r="N32" s="122"/>
      <c r="O32" s="122"/>
    </row>
    <row r="33" spans="1:15">
      <c r="A33" s="20" t="s">
        <v>57</v>
      </c>
      <c r="B33" s="21" t="s">
        <v>58</v>
      </c>
      <c r="C33" s="20" t="s">
        <v>25</v>
      </c>
      <c r="D33" s="43" t="s">
        <v>1</v>
      </c>
      <c r="E33" s="13">
        <f>E19</f>
        <v>782.77433440561254</v>
      </c>
      <c r="F33" s="13">
        <f>F19</f>
        <v>822.92418884856966</v>
      </c>
      <c r="G33" s="122"/>
      <c r="H33" s="122"/>
      <c r="I33" s="122"/>
      <c r="J33" s="122"/>
      <c r="K33" s="122"/>
      <c r="L33" s="122"/>
      <c r="M33" s="122"/>
      <c r="N33" s="122"/>
      <c r="O33" s="122"/>
    </row>
    <row r="34" spans="1:15" ht="25.5" hidden="1">
      <c r="A34" s="20" t="s">
        <v>59</v>
      </c>
      <c r="B34" s="21" t="s">
        <v>60</v>
      </c>
      <c r="C34" s="20" t="s">
        <v>25</v>
      </c>
      <c r="D34" s="43" t="s">
        <v>1</v>
      </c>
      <c r="E34" s="43" t="s">
        <v>1</v>
      </c>
      <c r="F34" s="43" t="s">
        <v>1</v>
      </c>
      <c r="G34" s="122"/>
      <c r="H34" s="122"/>
      <c r="I34" s="122"/>
      <c r="J34" s="122"/>
      <c r="K34" s="122"/>
      <c r="L34" s="122"/>
      <c r="M34" s="122"/>
      <c r="N34" s="122"/>
      <c r="O34" s="122"/>
    </row>
    <row r="35" spans="1:15" ht="25.5" hidden="1">
      <c r="A35" s="22" t="s">
        <v>61</v>
      </c>
      <c r="B35" s="129" t="s">
        <v>62</v>
      </c>
      <c r="C35" s="22" t="s">
        <v>25</v>
      </c>
      <c r="D35" s="43" t="s">
        <v>1</v>
      </c>
      <c r="E35" s="43" t="s">
        <v>1</v>
      </c>
      <c r="F35" s="43" t="s">
        <v>1</v>
      </c>
      <c r="G35" s="122"/>
      <c r="H35" s="122"/>
      <c r="I35" s="122"/>
      <c r="J35" s="122"/>
      <c r="K35" s="122"/>
      <c r="L35" s="122"/>
      <c r="M35" s="122"/>
      <c r="N35" s="122"/>
      <c r="O35" s="122"/>
    </row>
    <row r="36" spans="1:15" hidden="1">
      <c r="A36" s="20" t="s">
        <v>63</v>
      </c>
      <c r="B36" s="132" t="s">
        <v>64</v>
      </c>
      <c r="C36" s="20" t="s">
        <v>25</v>
      </c>
      <c r="D36" s="43" t="s">
        <v>1</v>
      </c>
      <c r="E36" s="43" t="s">
        <v>1</v>
      </c>
      <c r="F36" s="43" t="s">
        <v>1</v>
      </c>
      <c r="G36" s="122"/>
      <c r="H36" s="122"/>
      <c r="I36" s="122"/>
      <c r="J36" s="122"/>
      <c r="K36" s="122"/>
      <c r="L36" s="122"/>
      <c r="M36" s="122"/>
      <c r="N36" s="122"/>
      <c r="O36" s="122"/>
    </row>
    <row r="37" spans="1:15" hidden="1">
      <c r="A37" s="20" t="s">
        <v>65</v>
      </c>
      <c r="B37" s="132" t="s">
        <v>66</v>
      </c>
      <c r="C37" s="20" t="s">
        <v>25</v>
      </c>
      <c r="D37" s="43" t="s">
        <v>1</v>
      </c>
      <c r="E37" s="43" t="s">
        <v>1</v>
      </c>
      <c r="F37" s="43" t="s">
        <v>1</v>
      </c>
      <c r="G37" s="122"/>
      <c r="H37" s="122"/>
      <c r="I37" s="122"/>
      <c r="J37" s="122"/>
      <c r="K37" s="122"/>
      <c r="L37" s="122"/>
      <c r="M37" s="122"/>
      <c r="N37" s="122"/>
      <c r="O37" s="122"/>
    </row>
    <row r="38" spans="1:15" ht="25.5" hidden="1">
      <c r="A38" s="22" t="s">
        <v>67</v>
      </c>
      <c r="B38" s="129" t="s">
        <v>68</v>
      </c>
      <c r="C38" s="22" t="s">
        <v>25</v>
      </c>
      <c r="D38" s="43" t="s">
        <v>1</v>
      </c>
      <c r="E38" s="43" t="s">
        <v>1</v>
      </c>
      <c r="F38" s="43" t="s">
        <v>1</v>
      </c>
      <c r="G38" s="122"/>
      <c r="H38" s="122"/>
      <c r="I38" s="122"/>
      <c r="J38" s="122"/>
      <c r="K38" s="122"/>
      <c r="L38" s="122"/>
      <c r="M38" s="122"/>
      <c r="N38" s="122"/>
      <c r="O38" s="122"/>
    </row>
    <row r="39" spans="1:15" hidden="1">
      <c r="A39" s="20" t="s">
        <v>69</v>
      </c>
      <c r="B39" s="21" t="s">
        <v>56</v>
      </c>
      <c r="C39" s="20" t="s">
        <v>25</v>
      </c>
      <c r="D39" s="43" t="s">
        <v>1</v>
      </c>
      <c r="E39" s="43" t="s">
        <v>1</v>
      </c>
      <c r="F39" s="43" t="s">
        <v>1</v>
      </c>
      <c r="G39" s="122"/>
      <c r="H39" s="122"/>
      <c r="I39" s="122"/>
      <c r="J39" s="122"/>
      <c r="K39" s="122"/>
      <c r="L39" s="122"/>
      <c r="M39" s="122"/>
      <c r="N39" s="122"/>
      <c r="O39" s="122"/>
    </row>
    <row r="40" spans="1:15" hidden="1">
      <c r="A40" s="20" t="s">
        <v>70</v>
      </c>
      <c r="B40" s="21" t="s">
        <v>58</v>
      </c>
      <c r="C40" s="20" t="s">
        <v>25</v>
      </c>
      <c r="D40" s="43" t="s">
        <v>1</v>
      </c>
      <c r="E40" s="43" t="s">
        <v>1</v>
      </c>
      <c r="F40" s="43" t="s">
        <v>1</v>
      </c>
      <c r="G40" s="122"/>
      <c r="H40" s="122"/>
      <c r="I40" s="122"/>
      <c r="J40" s="122"/>
      <c r="K40" s="122"/>
      <c r="L40" s="122"/>
      <c r="M40" s="122"/>
      <c r="N40" s="122"/>
      <c r="O40" s="122"/>
    </row>
    <row r="41" spans="1:15" ht="25.5" hidden="1">
      <c r="A41" s="20" t="s">
        <v>71</v>
      </c>
      <c r="B41" s="21" t="s">
        <v>60</v>
      </c>
      <c r="C41" s="20" t="s">
        <v>25</v>
      </c>
      <c r="D41" s="43" t="s">
        <v>1</v>
      </c>
      <c r="E41" s="43" t="s">
        <v>1</v>
      </c>
      <c r="F41" s="43" t="s">
        <v>1</v>
      </c>
      <c r="G41" s="122"/>
      <c r="H41" s="122"/>
      <c r="I41" s="122"/>
      <c r="J41" s="122"/>
      <c r="K41" s="122"/>
      <c r="L41" s="122"/>
      <c r="M41" s="122"/>
      <c r="N41" s="122"/>
      <c r="O41" s="122"/>
    </row>
    <row r="42" spans="1:15" ht="25.5" hidden="1">
      <c r="A42" s="22" t="s">
        <v>72</v>
      </c>
      <c r="B42" s="129" t="s">
        <v>73</v>
      </c>
      <c r="C42" s="22" t="s">
        <v>25</v>
      </c>
      <c r="D42" s="43" t="s">
        <v>1</v>
      </c>
      <c r="E42" s="43" t="s">
        <v>1</v>
      </c>
      <c r="F42" s="43" t="s">
        <v>1</v>
      </c>
      <c r="G42" s="122"/>
      <c r="H42" s="122"/>
      <c r="I42" s="122"/>
      <c r="J42" s="122"/>
      <c r="K42" s="122"/>
      <c r="L42" s="122"/>
      <c r="M42" s="122"/>
      <c r="N42" s="122"/>
      <c r="O42" s="122"/>
    </row>
    <row r="43" spans="1:15" hidden="1">
      <c r="A43" s="20" t="s">
        <v>74</v>
      </c>
      <c r="B43" s="21" t="s">
        <v>56</v>
      </c>
      <c r="C43" s="20" t="s">
        <v>25</v>
      </c>
      <c r="D43" s="43" t="s">
        <v>1</v>
      </c>
      <c r="E43" s="43" t="s">
        <v>1</v>
      </c>
      <c r="F43" s="43" t="s">
        <v>1</v>
      </c>
      <c r="G43" s="122"/>
      <c r="H43" s="122"/>
      <c r="I43" s="122"/>
      <c r="J43" s="122"/>
      <c r="K43" s="122"/>
      <c r="L43" s="122"/>
      <c r="M43" s="122"/>
      <c r="N43" s="122"/>
      <c r="O43" s="122"/>
    </row>
    <row r="44" spans="1:15" hidden="1">
      <c r="A44" s="20" t="s">
        <v>75</v>
      </c>
      <c r="B44" s="21" t="s">
        <v>58</v>
      </c>
      <c r="C44" s="20" t="s">
        <v>25</v>
      </c>
      <c r="D44" s="43" t="s">
        <v>1</v>
      </c>
      <c r="E44" s="43" t="s">
        <v>1</v>
      </c>
      <c r="F44" s="43" t="s">
        <v>1</v>
      </c>
      <c r="G44" s="122"/>
      <c r="H44" s="122"/>
      <c r="I44" s="122"/>
      <c r="J44" s="122"/>
      <c r="K44" s="122"/>
      <c r="L44" s="122"/>
      <c r="M44" s="122"/>
      <c r="N44" s="122"/>
      <c r="O44" s="122"/>
    </row>
    <row r="45" spans="1:15" ht="25.5" hidden="1">
      <c r="A45" s="20" t="s">
        <v>76</v>
      </c>
      <c r="B45" s="21" t="s">
        <v>60</v>
      </c>
      <c r="C45" s="20" t="s">
        <v>25</v>
      </c>
      <c r="D45" s="43" t="s">
        <v>1</v>
      </c>
      <c r="E45" s="43" t="s">
        <v>1</v>
      </c>
      <c r="F45" s="43" t="s">
        <v>1</v>
      </c>
      <c r="G45" s="122"/>
      <c r="H45" s="122"/>
      <c r="I45" s="122"/>
      <c r="J45" s="122"/>
      <c r="K45" s="122"/>
      <c r="L45" s="122"/>
      <c r="M45" s="122"/>
      <c r="N45" s="122"/>
      <c r="O45" s="122"/>
    </row>
    <row r="46" spans="1:15" hidden="1">
      <c r="A46" s="22" t="s">
        <v>77</v>
      </c>
      <c r="B46" s="129" t="s">
        <v>78</v>
      </c>
      <c r="C46" s="22" t="s">
        <v>25</v>
      </c>
      <c r="D46" s="43" t="s">
        <v>1</v>
      </c>
      <c r="E46" s="43" t="s">
        <v>1</v>
      </c>
      <c r="F46" s="43" t="s">
        <v>1</v>
      </c>
      <c r="G46" s="122"/>
      <c r="H46" s="122"/>
      <c r="I46" s="122"/>
      <c r="J46" s="122"/>
      <c r="K46" s="122"/>
      <c r="L46" s="122"/>
      <c r="M46" s="122"/>
      <c r="N46" s="122"/>
      <c r="O46" s="122"/>
    </row>
    <row r="47" spans="1:15" ht="38.25" hidden="1">
      <c r="A47" s="87" t="s">
        <v>79</v>
      </c>
      <c r="B47" s="129" t="s">
        <v>80</v>
      </c>
      <c r="C47" s="133" t="s">
        <v>81</v>
      </c>
      <c r="D47" s="43" t="s">
        <v>1</v>
      </c>
      <c r="E47" s="43" t="s">
        <v>1</v>
      </c>
      <c r="F47" s="43" t="s">
        <v>1</v>
      </c>
      <c r="G47" s="122"/>
      <c r="H47" s="122"/>
      <c r="I47" s="122"/>
      <c r="J47" s="122"/>
      <c r="K47" s="122"/>
      <c r="L47" s="122"/>
      <c r="M47" s="122"/>
      <c r="N47" s="122"/>
      <c r="O47" s="122"/>
    </row>
    <row r="48" spans="1:15" ht="87" customHeight="1">
      <c r="A48" s="87" t="s">
        <v>82</v>
      </c>
      <c r="B48" s="129" t="s">
        <v>83</v>
      </c>
      <c r="C48" s="133"/>
      <c r="D48" s="174" t="s">
        <v>218</v>
      </c>
      <c r="E48" s="174"/>
      <c r="F48" s="174"/>
      <c r="G48" s="122"/>
      <c r="H48" s="122"/>
      <c r="I48" s="122"/>
      <c r="J48" s="122"/>
      <c r="K48" s="122"/>
      <c r="L48" s="122"/>
      <c r="M48" s="122"/>
      <c r="N48" s="122"/>
      <c r="O48" s="122"/>
    </row>
    <row r="49" spans="1:15" ht="16.5" customHeight="1">
      <c r="A49" s="135"/>
      <c r="B49" s="136"/>
      <c r="C49" s="137"/>
      <c r="D49" s="138"/>
      <c r="E49" s="138"/>
      <c r="F49" s="138"/>
      <c r="G49" s="122"/>
      <c r="H49" s="122"/>
      <c r="I49" s="122"/>
      <c r="J49" s="122"/>
      <c r="K49" s="122"/>
      <c r="L49" s="122"/>
      <c r="M49" s="122"/>
      <c r="N49" s="122"/>
      <c r="O49" s="122"/>
    </row>
    <row r="50" spans="1:15">
      <c r="A50" s="139"/>
      <c r="B50" s="140" t="s">
        <v>89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</row>
    <row r="51" spans="1:15" ht="30" customHeight="1">
      <c r="A51" s="141" t="s">
        <v>85</v>
      </c>
      <c r="B51" s="169" t="s">
        <v>86</v>
      </c>
      <c r="C51" s="169"/>
      <c r="D51" s="169"/>
      <c r="E51" s="169"/>
      <c r="F51" s="169"/>
      <c r="G51" s="122"/>
      <c r="H51" s="122"/>
      <c r="I51" s="122"/>
      <c r="J51" s="122"/>
      <c r="K51" s="122"/>
      <c r="L51" s="122"/>
      <c r="M51" s="122"/>
      <c r="N51" s="122"/>
      <c r="O51" s="122"/>
    </row>
    <row r="52" spans="1:15">
      <c r="A52" s="139"/>
      <c r="B52" s="139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</row>
    <row r="53" spans="1:15">
      <c r="A53" s="139"/>
      <c r="B53" s="139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</row>
    <row r="54" spans="1:15">
      <c r="A54" s="139"/>
      <c r="B54" s="139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</row>
    <row r="55" spans="1:15" ht="15.75">
      <c r="A55" s="142"/>
      <c r="B55" s="142"/>
      <c r="C55" s="142"/>
      <c r="D55" s="142"/>
      <c r="E55" s="179" t="s">
        <v>117</v>
      </c>
      <c r="F55" s="179"/>
      <c r="G55" s="179"/>
      <c r="H55" s="179"/>
      <c r="I55" s="179"/>
      <c r="J55" s="122"/>
      <c r="K55" s="122"/>
      <c r="L55" s="122"/>
      <c r="M55" s="122"/>
      <c r="N55" s="122"/>
      <c r="O55" s="122"/>
    </row>
    <row r="56" spans="1:15" ht="27" customHeight="1">
      <c r="A56" s="142"/>
      <c r="B56" s="142"/>
      <c r="C56" s="142"/>
      <c r="D56" s="142"/>
      <c r="E56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6" s="166"/>
      <c r="G56" s="166"/>
      <c r="H56" s="166"/>
      <c r="I56" s="166"/>
      <c r="J56" s="122"/>
      <c r="K56" s="122"/>
      <c r="L56" s="122"/>
      <c r="M56" s="122"/>
      <c r="N56" s="122"/>
      <c r="O56" s="122"/>
    </row>
    <row r="57" spans="1:15" ht="15.75">
      <c r="A57" s="142"/>
      <c r="B57" s="142"/>
      <c r="C57" s="142"/>
      <c r="D57" s="142"/>
      <c r="E57" s="142"/>
      <c r="F57" s="142"/>
      <c r="G57" s="142"/>
      <c r="H57" s="142"/>
      <c r="I57" s="142"/>
      <c r="J57" s="122"/>
      <c r="K57" s="122"/>
      <c r="L57" s="122"/>
      <c r="M57" s="122"/>
      <c r="N57" s="122"/>
      <c r="O57" s="122"/>
    </row>
    <row r="58" spans="1:15" ht="15.75">
      <c r="A58" s="142"/>
      <c r="B58" s="142"/>
      <c r="C58" s="142"/>
      <c r="D58" s="142"/>
      <c r="E58" s="142"/>
      <c r="F58" s="142"/>
      <c r="G58" s="142"/>
      <c r="H58" s="142"/>
      <c r="I58" s="142"/>
      <c r="J58" s="122"/>
      <c r="K58" s="122"/>
      <c r="L58" s="122"/>
      <c r="M58" s="122"/>
      <c r="N58" s="122"/>
      <c r="O58" s="122"/>
    </row>
    <row r="59" spans="1:15" ht="16.5">
      <c r="A59" s="180" t="s">
        <v>105</v>
      </c>
      <c r="B59" s="180"/>
      <c r="C59" s="180"/>
      <c r="D59" s="180"/>
      <c r="E59" s="180"/>
      <c r="F59" s="180"/>
      <c r="G59" s="180"/>
      <c r="H59" s="180"/>
      <c r="I59" s="180"/>
      <c r="J59" s="122"/>
      <c r="K59" s="122"/>
      <c r="L59" s="122"/>
      <c r="M59" s="122"/>
      <c r="N59" s="122"/>
      <c r="O59" s="122"/>
    </row>
    <row r="60" spans="1:15" ht="15.75" customHeight="1">
      <c r="A60" s="143"/>
      <c r="B60" s="181" t="str">
        <f>A5</f>
        <v>Петрозаводская ТЭЦ</v>
      </c>
      <c r="C60" s="181"/>
      <c r="D60" s="181"/>
      <c r="E60" s="181"/>
      <c r="F60" s="181"/>
      <c r="G60" s="181"/>
      <c r="H60" s="143"/>
      <c r="I60" s="143"/>
      <c r="J60" s="122"/>
      <c r="K60" s="122"/>
      <c r="L60" s="122"/>
      <c r="M60" s="122"/>
      <c r="N60" s="122"/>
      <c r="O60" s="122"/>
    </row>
    <row r="61" spans="1:15" ht="15.75" customHeight="1">
      <c r="A61" s="118"/>
      <c r="B61" s="118"/>
      <c r="C61" s="177" t="s">
        <v>188</v>
      </c>
      <c r="D61" s="177"/>
      <c r="E61" s="177"/>
      <c r="F61" s="177"/>
      <c r="G61" s="177"/>
      <c r="H61" s="118"/>
      <c r="I61" s="118"/>
      <c r="J61" s="122"/>
      <c r="K61" s="122"/>
      <c r="L61" s="122"/>
      <c r="M61" s="122"/>
      <c r="N61" s="122"/>
      <c r="O61" s="122"/>
    </row>
    <row r="62" spans="1:15" ht="15.75" customHeight="1">
      <c r="A62" s="118"/>
      <c r="B62" s="181" t="str">
        <f>A7</f>
        <v>Республика Карелия</v>
      </c>
      <c r="C62" s="181"/>
      <c r="D62" s="181"/>
      <c r="E62" s="181"/>
      <c r="F62" s="181"/>
      <c r="G62" s="181"/>
      <c r="H62" s="118"/>
      <c r="I62" s="118"/>
      <c r="J62" s="122"/>
      <c r="K62" s="122"/>
      <c r="L62" s="122"/>
      <c r="M62" s="122"/>
      <c r="N62" s="122"/>
      <c r="O62" s="122"/>
    </row>
    <row r="63" spans="1:15" ht="15.75" customHeight="1">
      <c r="A63" s="118"/>
      <c r="B63" s="118"/>
      <c r="C63" s="177" t="s">
        <v>190</v>
      </c>
      <c r="D63" s="177"/>
      <c r="E63" s="177"/>
      <c r="F63" s="177"/>
      <c r="G63" s="177"/>
      <c r="H63" s="118"/>
      <c r="I63" s="118"/>
      <c r="J63" s="122"/>
      <c r="K63" s="122"/>
      <c r="L63" s="122"/>
      <c r="M63" s="122"/>
      <c r="N63" s="122"/>
      <c r="O63" s="122"/>
    </row>
    <row r="64" spans="1:15" ht="15.75">
      <c r="A64" s="175"/>
      <c r="B64" s="175"/>
      <c r="C64" s="175"/>
      <c r="D64" s="175"/>
      <c r="E64" s="175"/>
      <c r="F64" s="175"/>
      <c r="G64" s="142"/>
      <c r="H64" s="142"/>
      <c r="I64" s="142"/>
      <c r="J64" s="122"/>
      <c r="K64" s="122"/>
      <c r="L64" s="122"/>
      <c r="M64" s="122"/>
      <c r="N64" s="122"/>
      <c r="O64" s="122"/>
    </row>
    <row r="65" spans="1:15" ht="42.75" customHeight="1">
      <c r="A65" s="176" t="s">
        <v>106</v>
      </c>
      <c r="B65" s="176" t="s">
        <v>6</v>
      </c>
      <c r="C65" s="176" t="s">
        <v>186</v>
      </c>
      <c r="D65" s="163" t="str">
        <f>' ЦТЭЦ (ГТУ-1) ДПМ'!$D$58:$E$58</f>
        <v>Фактические показатели за год, предшествующий базовому периоду (2024г.)</v>
      </c>
      <c r="E65" s="163"/>
      <c r="F65" s="163" t="str">
        <f>' ЦТЭЦ (ГТУ-1) ДПМ'!$F$58:$G$58</f>
        <v>Показатели, утвержденные на базовый период (2025г.)*</v>
      </c>
      <c r="G65" s="163"/>
      <c r="H65" s="163" t="str">
        <f>' ЦТЭЦ (ГТУ-1) ДПМ'!$H$58:$I$58</f>
        <v>Предложения на расчетный период регулирования (2026г.)</v>
      </c>
      <c r="I65" s="163"/>
      <c r="J65" s="122"/>
      <c r="K65" s="122"/>
      <c r="L65" s="122"/>
      <c r="M65" s="122"/>
      <c r="N65" s="122"/>
      <c r="O65" s="122"/>
    </row>
    <row r="66" spans="1:15">
      <c r="A66" s="176"/>
      <c r="B66" s="176"/>
      <c r="C66" s="176"/>
      <c r="D66" s="144" t="s">
        <v>107</v>
      </c>
      <c r="E66" s="144" t="s">
        <v>108</v>
      </c>
      <c r="F66" s="144" t="s">
        <v>107</v>
      </c>
      <c r="G66" s="144" t="s">
        <v>108</v>
      </c>
      <c r="H66" s="144" t="s">
        <v>107</v>
      </c>
      <c r="I66" s="144" t="s">
        <v>108</v>
      </c>
      <c r="J66" s="122"/>
      <c r="K66" s="122"/>
      <c r="L66" s="122"/>
      <c r="M66" s="122"/>
      <c r="N66" s="122"/>
      <c r="O66" s="122"/>
    </row>
    <row r="67" spans="1:15">
      <c r="A67" s="145" t="s">
        <v>16</v>
      </c>
      <c r="B67" s="146" t="s">
        <v>110</v>
      </c>
      <c r="C67" s="145"/>
      <c r="D67" s="147"/>
      <c r="E67" s="147"/>
      <c r="F67" s="147"/>
      <c r="G67" s="147"/>
      <c r="H67" s="147"/>
      <c r="I67" s="147"/>
      <c r="J67" s="122"/>
      <c r="K67" s="122"/>
      <c r="L67" s="122"/>
      <c r="M67" s="122"/>
      <c r="N67" s="122"/>
      <c r="O67" s="122"/>
    </row>
    <row r="68" spans="1:15" ht="28.5">
      <c r="A68" s="144" t="s">
        <v>111</v>
      </c>
      <c r="B68" s="148" t="s">
        <v>112</v>
      </c>
      <c r="C68" s="144" t="s">
        <v>113</v>
      </c>
      <c r="D68" s="149">
        <v>949.13</v>
      </c>
      <c r="E68" s="149">
        <v>1047.3499301545837</v>
      </c>
      <c r="F68" s="149">
        <v>1047.3499301545837</v>
      </c>
      <c r="G68" s="149">
        <v>1320.6687728748973</v>
      </c>
      <c r="H68" s="149">
        <v>1320.6687728748973</v>
      </c>
      <c r="I68" s="149">
        <v>1730.1976755328712</v>
      </c>
      <c r="J68" s="150"/>
      <c r="K68" s="122"/>
      <c r="L68" s="122"/>
      <c r="M68" s="122"/>
      <c r="N68" s="122"/>
      <c r="O68" s="122"/>
    </row>
    <row r="69" spans="1:15" ht="28.5">
      <c r="A69" s="144"/>
      <c r="B69" s="148" t="s">
        <v>114</v>
      </c>
      <c r="C69" s="144" t="s">
        <v>113</v>
      </c>
      <c r="D69" s="149">
        <v>940.35</v>
      </c>
      <c r="E69" s="149">
        <v>1037.9146650607724</v>
      </c>
      <c r="F69" s="149">
        <v>1037.9146650607724</v>
      </c>
      <c r="G69" s="149">
        <v>1310.0342715899953</v>
      </c>
      <c r="H69" s="149">
        <v>1310.0342715899953</v>
      </c>
      <c r="I69" s="149">
        <v>1718.9391180408636</v>
      </c>
      <c r="J69" s="150"/>
      <c r="K69" s="122"/>
      <c r="L69" s="122"/>
      <c r="M69" s="122"/>
      <c r="N69" s="122"/>
      <c r="O69" s="122"/>
    </row>
    <row r="70" spans="1:15" ht="28.5">
      <c r="A70" s="144" t="s">
        <v>115</v>
      </c>
      <c r="B70" s="148" t="s">
        <v>116</v>
      </c>
      <c r="C70" s="144" t="s">
        <v>109</v>
      </c>
      <c r="D70" s="149">
        <v>272360.78999999998</v>
      </c>
      <c r="E70" s="149">
        <v>291017.32825268043</v>
      </c>
      <c r="F70" s="149">
        <v>291017.32825268043</v>
      </c>
      <c r="G70" s="149">
        <v>307216.38947430387</v>
      </c>
      <c r="H70" s="149">
        <v>307216.38947430387</v>
      </c>
      <c r="I70" s="149">
        <v>323398.94476897031</v>
      </c>
      <c r="J70" s="150"/>
      <c r="K70" s="122"/>
      <c r="L70" s="122"/>
      <c r="M70" s="122"/>
      <c r="N70" s="122"/>
      <c r="O70" s="122"/>
    </row>
    <row r="71" spans="1:15">
      <c r="A71" s="151" t="s">
        <v>118</v>
      </c>
      <c r="B71" s="152"/>
      <c r="C71" s="152"/>
      <c r="D71" s="152"/>
      <c r="E71" s="152"/>
      <c r="F71" s="152"/>
      <c r="G71" s="152"/>
      <c r="H71" s="152"/>
      <c r="I71" s="152"/>
      <c r="J71" s="122"/>
      <c r="K71" s="122"/>
      <c r="L71" s="122"/>
      <c r="M71" s="122"/>
      <c r="N71" s="122"/>
      <c r="O71" s="122"/>
    </row>
    <row r="72" spans="1:15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</row>
    <row r="73" spans="1:15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</row>
    <row r="74" spans="1:15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</sheetData>
  <mergeCells count="25">
    <mergeCell ref="A7:F7"/>
    <mergeCell ref="D1:F1"/>
    <mergeCell ref="D2:F2"/>
    <mergeCell ref="A4:F4"/>
    <mergeCell ref="A5:F5"/>
    <mergeCell ref="B6:F6"/>
    <mergeCell ref="C63:G63"/>
    <mergeCell ref="B8:F8"/>
    <mergeCell ref="J10:O10"/>
    <mergeCell ref="H11:L11"/>
    <mergeCell ref="D48:F48"/>
    <mergeCell ref="B51:F51"/>
    <mergeCell ref="E55:I55"/>
    <mergeCell ref="E56:I56"/>
    <mergeCell ref="A59:I59"/>
    <mergeCell ref="B60:G60"/>
    <mergeCell ref="C61:G61"/>
    <mergeCell ref="B62:G62"/>
    <mergeCell ref="H65:I65"/>
    <mergeCell ref="A64:F64"/>
    <mergeCell ref="A65:A66"/>
    <mergeCell ref="B65:B66"/>
    <mergeCell ref="C65:C66"/>
    <mergeCell ref="D65:E65"/>
    <mergeCell ref="F65:G65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49" zoomScaleNormal="100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11.28515625" customWidth="1"/>
    <col min="4" max="4" width="17.42578125" customWidth="1"/>
    <col min="5" max="5" width="17.85546875" customWidth="1"/>
    <col min="6" max="7" width="15.42578125" customWidth="1"/>
    <col min="8" max="8" width="14.28515625" customWidth="1"/>
    <col min="9" max="9" width="15.42578125" customWidth="1"/>
  </cols>
  <sheetData>
    <row r="1" spans="1:6">
      <c r="D1" s="168" t="s">
        <v>4</v>
      </c>
      <c r="E1" s="168"/>
      <c r="F1" s="168"/>
    </row>
    <row r="2" spans="1:6" ht="47.25" customHeight="1">
      <c r="A2" s="2"/>
      <c r="B2" s="2"/>
      <c r="C2" s="2"/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6" ht="19.5" customHeight="1">
      <c r="A3" s="2"/>
      <c r="B3" s="2"/>
      <c r="C3" s="2"/>
      <c r="D3" s="72"/>
      <c r="E3" s="72"/>
      <c r="F3" s="72"/>
    </row>
    <row r="4" spans="1:6" ht="16.5" customHeight="1">
      <c r="A4" s="155" t="s">
        <v>120</v>
      </c>
      <c r="B4" s="155"/>
      <c r="C4" s="155"/>
      <c r="D4" s="155"/>
      <c r="E4" s="155"/>
      <c r="F4" s="155"/>
    </row>
    <row r="5" spans="1:6" ht="17.25" customHeight="1">
      <c r="A5" s="181" t="s">
        <v>124</v>
      </c>
      <c r="B5" s="181"/>
      <c r="C5" s="181"/>
      <c r="D5" s="181"/>
      <c r="E5" s="181"/>
      <c r="F5" s="181"/>
    </row>
    <row r="6" spans="1:6" ht="17.25" customHeight="1">
      <c r="A6" s="170" t="s">
        <v>121</v>
      </c>
      <c r="B6" s="170"/>
      <c r="C6" s="170"/>
      <c r="D6" s="170"/>
      <c r="E6" s="170"/>
      <c r="F6" s="170"/>
    </row>
    <row r="8" spans="1:6" ht="64.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6">
      <c r="A9" s="54" t="s">
        <v>8</v>
      </c>
      <c r="B9" s="5" t="s">
        <v>9</v>
      </c>
      <c r="C9" s="54" t="s">
        <v>10</v>
      </c>
      <c r="D9" s="36">
        <v>160</v>
      </c>
      <c r="E9" s="36">
        <v>133</v>
      </c>
      <c r="F9" s="36">
        <v>133</v>
      </c>
    </row>
    <row r="10" spans="1:6" ht="63.75">
      <c r="A10" s="74" t="s">
        <v>11</v>
      </c>
      <c r="B10" s="8" t="s">
        <v>12</v>
      </c>
      <c r="C10" s="74" t="s">
        <v>10</v>
      </c>
      <c r="D10" s="13">
        <v>101.83241666666669</v>
      </c>
      <c r="E10" s="13">
        <v>91.665416666666658</v>
      </c>
      <c r="F10" s="13">
        <v>95.350499999999997</v>
      </c>
    </row>
    <row r="11" spans="1:6">
      <c r="A11" s="74" t="s">
        <v>13</v>
      </c>
      <c r="B11" s="8" t="s">
        <v>14</v>
      </c>
      <c r="C11" s="74" t="s">
        <v>15</v>
      </c>
      <c r="D11" s="13">
        <v>871.99913600000002</v>
      </c>
      <c r="E11" s="13">
        <v>709.34019999999998</v>
      </c>
      <c r="F11" s="13">
        <v>748.68500000000006</v>
      </c>
    </row>
    <row r="12" spans="1:6">
      <c r="A12" s="74" t="s">
        <v>16</v>
      </c>
      <c r="B12" s="8" t="s">
        <v>17</v>
      </c>
      <c r="C12" s="74" t="s">
        <v>15</v>
      </c>
      <c r="D12" s="13">
        <v>857.073398</v>
      </c>
      <c r="E12" s="13">
        <v>693.16319999999996</v>
      </c>
      <c r="F12" s="13">
        <v>732.03600000000006</v>
      </c>
    </row>
    <row r="13" spans="1:6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6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E16+E17</f>
        <v>369.66878651757696</v>
      </c>
      <c r="F15" s="37">
        <f>F16+F17</f>
        <v>408.63256969106567</v>
      </c>
    </row>
    <row r="16" spans="1:6">
      <c r="A16" s="10" t="s">
        <v>26</v>
      </c>
      <c r="B16" s="75" t="s">
        <v>27</v>
      </c>
      <c r="C16" s="74" t="s">
        <v>25</v>
      </c>
      <c r="D16" s="13" t="s">
        <v>1</v>
      </c>
      <c r="E16" s="13">
        <v>45.105093463402355</v>
      </c>
      <c r="F16" s="13">
        <v>52.811473250429088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324.56369305417462</v>
      </c>
      <c r="F17" s="13">
        <v>355.82109644063655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E30+E31</f>
        <v>369.66878651757696</v>
      </c>
      <c r="F29" s="37">
        <f>F30+F31</f>
        <v>408.63256969106567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f>E16</f>
        <v>45.105093463402355</v>
      </c>
      <c r="F30" s="13">
        <f>F16</f>
        <v>52.811473250429088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f>E17</f>
        <v>324.56369305417462</v>
      </c>
      <c r="F31" s="13">
        <f>F17</f>
        <v>355.82109644063655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6" t="s">
        <v>117</v>
      </c>
      <c r="F52" s="166"/>
      <c r="G52" s="166"/>
      <c r="H52" s="166"/>
      <c r="I52" s="166"/>
    </row>
    <row r="53" spans="1:9" ht="30.75" customHeight="1">
      <c r="A53" s="64"/>
      <c r="B53" s="64"/>
      <c r="C53" s="64"/>
      <c r="D53" s="64"/>
      <c r="E53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3" s="166"/>
      <c r="G53" s="166"/>
      <c r="H53" s="166"/>
      <c r="I53" s="166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2" t="s">
        <v>105</v>
      </c>
      <c r="B56" s="162"/>
      <c r="C56" s="162"/>
      <c r="D56" s="162"/>
      <c r="E56" s="162"/>
      <c r="F56" s="162"/>
      <c r="G56" s="162"/>
      <c r="H56" s="162"/>
      <c r="I56" s="162"/>
    </row>
    <row r="57" spans="1:9" ht="15.75" customHeight="1">
      <c r="A57" s="181" t="s">
        <v>124</v>
      </c>
      <c r="B57" s="181"/>
      <c r="C57" s="181"/>
      <c r="D57" s="181"/>
      <c r="E57" s="181"/>
      <c r="F57" s="181"/>
      <c r="G57" s="181"/>
      <c r="H57" s="181"/>
      <c r="I57" s="181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6.25" customHeight="1">
      <c r="A59" s="163" t="s">
        <v>106</v>
      </c>
      <c r="B59" s="163" t="s">
        <v>6</v>
      </c>
      <c r="C59" s="163" t="s">
        <v>186</v>
      </c>
      <c r="D59" s="163" t="str">
        <f>' ЦТЭЦ (ГТУ-1) ДПМ'!$D$58:$E$58</f>
        <v>Фактические показатели за год, предшествующий базовому периоду (2024г.)</v>
      </c>
      <c r="E59" s="163"/>
      <c r="F59" s="163" t="str">
        <f>' ЦТЭЦ (ГТУ-1) ДПМ'!$F$58:$G$58</f>
        <v>Показатели, утвержденные на базовый период (2025г.)*</v>
      </c>
      <c r="G59" s="163"/>
      <c r="H59" s="163" t="str">
        <f>' ЦТЭЦ (ГТУ-1) ДПМ'!$H$58:$I$58</f>
        <v>Предложения на расчетный период регулирования (2026г.)</v>
      </c>
      <c r="I59" s="163"/>
    </row>
    <row r="60" spans="1:9" ht="28.5">
      <c r="A60" s="163"/>
      <c r="B60" s="163"/>
      <c r="C60" s="163"/>
      <c r="D60" s="77" t="s">
        <v>107</v>
      </c>
      <c r="E60" s="77" t="s">
        <v>108</v>
      </c>
      <c r="F60" s="77" t="s">
        <v>107</v>
      </c>
      <c r="G60" s="77" t="s">
        <v>108</v>
      </c>
      <c r="H60" s="77" t="s">
        <v>107</v>
      </c>
      <c r="I60" s="77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47.71</v>
      </c>
      <c r="E62" s="113">
        <v>56.589060280286574</v>
      </c>
      <c r="F62" s="113">
        <v>56.589060280286574</v>
      </c>
      <c r="G62" s="113">
        <v>65.071390782722389</v>
      </c>
      <c r="H62" s="113">
        <v>65.071390782722389</v>
      </c>
      <c r="I62" s="113">
        <v>72.143273350530691</v>
      </c>
    </row>
    <row r="63" spans="1:9" ht="28.5">
      <c r="A63" s="110"/>
      <c r="B63" s="112" t="s">
        <v>114</v>
      </c>
      <c r="C63" s="110" t="s">
        <v>113</v>
      </c>
      <c r="D63" s="113">
        <v>32.78</v>
      </c>
      <c r="E63" s="113">
        <v>40.585635990842214</v>
      </c>
      <c r="F63" s="113">
        <v>40.585635990842214</v>
      </c>
      <c r="G63" s="113">
        <v>47.073545162235966</v>
      </c>
      <c r="H63" s="113">
        <v>47.073545162235966</v>
      </c>
      <c r="I63" s="113">
        <v>53.182657683501901</v>
      </c>
    </row>
    <row r="64" spans="1:9" ht="28.5">
      <c r="A64" s="110" t="s">
        <v>115</v>
      </c>
      <c r="B64" s="112" t="s">
        <v>116</v>
      </c>
      <c r="C64" s="110" t="s">
        <v>109</v>
      </c>
      <c r="D64" s="113">
        <v>260775.2</v>
      </c>
      <c r="E64" s="113">
        <v>278864.19413255306</v>
      </c>
      <c r="F64" s="113">
        <v>278864.19413255306</v>
      </c>
      <c r="G64" s="113">
        <v>295061.9263482453</v>
      </c>
      <c r="H64" s="113">
        <v>295061.9263482453</v>
      </c>
      <c r="I64" s="113">
        <v>310976.42945469311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H59:I59"/>
    <mergeCell ref="A59:A60"/>
    <mergeCell ref="B59:B60"/>
    <mergeCell ref="C59:C60"/>
    <mergeCell ref="D59:E59"/>
    <mergeCell ref="F59:G59"/>
    <mergeCell ref="B49:F49"/>
    <mergeCell ref="A57:I57"/>
    <mergeCell ref="D1:F1"/>
    <mergeCell ref="D2:F2"/>
    <mergeCell ref="A4:F4"/>
    <mergeCell ref="A5:F5"/>
    <mergeCell ref="A6:F6"/>
    <mergeCell ref="E52:I52"/>
    <mergeCell ref="E53:I53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46" workbookViewId="0">
      <selection activeCell="D62" sqref="D62:I64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6.5703125" customWidth="1"/>
    <col min="5" max="5" width="14.42578125" customWidth="1"/>
    <col min="6" max="6" width="15.42578125" customWidth="1"/>
    <col min="7" max="7" width="16" customWidth="1"/>
    <col min="8" max="8" width="14.28515625" customWidth="1"/>
    <col min="9" max="9" width="16.7109375" customWidth="1"/>
  </cols>
  <sheetData>
    <row r="1" spans="1:7">
      <c r="D1" s="168" t="s">
        <v>4</v>
      </c>
      <c r="E1" s="168"/>
      <c r="F1" s="168"/>
    </row>
    <row r="2" spans="1:7" ht="41.25" customHeight="1">
      <c r="A2" s="2"/>
      <c r="B2" s="2"/>
      <c r="C2" s="2"/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7" ht="13.5" customHeight="1">
      <c r="A3" s="2"/>
      <c r="B3" s="2"/>
      <c r="C3" s="2"/>
      <c r="D3" s="72"/>
      <c r="E3" s="72"/>
      <c r="F3" s="72"/>
    </row>
    <row r="4" spans="1:7" ht="16.5" customHeight="1">
      <c r="A4" s="155" t="s">
        <v>119</v>
      </c>
      <c r="B4" s="155"/>
      <c r="C4" s="155"/>
      <c r="D4" s="155"/>
      <c r="E4" s="155"/>
      <c r="F4" s="155"/>
    </row>
    <row r="5" spans="1:7" ht="17.25" customHeight="1">
      <c r="A5" s="155" t="s">
        <v>125</v>
      </c>
      <c r="B5" s="155"/>
      <c r="C5" s="155"/>
      <c r="D5" s="155"/>
      <c r="E5" s="155"/>
      <c r="F5" s="155"/>
    </row>
    <row r="6" spans="1:7" ht="17.25" customHeight="1">
      <c r="A6" s="170" t="s">
        <v>121</v>
      </c>
      <c r="B6" s="170"/>
      <c r="C6" s="170"/>
      <c r="D6" s="170"/>
      <c r="E6" s="170"/>
      <c r="F6" s="170"/>
      <c r="G6" s="89"/>
    </row>
    <row r="7" spans="1:7">
      <c r="B7" s="88"/>
    </row>
    <row r="8" spans="1:7" ht="77.2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7">
      <c r="A9" s="54" t="s">
        <v>8</v>
      </c>
      <c r="B9" s="5" t="s">
        <v>9</v>
      </c>
      <c r="C9" s="54" t="s">
        <v>10</v>
      </c>
      <c r="D9" s="36">
        <v>312</v>
      </c>
      <c r="E9" s="36">
        <v>312</v>
      </c>
      <c r="F9" s="36">
        <v>312</v>
      </c>
    </row>
    <row r="10" spans="1:7" ht="63.75">
      <c r="A10" s="74" t="s">
        <v>11</v>
      </c>
      <c r="B10" s="8" t="s">
        <v>12</v>
      </c>
      <c r="C10" s="74" t="s">
        <v>10</v>
      </c>
      <c r="D10" s="13">
        <v>176.60222849462366</v>
      </c>
      <c r="E10" s="13">
        <v>167.77719999999999</v>
      </c>
      <c r="F10" s="13">
        <v>178.29441666666665</v>
      </c>
    </row>
    <row r="11" spans="1:7">
      <c r="A11" s="74" t="s">
        <v>13</v>
      </c>
      <c r="B11" s="8" t="s">
        <v>14</v>
      </c>
      <c r="C11" s="74" t="s">
        <v>15</v>
      </c>
      <c r="D11" s="13">
        <v>1235.0664159999999</v>
      </c>
      <c r="E11" s="13">
        <v>1241.8429999999998</v>
      </c>
      <c r="F11" s="13">
        <v>1186.4499999999998</v>
      </c>
    </row>
    <row r="12" spans="1:7">
      <c r="A12" s="74" t="s">
        <v>16</v>
      </c>
      <c r="B12" s="8" t="s">
        <v>17</v>
      </c>
      <c r="C12" s="74" t="s">
        <v>15</v>
      </c>
      <c r="D12" s="13">
        <v>1207.2095429999999</v>
      </c>
      <c r="E12" s="13">
        <v>1212.7829999999999</v>
      </c>
      <c r="F12" s="13">
        <v>1158.0889999999997</v>
      </c>
    </row>
    <row r="13" spans="1:7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7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7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E16+E17</f>
        <v>652.96177341584144</v>
      </c>
      <c r="F15" s="37">
        <f>F16+F17</f>
        <v>728.86546304733679</v>
      </c>
    </row>
    <row r="16" spans="1:7">
      <c r="A16" s="10" t="s">
        <v>26</v>
      </c>
      <c r="B16" s="75" t="s">
        <v>27</v>
      </c>
      <c r="C16" s="74" t="s">
        <v>25</v>
      </c>
      <c r="D16" s="13" t="s">
        <v>1</v>
      </c>
      <c r="E16" s="13">
        <v>74.775625219696678</v>
      </c>
      <c r="F16" s="13">
        <v>79.481743272480429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578.18614819614481</v>
      </c>
      <c r="F17" s="13">
        <v>649.38371977485633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E30+E31</f>
        <v>652.96177341584144</v>
      </c>
      <c r="F29" s="37">
        <f>F30+F31</f>
        <v>728.86546304733679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f>E16</f>
        <v>74.775625219696678</v>
      </c>
      <c r="F30" s="13">
        <f>F16</f>
        <v>79.481743272480429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f>E17</f>
        <v>578.18614819614481</v>
      </c>
      <c r="F31" s="13">
        <f>F17</f>
        <v>649.38371977485633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 ht="15.75" customHeight="1">
      <c r="A52" s="64"/>
      <c r="B52" s="64"/>
      <c r="C52" s="64"/>
      <c r="D52" s="64"/>
      <c r="E52" s="166" t="s">
        <v>117</v>
      </c>
      <c r="F52" s="166"/>
      <c r="G52" s="166"/>
      <c r="H52" s="166"/>
      <c r="I52" s="166"/>
    </row>
    <row r="53" spans="1:9" ht="26.25" customHeight="1">
      <c r="A53" s="64"/>
      <c r="B53" s="64"/>
      <c r="C53" s="64"/>
      <c r="D53" s="64"/>
      <c r="E53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3" s="166"/>
      <c r="G53" s="166"/>
      <c r="H53" s="166"/>
      <c r="I53" s="166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 customHeight="1">
      <c r="A56" s="162" t="s">
        <v>105</v>
      </c>
      <c r="B56" s="162"/>
      <c r="C56" s="162"/>
      <c r="D56" s="162"/>
      <c r="E56" s="162"/>
      <c r="F56" s="162"/>
      <c r="G56" s="162"/>
      <c r="H56" s="162"/>
      <c r="I56" s="162"/>
    </row>
    <row r="57" spans="1:9" ht="15.75" customHeight="1">
      <c r="A57" s="155" t="s">
        <v>125</v>
      </c>
      <c r="B57" s="155"/>
      <c r="C57" s="155"/>
      <c r="D57" s="155"/>
      <c r="E57" s="155"/>
      <c r="F57" s="155"/>
      <c r="G57" s="155"/>
      <c r="H57" s="155"/>
      <c r="I57" s="15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6.5" customHeight="1">
      <c r="A59" s="163" t="s">
        <v>106</v>
      </c>
      <c r="B59" s="163" t="s">
        <v>6</v>
      </c>
      <c r="C59" s="163" t="s">
        <v>186</v>
      </c>
      <c r="D59" s="163" t="str">
        <f>' ЦТЭЦ (ГТУ-1) ДПМ'!$D$58:$E$58</f>
        <v>Фактические показатели за год, предшествующий базовому периоду (2024г.)</v>
      </c>
      <c r="E59" s="163"/>
      <c r="F59" s="163" t="str">
        <f>' ЦТЭЦ (ГТУ-1) ДПМ'!$F$58:$G$58</f>
        <v>Показатели, утвержденные на базовый период (2025г.)*</v>
      </c>
      <c r="G59" s="163"/>
      <c r="H59" s="163" t="str">
        <f>' ЦТЭЦ (ГТУ-1) ДПМ'!$H$58:$I$58</f>
        <v>Предложения на расчетный период регулирования (2026г.)</v>
      </c>
      <c r="I59" s="163"/>
    </row>
    <row r="60" spans="1:9" ht="28.5">
      <c r="A60" s="163"/>
      <c r="B60" s="163"/>
      <c r="C60" s="163"/>
      <c r="D60" s="77" t="s">
        <v>107</v>
      </c>
      <c r="E60" s="77" t="s">
        <v>108</v>
      </c>
      <c r="F60" s="77" t="s">
        <v>107</v>
      </c>
      <c r="G60" s="77" t="s">
        <v>108</v>
      </c>
      <c r="H60" s="77" t="s">
        <v>107</v>
      </c>
      <c r="I60" s="77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44.86</v>
      </c>
      <c r="E62" s="113">
        <v>53.900032179532275</v>
      </c>
      <c r="F62" s="113">
        <v>53.900032179532275</v>
      </c>
      <c r="G62" s="113">
        <v>61.656228047141731</v>
      </c>
      <c r="H62" s="113">
        <v>61.656228047141731</v>
      </c>
      <c r="I62" s="113">
        <v>68.63180918951862</v>
      </c>
    </row>
    <row r="63" spans="1:9" ht="28.5">
      <c r="A63" s="110"/>
      <c r="B63" s="112" t="s">
        <v>114</v>
      </c>
      <c r="C63" s="110" t="s">
        <v>113</v>
      </c>
      <c r="D63" s="113">
        <v>32.799999999999997</v>
      </c>
      <c r="E63" s="113">
        <v>40.968541868977873</v>
      </c>
      <c r="F63" s="113">
        <v>40.968541868977873</v>
      </c>
      <c r="G63" s="113">
        <v>47.102225212589552</v>
      </c>
      <c r="H63" s="113">
        <v>47.102225212589552</v>
      </c>
      <c r="I63" s="113">
        <v>53.273453076577027</v>
      </c>
    </row>
    <row r="64" spans="1:9" ht="28.5">
      <c r="A64" s="110" t="s">
        <v>115</v>
      </c>
      <c r="B64" s="112" t="s">
        <v>116</v>
      </c>
      <c r="C64" s="110" t="s">
        <v>109</v>
      </c>
      <c r="D64" s="149">
        <v>253035.08</v>
      </c>
      <c r="E64" s="149">
        <v>271097.89515955315</v>
      </c>
      <c r="F64" s="149">
        <v>271097.89515955315</v>
      </c>
      <c r="G64" s="113">
        <v>287179.53939120099</v>
      </c>
      <c r="H64" s="113">
        <v>287179.53939120099</v>
      </c>
      <c r="I64" s="113">
        <v>303516.57103435957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D1:F1"/>
    <mergeCell ref="D2:F2"/>
    <mergeCell ref="A4:F4"/>
    <mergeCell ref="A5:F5"/>
    <mergeCell ref="B49:F49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J66"/>
  <sheetViews>
    <sheetView view="pageBreakPreview" zoomScaleNormal="100" zoomScaleSheetLayoutView="100" workbookViewId="0">
      <selection activeCell="D10" sqref="D10"/>
    </sheetView>
  </sheetViews>
  <sheetFormatPr defaultRowHeight="15"/>
  <cols>
    <col min="1" max="1" width="5.85546875" customWidth="1"/>
    <col min="2" max="2" width="38.85546875" customWidth="1"/>
    <col min="3" max="3" width="9.28515625" customWidth="1"/>
    <col min="4" max="4" width="17.140625" customWidth="1"/>
    <col min="5" max="5" width="14" customWidth="1"/>
    <col min="6" max="6" width="15.42578125" customWidth="1"/>
    <col min="7" max="7" width="15.140625" customWidth="1"/>
    <col min="8" max="8" width="14.140625" customWidth="1"/>
    <col min="9" max="9" width="14.28515625" customWidth="1"/>
  </cols>
  <sheetData>
    <row r="1" spans="1:10">
      <c r="D1" s="168" t="s">
        <v>4</v>
      </c>
      <c r="E1" s="168"/>
      <c r="F1" s="168"/>
    </row>
    <row r="2" spans="1:10" ht="39.7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0" ht="13.5" customHeight="1">
      <c r="A3" s="2"/>
      <c r="B3" s="2"/>
      <c r="C3" s="2"/>
      <c r="D3" s="2"/>
      <c r="E3" s="60"/>
      <c r="F3" s="60"/>
    </row>
    <row r="4" spans="1:10" ht="16.5" customHeight="1">
      <c r="A4" s="155" t="s">
        <v>92</v>
      </c>
      <c r="B4" s="155"/>
      <c r="C4" s="155"/>
      <c r="D4" s="155"/>
      <c r="E4" s="155"/>
      <c r="F4" s="155"/>
    </row>
    <row r="5" spans="1:10" ht="17.25" customHeight="1">
      <c r="A5" s="155" t="s">
        <v>104</v>
      </c>
      <c r="B5" s="155"/>
      <c r="C5" s="155"/>
      <c r="D5" s="155"/>
      <c r="E5" s="155"/>
      <c r="F5" s="155"/>
    </row>
    <row r="6" spans="1:10" ht="17.25" customHeight="1">
      <c r="A6" s="170" t="s">
        <v>5</v>
      </c>
      <c r="B6" s="170"/>
      <c r="C6" s="170"/>
      <c r="D6" s="170"/>
      <c r="E6" s="170"/>
      <c r="F6" s="170"/>
    </row>
    <row r="8" spans="1:10" ht="84" customHeight="1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  <c r="I8" s="167"/>
      <c r="J8" s="167"/>
    </row>
    <row r="9" spans="1:10">
      <c r="A9" s="54" t="s">
        <v>8</v>
      </c>
      <c r="B9" s="5" t="s">
        <v>9</v>
      </c>
      <c r="C9" s="54" t="s">
        <v>10</v>
      </c>
      <c r="D9" s="6">
        <v>180</v>
      </c>
      <c r="E9" s="6">
        <v>180</v>
      </c>
      <c r="F9" s="6">
        <v>180</v>
      </c>
    </row>
    <row r="10" spans="1:10" ht="63.75">
      <c r="A10" s="61" t="s">
        <v>11</v>
      </c>
      <c r="B10" s="8" t="s">
        <v>12</v>
      </c>
      <c r="C10" s="61" t="s">
        <v>10</v>
      </c>
      <c r="D10" s="13">
        <v>169.15875</v>
      </c>
      <c r="E10" s="9">
        <v>169.04</v>
      </c>
      <c r="F10" s="9">
        <v>169.15875</v>
      </c>
    </row>
    <row r="11" spans="1:10">
      <c r="A11" s="61" t="s">
        <v>13</v>
      </c>
      <c r="B11" s="8" t="s">
        <v>14</v>
      </c>
      <c r="C11" s="61" t="s">
        <v>15</v>
      </c>
      <c r="D11" s="9">
        <v>711.621174</v>
      </c>
      <c r="E11" s="9">
        <v>796.74</v>
      </c>
      <c r="F11" s="9">
        <v>677.53</v>
      </c>
    </row>
    <row r="12" spans="1:10">
      <c r="A12" s="61" t="s">
        <v>16</v>
      </c>
      <c r="B12" s="8" t="s">
        <v>17</v>
      </c>
      <c r="C12" s="61" t="s">
        <v>15</v>
      </c>
      <c r="D12" s="9">
        <v>621.04730500000005</v>
      </c>
      <c r="E12" s="9">
        <v>706.57219999999995</v>
      </c>
      <c r="F12" s="9">
        <v>588.36339099999998</v>
      </c>
    </row>
    <row r="13" spans="1:10">
      <c r="A13" s="61" t="s">
        <v>18</v>
      </c>
      <c r="B13" s="8" t="s">
        <v>19</v>
      </c>
      <c r="C13" s="61" t="s">
        <v>20</v>
      </c>
      <c r="D13" s="9">
        <v>1536.6179999999999</v>
      </c>
      <c r="E13" s="9">
        <v>1222.77</v>
      </c>
      <c r="F13" s="9">
        <v>1539.116</v>
      </c>
    </row>
    <row r="14" spans="1:10">
      <c r="A14" s="61" t="s">
        <v>21</v>
      </c>
      <c r="B14" s="8" t="s">
        <v>22</v>
      </c>
      <c r="C14" s="61" t="s">
        <v>20</v>
      </c>
      <c r="D14" s="9">
        <v>1533.8399399999998</v>
      </c>
      <c r="E14" s="9">
        <v>1220.44</v>
      </c>
      <c r="F14" s="9">
        <v>1536.432</v>
      </c>
    </row>
    <row r="15" spans="1:10" ht="21" customHeight="1">
      <c r="A15" s="10" t="s">
        <v>23</v>
      </c>
      <c r="B15" s="62" t="s">
        <v>24</v>
      </c>
      <c r="C15" s="10" t="s">
        <v>25</v>
      </c>
      <c r="D15" s="9" t="s">
        <v>1</v>
      </c>
      <c r="E15" s="12">
        <f>E16+E17</f>
        <v>1139.5600673351089</v>
      </c>
      <c r="F15" s="12">
        <f>F16+F17</f>
        <v>1294.6789716539211</v>
      </c>
    </row>
    <row r="16" spans="1:10">
      <c r="A16" s="61" t="s">
        <v>26</v>
      </c>
      <c r="B16" s="8" t="s">
        <v>27</v>
      </c>
      <c r="C16" s="61" t="s">
        <v>25</v>
      </c>
      <c r="D16" s="9" t="s">
        <v>1</v>
      </c>
      <c r="E16" s="9">
        <f>794585.639537769/1000</f>
        <v>794.585639537769</v>
      </c>
      <c r="F16" s="9">
        <f>931308.791013062/1000</f>
        <v>931.30879101306198</v>
      </c>
    </row>
    <row r="17" spans="1:6" ht="16.5" customHeight="1">
      <c r="A17" s="61" t="s">
        <v>28</v>
      </c>
      <c r="B17" s="8" t="s">
        <v>29</v>
      </c>
      <c r="C17" s="61" t="s">
        <v>25</v>
      </c>
      <c r="D17" s="9" t="s">
        <v>1</v>
      </c>
      <c r="E17" s="9">
        <f>344974.42779734/1000</f>
        <v>344.97442779733996</v>
      </c>
      <c r="F17" s="9">
        <f>363370.180640859/1000</f>
        <v>363.37018064085902</v>
      </c>
    </row>
    <row r="18" spans="1:6" ht="25.5">
      <c r="A18" s="61" t="s">
        <v>30</v>
      </c>
      <c r="B18" s="8" t="s">
        <v>31</v>
      </c>
      <c r="C18" s="61" t="s">
        <v>25</v>
      </c>
      <c r="D18" s="9" t="s">
        <v>1</v>
      </c>
      <c r="E18" s="9" t="s">
        <v>1</v>
      </c>
      <c r="F18" s="9" t="s">
        <v>1</v>
      </c>
    </row>
    <row r="19" spans="1:6">
      <c r="A19" s="61" t="s">
        <v>32</v>
      </c>
      <c r="B19" s="8" t="s">
        <v>33</v>
      </c>
      <c r="C19" s="61" t="s">
        <v>25</v>
      </c>
      <c r="D19" s="9">
        <v>772.17487810000011</v>
      </c>
      <c r="E19" s="9">
        <f>787689.467378404/1000</f>
        <v>787.68946737840395</v>
      </c>
      <c r="F19" s="9">
        <f>925222.836677981/1000</f>
        <v>925.22283667798092</v>
      </c>
    </row>
    <row r="20" spans="1:6" ht="25.5">
      <c r="A20" s="61"/>
      <c r="B20" s="8" t="s">
        <v>34</v>
      </c>
      <c r="C20" s="14" t="s">
        <v>35</v>
      </c>
      <c r="D20" s="16">
        <v>208.09383864136177</v>
      </c>
      <c r="E20" s="16">
        <v>185.79999999999998</v>
      </c>
      <c r="F20" s="16">
        <v>185.79999999999998</v>
      </c>
    </row>
    <row r="21" spans="1:6">
      <c r="A21" s="61" t="s">
        <v>36</v>
      </c>
      <c r="B21" s="8" t="s">
        <v>37</v>
      </c>
      <c r="C21" s="61" t="s">
        <v>25</v>
      </c>
      <c r="D21" s="9">
        <v>1484.9030954399998</v>
      </c>
      <c r="E21" s="9">
        <f>1209438.17351723/1000</f>
        <v>1209.4381735172299</v>
      </c>
      <c r="F21" s="9">
        <f>2106651.11974208/1000</f>
        <v>2106.65111974208</v>
      </c>
    </row>
    <row r="22" spans="1:6" ht="25.5">
      <c r="A22" s="61"/>
      <c r="B22" s="8" t="s">
        <v>38</v>
      </c>
      <c r="C22" s="14" t="s">
        <v>39</v>
      </c>
      <c r="D22" s="16">
        <v>166.59638244508395</v>
      </c>
      <c r="E22" s="16">
        <v>166.1</v>
      </c>
      <c r="F22" s="16">
        <v>166.1</v>
      </c>
    </row>
    <row r="23" spans="1:6" ht="63.75">
      <c r="A23" s="61"/>
      <c r="B23" s="8" t="s">
        <v>40</v>
      </c>
      <c r="C23" s="14"/>
      <c r="D23" s="18" t="s">
        <v>1</v>
      </c>
      <c r="E23" s="17" t="s">
        <v>195</v>
      </c>
      <c r="F23" s="17" t="s">
        <v>195</v>
      </c>
    </row>
    <row r="24" spans="1:6">
      <c r="A24" s="10" t="s">
        <v>41</v>
      </c>
      <c r="B24" s="62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62" t="s">
        <v>44</v>
      </c>
      <c r="C25" s="61"/>
      <c r="D25" s="18" t="s">
        <v>1</v>
      </c>
      <c r="E25" s="18" t="s">
        <v>1</v>
      </c>
      <c r="F25" s="18" t="s">
        <v>1</v>
      </c>
    </row>
    <row r="26" spans="1:6">
      <c r="A26" s="61" t="s">
        <v>45</v>
      </c>
      <c r="B26" s="8" t="s">
        <v>46</v>
      </c>
      <c r="C26" s="6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61" t="s">
        <v>48</v>
      </c>
      <c r="B27" s="8" t="s">
        <v>49</v>
      </c>
      <c r="C27" s="6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61" t="s">
        <v>51</v>
      </c>
      <c r="B28" s="8" t="s">
        <v>52</v>
      </c>
      <c r="C28" s="6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62" t="s">
        <v>54</v>
      </c>
      <c r="C29" s="10" t="s">
        <v>25</v>
      </c>
      <c r="D29" s="18" t="s">
        <v>1</v>
      </c>
      <c r="E29" s="12">
        <f t="shared" ref="E29:F29" si="0">SUM(E30:E32)</f>
        <v>1139.5600673351089</v>
      </c>
      <c r="F29" s="12">
        <f t="shared" si="0"/>
        <v>1294.6789716539211</v>
      </c>
    </row>
    <row r="30" spans="1:6">
      <c r="A30" s="20" t="s">
        <v>55</v>
      </c>
      <c r="B30" s="21" t="s">
        <v>56</v>
      </c>
      <c r="C30" s="61" t="s">
        <v>25</v>
      </c>
      <c r="D30" s="18" t="s">
        <v>1</v>
      </c>
      <c r="E30" s="9">
        <f>E16</f>
        <v>794.585639537769</v>
      </c>
      <c r="F30" s="9">
        <f>F16</f>
        <v>931.30879101306198</v>
      </c>
    </row>
    <row r="31" spans="1:6">
      <c r="A31" s="20" t="s">
        <v>57</v>
      </c>
      <c r="B31" s="8" t="s">
        <v>58</v>
      </c>
      <c r="C31" s="61" t="s">
        <v>25</v>
      </c>
      <c r="D31" s="18" t="s">
        <v>1</v>
      </c>
      <c r="E31" s="9">
        <f>E17</f>
        <v>344.97442779733996</v>
      </c>
      <c r="F31" s="9">
        <f>F17</f>
        <v>363.37018064085902</v>
      </c>
    </row>
    <row r="32" spans="1:6" ht="25.5">
      <c r="A32" s="20" t="s">
        <v>59</v>
      </c>
      <c r="B32" s="8" t="s">
        <v>60</v>
      </c>
      <c r="C32" s="6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62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6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6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62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61" t="s">
        <v>69</v>
      </c>
      <c r="B37" s="21" t="s">
        <v>56</v>
      </c>
      <c r="C37" s="61" t="s">
        <v>25</v>
      </c>
      <c r="D37" s="18" t="s">
        <v>1</v>
      </c>
      <c r="E37" s="18" t="s">
        <v>1</v>
      </c>
      <c r="F37" s="18" t="s">
        <v>1</v>
      </c>
    </row>
    <row r="38" spans="1:6">
      <c r="A38" s="61" t="s">
        <v>70</v>
      </c>
      <c r="B38" s="8" t="s">
        <v>58</v>
      </c>
      <c r="C38" s="6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61" t="s">
        <v>71</v>
      </c>
      <c r="B39" s="8" t="s">
        <v>60</v>
      </c>
      <c r="C39" s="6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62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61" t="s">
        <v>74</v>
      </c>
      <c r="B41" s="21" t="s">
        <v>56</v>
      </c>
      <c r="C41" s="61" t="s">
        <v>25</v>
      </c>
      <c r="D41" s="18" t="s">
        <v>1</v>
      </c>
      <c r="E41" s="18" t="s">
        <v>1</v>
      </c>
      <c r="F41" s="18" t="s">
        <v>1</v>
      </c>
    </row>
    <row r="42" spans="1:6">
      <c r="A42" s="61" t="s">
        <v>75</v>
      </c>
      <c r="B42" s="8" t="s">
        <v>58</v>
      </c>
      <c r="C42" s="6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61" t="s">
        <v>76</v>
      </c>
      <c r="B43" s="8" t="s">
        <v>60</v>
      </c>
      <c r="C43" s="6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62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62" t="s">
        <v>80</v>
      </c>
      <c r="C45" s="63" t="s">
        <v>81</v>
      </c>
      <c r="D45" s="18" t="s">
        <v>1</v>
      </c>
      <c r="E45" s="18" t="s">
        <v>1</v>
      </c>
      <c r="F45" s="18" t="s">
        <v>1</v>
      </c>
    </row>
    <row r="46" spans="1:6" ht="83.2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64" t="s">
        <v>86</v>
      </c>
      <c r="C49" s="164"/>
      <c r="D49" s="164"/>
      <c r="E49" s="164"/>
      <c r="F49" s="164"/>
    </row>
    <row r="50" spans="1:9" ht="34.5" customHeight="1">
      <c r="A50" s="29"/>
      <c r="B50" s="164"/>
      <c r="C50" s="164"/>
      <c r="D50" s="164"/>
      <c r="E50" s="164"/>
      <c r="F50" s="164"/>
    </row>
    <row r="51" spans="1:9">
      <c r="A51" s="27"/>
      <c r="B51" s="27"/>
    </row>
    <row r="52" spans="1:9" ht="15.75">
      <c r="A52" s="64"/>
      <c r="B52" s="64"/>
      <c r="C52" s="64"/>
      <c r="D52" s="64"/>
      <c r="E52" s="166" t="s">
        <v>117</v>
      </c>
      <c r="F52" s="166"/>
      <c r="G52" s="166"/>
      <c r="H52" s="166"/>
      <c r="I52" s="166"/>
    </row>
    <row r="53" spans="1:9" ht="30.6" customHeight="1">
      <c r="A53" s="64"/>
      <c r="B53" s="64"/>
      <c r="C53" s="64"/>
      <c r="D53" s="64"/>
      <c r="E53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3" s="166"/>
      <c r="G53" s="166"/>
      <c r="H53" s="166"/>
      <c r="I53" s="166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2" t="s">
        <v>105</v>
      </c>
      <c r="B56" s="162"/>
      <c r="C56" s="162"/>
      <c r="D56" s="162"/>
      <c r="E56" s="162"/>
      <c r="F56" s="162"/>
      <c r="G56" s="162"/>
      <c r="H56" s="162"/>
      <c r="I56" s="162"/>
    </row>
    <row r="57" spans="1:9" ht="15.75" customHeight="1">
      <c r="A57" s="155" t="s">
        <v>143</v>
      </c>
      <c r="B57" s="155"/>
      <c r="C57" s="155"/>
      <c r="D57" s="155"/>
      <c r="E57" s="155"/>
      <c r="F57" s="155"/>
      <c r="G57" s="155"/>
      <c r="H57" s="155"/>
      <c r="I57" s="15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3.5" customHeight="1">
      <c r="A59" s="163" t="s">
        <v>106</v>
      </c>
      <c r="B59" s="163" t="s">
        <v>6</v>
      </c>
      <c r="C59" s="163" t="s">
        <v>186</v>
      </c>
      <c r="D59" s="163" t="str">
        <f>' ЦТЭЦ (ГТУ-1) ДПМ'!$D$58:$E$58</f>
        <v>Фактические показатели за год, предшествующий базовому периоду (2024г.)</v>
      </c>
      <c r="E59" s="163"/>
      <c r="F59" s="163" t="str">
        <f>' ЦТЭЦ (ГТУ-1) ДПМ'!$F$58:$G$58</f>
        <v>Показатели, утвержденные на базовый период (2025г.)*</v>
      </c>
      <c r="G59" s="163"/>
      <c r="H59" s="163" t="str">
        <f>' ЦТЭЦ (ГТУ-1) ДПМ'!$H$58:$I$58</f>
        <v>Предложения на расчетный период регулирования (2026г.)</v>
      </c>
      <c r="I59" s="163"/>
    </row>
    <row r="60" spans="1:9" ht="28.5">
      <c r="A60" s="163"/>
      <c r="B60" s="163"/>
      <c r="C60" s="163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4" t="s">
        <v>111</v>
      </c>
      <c r="B62" s="112" t="s">
        <v>112</v>
      </c>
      <c r="C62" s="114" t="s">
        <v>113</v>
      </c>
      <c r="D62" s="149">
        <v>1135.8915842178139</v>
      </c>
      <c r="E62" s="149">
        <v>1135.8915842178139</v>
      </c>
      <c r="F62" s="149">
        <f>E62</f>
        <v>1135.8915842178139</v>
      </c>
      <c r="G62" s="113">
        <v>1124.5639717183449</v>
      </c>
      <c r="H62" s="113">
        <f>G62</f>
        <v>1124.5639717183449</v>
      </c>
      <c r="I62" s="113">
        <v>1582.8802492795858</v>
      </c>
    </row>
    <row r="63" spans="1:9" ht="28.5">
      <c r="A63" s="114"/>
      <c r="B63" s="112" t="s">
        <v>146</v>
      </c>
      <c r="C63" s="114" t="s">
        <v>113</v>
      </c>
      <c r="D63" s="149">
        <v>1127.8459670445047</v>
      </c>
      <c r="E63" s="149">
        <v>1127.8459670445047</v>
      </c>
      <c r="F63" s="149">
        <f t="shared" ref="F63:F64" si="1">E63</f>
        <v>1127.8459670445047</v>
      </c>
      <c r="G63" s="113">
        <v>1114.8039328159305</v>
      </c>
      <c r="H63" s="113">
        <f>G63</f>
        <v>1114.8039328159305</v>
      </c>
      <c r="I63" s="113">
        <v>1572.5363794396601</v>
      </c>
    </row>
    <row r="64" spans="1:9" ht="28.5">
      <c r="A64" s="114" t="s">
        <v>115</v>
      </c>
      <c r="B64" s="112" t="s">
        <v>116</v>
      </c>
      <c r="C64" s="114" t="s">
        <v>109</v>
      </c>
      <c r="D64" s="149">
        <v>150879.93</v>
      </c>
      <c r="E64" s="149">
        <v>161205.54127538827</v>
      </c>
      <c r="F64" s="149">
        <f t="shared" si="1"/>
        <v>161205.54127538827</v>
      </c>
      <c r="G64" s="113">
        <v>170065.48144292305</v>
      </c>
      <c r="H64" s="113">
        <f>G64</f>
        <v>170065.48144292305</v>
      </c>
      <c r="I64" s="113">
        <v>179008.46622913811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  <row r="66" spans="1:9" ht="15.75" customHeight="1">
      <c r="A66" s="93"/>
      <c r="B66" s="171"/>
      <c r="C66" s="171"/>
      <c r="D66" s="171"/>
      <c r="E66" s="171"/>
      <c r="F66" s="171"/>
      <c r="G66" s="171"/>
      <c r="H66" s="171"/>
      <c r="I66" s="171"/>
    </row>
  </sheetData>
  <mergeCells count="20">
    <mergeCell ref="B50:F50"/>
    <mergeCell ref="B49:F49"/>
    <mergeCell ref="I8:J8"/>
    <mergeCell ref="D1:F1"/>
    <mergeCell ref="D2:F2"/>
    <mergeCell ref="A4:F4"/>
    <mergeCell ref="A5:F5"/>
    <mergeCell ref="A6:F6"/>
    <mergeCell ref="D46:F46"/>
    <mergeCell ref="B66:I6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J64"/>
  <sheetViews>
    <sheetView workbookViewId="0">
      <selection activeCell="D10" sqref="D10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7.140625" customWidth="1"/>
    <col min="5" max="5" width="14" customWidth="1"/>
    <col min="6" max="6" width="15.42578125" customWidth="1"/>
    <col min="7" max="8" width="14.85546875" customWidth="1"/>
    <col min="9" max="9" width="14.42578125" customWidth="1"/>
  </cols>
  <sheetData>
    <row r="1" spans="1:10">
      <c r="D1" s="168" t="s">
        <v>4</v>
      </c>
      <c r="E1" s="168"/>
      <c r="F1" s="168"/>
    </row>
    <row r="2" spans="1:10" ht="39.7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0" ht="13.5" customHeight="1">
      <c r="A3" s="2"/>
      <c r="B3" s="2"/>
      <c r="C3" s="2"/>
      <c r="D3" s="2"/>
      <c r="E3" s="3"/>
      <c r="F3" s="3"/>
    </row>
    <row r="4" spans="1:10" ht="16.5" customHeight="1">
      <c r="A4" s="155" t="s">
        <v>92</v>
      </c>
      <c r="B4" s="155"/>
      <c r="C4" s="155"/>
      <c r="D4" s="155"/>
      <c r="E4" s="155"/>
      <c r="F4" s="155"/>
    </row>
    <row r="5" spans="1:10" ht="17.25" customHeight="1">
      <c r="A5" s="155" t="s">
        <v>87</v>
      </c>
      <c r="B5" s="155"/>
      <c r="C5" s="155"/>
      <c r="D5" s="155"/>
      <c r="E5" s="155"/>
      <c r="F5" s="155"/>
    </row>
    <row r="6" spans="1:10" ht="17.25" customHeight="1">
      <c r="A6" s="170" t="s">
        <v>5</v>
      </c>
      <c r="B6" s="170"/>
      <c r="C6" s="170"/>
      <c r="D6" s="170"/>
      <c r="E6" s="170"/>
      <c r="F6" s="170"/>
    </row>
    <row r="8" spans="1:10" ht="64.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  <c r="I8" s="167"/>
      <c r="J8" s="167"/>
    </row>
    <row r="9" spans="1:10">
      <c r="A9" s="4" t="s">
        <v>8</v>
      </c>
      <c r="B9" s="5" t="s">
        <v>9</v>
      </c>
      <c r="C9" s="4" t="s">
        <v>10</v>
      </c>
      <c r="D9" s="6">
        <v>463</v>
      </c>
      <c r="E9" s="6">
        <v>463</v>
      </c>
      <c r="F9" s="6">
        <v>463</v>
      </c>
    </row>
    <row r="10" spans="1:10" ht="63.75">
      <c r="A10" s="7" t="s">
        <v>11</v>
      </c>
      <c r="B10" s="8" t="s">
        <v>12</v>
      </c>
      <c r="C10" s="7" t="s">
        <v>10</v>
      </c>
      <c r="D10" s="13">
        <v>435.71208333333334</v>
      </c>
      <c r="E10" s="9">
        <v>435.50166666666667</v>
      </c>
      <c r="F10" s="9">
        <v>435.71208333333334</v>
      </c>
    </row>
    <row r="11" spans="1:10">
      <c r="A11" s="7" t="s">
        <v>13</v>
      </c>
      <c r="B11" s="8" t="s">
        <v>14</v>
      </c>
      <c r="C11" s="7" t="s">
        <v>15</v>
      </c>
      <c r="D11" s="9">
        <v>1975.5873109999998</v>
      </c>
      <c r="E11" s="9">
        <v>2441.46</v>
      </c>
      <c r="F11" s="9">
        <v>2142.15</v>
      </c>
    </row>
    <row r="12" spans="1:10">
      <c r="A12" s="7" t="s">
        <v>16</v>
      </c>
      <c r="B12" s="8" t="s">
        <v>17</v>
      </c>
      <c r="C12" s="7" t="s">
        <v>15</v>
      </c>
      <c r="D12" s="9">
        <v>1866.8134069999996</v>
      </c>
      <c r="E12" s="9">
        <v>2319.9117999999999</v>
      </c>
      <c r="F12" s="9">
        <v>2022.1054390000002</v>
      </c>
    </row>
    <row r="13" spans="1:10">
      <c r="A13" s="7" t="s">
        <v>18</v>
      </c>
      <c r="B13" s="8" t="s">
        <v>19</v>
      </c>
      <c r="C13" s="7" t="s">
        <v>20</v>
      </c>
      <c r="D13" s="9">
        <v>987.44200000000001</v>
      </c>
      <c r="E13" s="9">
        <v>1064.3300999999999</v>
      </c>
      <c r="F13" s="9">
        <v>1140.682</v>
      </c>
    </row>
    <row r="14" spans="1:10">
      <c r="A14" s="7" t="s">
        <v>21</v>
      </c>
      <c r="B14" s="8" t="s">
        <v>22</v>
      </c>
      <c r="C14" s="7" t="s">
        <v>20</v>
      </c>
      <c r="D14" s="9">
        <v>985.48706000000004</v>
      </c>
      <c r="E14" s="9">
        <v>1062.2297999999998</v>
      </c>
      <c r="F14" s="9">
        <v>1138.175</v>
      </c>
    </row>
    <row r="15" spans="1:10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4376.6724019213307</v>
      </c>
      <c r="F15" s="12">
        <f>F16+F17</f>
        <v>4576.2003914484203</v>
      </c>
    </row>
    <row r="16" spans="1:10">
      <c r="A16" s="7" t="s">
        <v>26</v>
      </c>
      <c r="B16" s="8" t="s">
        <v>27</v>
      </c>
      <c r="C16" s="7" t="s">
        <v>25</v>
      </c>
      <c r="D16" s="9" t="s">
        <v>1</v>
      </c>
      <c r="E16" s="9">
        <f>3101702.32500097/1000</f>
        <v>3101.7023250009702</v>
      </c>
      <c r="F16" s="9">
        <f>3234848.02494654/1000</f>
        <v>3234.8480249465401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f>1274970.07692036/1000</f>
        <v>1274.97007692036</v>
      </c>
      <c r="F17" s="9">
        <f>1341352.36650188/1000</f>
        <v>1341.3523665018802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f>2163500.12103/1000</f>
        <v>2163.5001210300002</v>
      </c>
      <c r="E19" s="9">
        <f>3096918.52303483/1000</f>
        <v>3096.9185230348303</v>
      </c>
      <c r="F19" s="9">
        <f>3230213.79201092/1000</f>
        <v>3230.2137920109203</v>
      </c>
    </row>
    <row r="20" spans="1:6" ht="25.5">
      <c r="A20" s="7"/>
      <c r="B20" s="8" t="s">
        <v>34</v>
      </c>
      <c r="C20" s="14" t="s">
        <v>35</v>
      </c>
      <c r="D20" s="16">
        <v>193.74128938918662</v>
      </c>
      <c r="E20" s="16">
        <v>192.3</v>
      </c>
      <c r="F20" s="16">
        <v>192.3</v>
      </c>
    </row>
    <row r="21" spans="1:6">
      <c r="A21" s="7" t="s">
        <v>36</v>
      </c>
      <c r="B21" s="8" t="s">
        <v>37</v>
      </c>
      <c r="C21" s="7" t="s">
        <v>25</v>
      </c>
      <c r="D21" s="9">
        <v>934.45239124999978</v>
      </c>
      <c r="E21" s="9">
        <f>1169651.54076786/1000</f>
        <v>1169.6515407678598</v>
      </c>
      <c r="F21" s="9">
        <f>1498020.29005915/1000</f>
        <v>1498.0202900591501</v>
      </c>
    </row>
    <row r="22" spans="1:6" ht="25.5">
      <c r="A22" s="7"/>
      <c r="B22" s="8" t="s">
        <v>38</v>
      </c>
      <c r="C22" s="14" t="s">
        <v>39</v>
      </c>
      <c r="D22" s="16">
        <v>161.99954225159556</v>
      </c>
      <c r="E22" s="16">
        <v>159.4</v>
      </c>
      <c r="F22" s="16">
        <v>159.4</v>
      </c>
    </row>
    <row r="23" spans="1:6" ht="63.75">
      <c r="A23" s="7"/>
      <c r="B23" s="8" t="s">
        <v>40</v>
      </c>
      <c r="C23" s="14"/>
      <c r="D23" s="9" t="s">
        <v>1</v>
      </c>
      <c r="E23" s="17" t="s">
        <v>195</v>
      </c>
      <c r="F23" s="17" t="s">
        <v>195</v>
      </c>
    </row>
    <row r="24" spans="1:6">
      <c r="A24" s="10" t="s">
        <v>41</v>
      </c>
      <c r="B24" s="11" t="s">
        <v>42</v>
      </c>
      <c r="C24" s="10" t="s">
        <v>25</v>
      </c>
      <c r="D24" s="9" t="s">
        <v>1</v>
      </c>
      <c r="E24" s="9" t="s">
        <v>1</v>
      </c>
      <c r="F24" s="9" t="s">
        <v>1</v>
      </c>
    </row>
    <row r="25" spans="1:6" ht="38.25">
      <c r="A25" s="10" t="s">
        <v>43</v>
      </c>
      <c r="B25" s="11" t="s">
        <v>44</v>
      </c>
      <c r="C25" s="7"/>
      <c r="D25" s="9" t="s">
        <v>1</v>
      </c>
      <c r="E25" s="9" t="s">
        <v>1</v>
      </c>
      <c r="F25" s="9" t="s">
        <v>1</v>
      </c>
    </row>
    <row r="26" spans="1:6">
      <c r="A26" s="7" t="s">
        <v>45</v>
      </c>
      <c r="B26" s="8" t="s">
        <v>46</v>
      </c>
      <c r="C26" s="7" t="s">
        <v>47</v>
      </c>
      <c r="D26" s="9" t="s">
        <v>1</v>
      </c>
      <c r="E26" s="9" t="s">
        <v>1</v>
      </c>
      <c r="F26" s="9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9" t="s">
        <v>1</v>
      </c>
      <c r="E27" s="9" t="s">
        <v>1</v>
      </c>
      <c r="F27" s="9" t="s">
        <v>1</v>
      </c>
    </row>
    <row r="28" spans="1:6" ht="38.25">
      <c r="A28" s="7" t="s">
        <v>51</v>
      </c>
      <c r="B28" s="8" t="s">
        <v>52</v>
      </c>
      <c r="C28" s="7"/>
      <c r="D28" s="9" t="s">
        <v>1</v>
      </c>
      <c r="E28" s="9" t="s">
        <v>1</v>
      </c>
      <c r="F28" s="9" t="s">
        <v>1</v>
      </c>
    </row>
    <row r="29" spans="1:6">
      <c r="A29" s="10" t="s">
        <v>53</v>
      </c>
      <c r="B29" s="11" t="s">
        <v>54</v>
      </c>
      <c r="C29" s="10" t="s">
        <v>25</v>
      </c>
      <c r="D29" s="9" t="s">
        <v>1</v>
      </c>
      <c r="E29" s="12">
        <f t="shared" ref="E29:F29" si="0">SUM(E30:E32)</f>
        <v>4376.6724019213307</v>
      </c>
      <c r="F29" s="12">
        <f t="shared" si="0"/>
        <v>4576.2003914484203</v>
      </c>
    </row>
    <row r="30" spans="1:6">
      <c r="A30" s="20" t="s">
        <v>55</v>
      </c>
      <c r="B30" s="21" t="s">
        <v>56</v>
      </c>
      <c r="C30" s="7" t="s">
        <v>25</v>
      </c>
      <c r="D30" s="9" t="s">
        <v>1</v>
      </c>
      <c r="E30" s="9">
        <f>E16</f>
        <v>3101.7023250009702</v>
      </c>
      <c r="F30" s="9">
        <f>F16</f>
        <v>3234.8480249465401</v>
      </c>
    </row>
    <row r="31" spans="1:6">
      <c r="A31" s="20" t="s">
        <v>57</v>
      </c>
      <c r="B31" s="8" t="s">
        <v>58</v>
      </c>
      <c r="C31" s="7" t="s">
        <v>25</v>
      </c>
      <c r="D31" s="9" t="s">
        <v>1</v>
      </c>
      <c r="E31" s="9">
        <f>E17</f>
        <v>1274.97007692036</v>
      </c>
      <c r="F31" s="9">
        <f>F17</f>
        <v>1341.3523665018802</v>
      </c>
    </row>
    <row r="32" spans="1:6" ht="25.5">
      <c r="A32" s="20" t="s">
        <v>59</v>
      </c>
      <c r="B32" s="8" t="s">
        <v>60</v>
      </c>
      <c r="C32" s="7" t="s">
        <v>25</v>
      </c>
      <c r="D32" s="9" t="s">
        <v>1</v>
      </c>
      <c r="E32" s="9" t="s">
        <v>1</v>
      </c>
      <c r="F32" s="9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9" t="s">
        <v>1</v>
      </c>
      <c r="E33" s="9" t="s">
        <v>1</v>
      </c>
      <c r="F33" s="9" t="s">
        <v>1</v>
      </c>
    </row>
    <row r="34" spans="1:6">
      <c r="A34" s="20" t="s">
        <v>63</v>
      </c>
      <c r="B34" s="23" t="s">
        <v>64</v>
      </c>
      <c r="C34" s="7" t="s">
        <v>25</v>
      </c>
      <c r="D34" s="9" t="s">
        <v>1</v>
      </c>
      <c r="E34" s="9" t="s">
        <v>1</v>
      </c>
      <c r="F34" s="9" t="s">
        <v>1</v>
      </c>
    </row>
    <row r="35" spans="1:6">
      <c r="A35" s="20" t="s">
        <v>65</v>
      </c>
      <c r="B35" s="23" t="s">
        <v>66</v>
      </c>
      <c r="C35" s="7" t="s">
        <v>25</v>
      </c>
      <c r="D35" s="9" t="s">
        <v>1</v>
      </c>
      <c r="E35" s="9" t="s">
        <v>1</v>
      </c>
      <c r="F35" s="9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9" t="s">
        <v>1</v>
      </c>
      <c r="E36" s="9" t="s">
        <v>1</v>
      </c>
      <c r="F36" s="9" t="s">
        <v>1</v>
      </c>
    </row>
    <row r="37" spans="1:6">
      <c r="A37" s="7" t="s">
        <v>69</v>
      </c>
      <c r="B37" s="21" t="s">
        <v>56</v>
      </c>
      <c r="C37" s="7" t="s">
        <v>25</v>
      </c>
      <c r="D37" s="9" t="s">
        <v>1</v>
      </c>
      <c r="E37" s="9" t="s">
        <v>1</v>
      </c>
      <c r="F37" s="9" t="s">
        <v>1</v>
      </c>
    </row>
    <row r="38" spans="1:6">
      <c r="A38" s="7" t="s">
        <v>70</v>
      </c>
      <c r="B38" s="8" t="s">
        <v>58</v>
      </c>
      <c r="C38" s="7" t="s">
        <v>25</v>
      </c>
      <c r="D38" s="9" t="s">
        <v>1</v>
      </c>
      <c r="E38" s="9" t="s">
        <v>1</v>
      </c>
      <c r="F38" s="9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9" t="s">
        <v>1</v>
      </c>
      <c r="E39" s="9" t="s">
        <v>1</v>
      </c>
      <c r="F39" s="9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9" t="s">
        <v>1</v>
      </c>
      <c r="E40" s="9" t="s">
        <v>1</v>
      </c>
      <c r="F40" s="9" t="s">
        <v>1</v>
      </c>
    </row>
    <row r="41" spans="1:6">
      <c r="A41" s="7" t="s">
        <v>74</v>
      </c>
      <c r="B41" s="21" t="s">
        <v>56</v>
      </c>
      <c r="C41" s="7" t="s">
        <v>25</v>
      </c>
      <c r="D41" s="9" t="s">
        <v>1</v>
      </c>
      <c r="E41" s="9" t="s">
        <v>1</v>
      </c>
      <c r="F41" s="9" t="s">
        <v>1</v>
      </c>
    </row>
    <row r="42" spans="1:6">
      <c r="A42" s="7" t="s">
        <v>75</v>
      </c>
      <c r="B42" s="8" t="s">
        <v>58</v>
      </c>
      <c r="C42" s="7" t="s">
        <v>25</v>
      </c>
      <c r="D42" s="9" t="s">
        <v>1</v>
      </c>
      <c r="E42" s="9" t="s">
        <v>1</v>
      </c>
      <c r="F42" s="9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9" t="s">
        <v>1</v>
      </c>
      <c r="E43" s="9" t="s">
        <v>1</v>
      </c>
      <c r="F43" s="9" t="s">
        <v>1</v>
      </c>
    </row>
    <row r="44" spans="1:6">
      <c r="A44" s="10" t="s">
        <v>77</v>
      </c>
      <c r="B44" s="11" t="s">
        <v>78</v>
      </c>
      <c r="C44" s="10" t="s">
        <v>25</v>
      </c>
      <c r="D44" s="9" t="s">
        <v>1</v>
      </c>
      <c r="E44" s="9" t="s">
        <v>1</v>
      </c>
      <c r="F44" s="9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9" t="s">
        <v>1</v>
      </c>
      <c r="E45" s="9" t="s">
        <v>1</v>
      </c>
      <c r="F45" s="9" t="s">
        <v>1</v>
      </c>
    </row>
    <row r="46" spans="1:6" ht="76.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64" t="s">
        <v>86</v>
      </c>
      <c r="C49" s="164"/>
      <c r="D49" s="164"/>
      <c r="E49" s="164"/>
      <c r="F49" s="164"/>
    </row>
    <row r="50" spans="1:9" ht="34.5" customHeight="1">
      <c r="A50" s="29"/>
      <c r="B50" s="164"/>
      <c r="C50" s="164"/>
      <c r="D50" s="164"/>
      <c r="E50" s="164"/>
      <c r="F50" s="164"/>
    </row>
    <row r="51" spans="1:9" ht="15.75">
      <c r="A51" s="64"/>
      <c r="B51" s="64"/>
      <c r="C51" s="64"/>
      <c r="D51" s="64"/>
      <c r="E51" s="166" t="s">
        <v>117</v>
      </c>
      <c r="F51" s="166"/>
      <c r="G51" s="166"/>
      <c r="H51" s="166"/>
      <c r="I51" s="166"/>
    </row>
    <row r="52" spans="1:9" ht="27.6" customHeight="1">
      <c r="A52" s="64"/>
      <c r="B52" s="64"/>
      <c r="C52" s="64"/>
      <c r="D52" s="64"/>
      <c r="E52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2" s="166"/>
      <c r="G52" s="166"/>
      <c r="H52" s="166"/>
      <c r="I52" s="166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62" t="s">
        <v>105</v>
      </c>
      <c r="B55" s="162"/>
      <c r="C55" s="162"/>
      <c r="D55" s="162"/>
      <c r="E55" s="162"/>
      <c r="F55" s="162"/>
      <c r="G55" s="162"/>
      <c r="H55" s="162"/>
      <c r="I55" s="162"/>
    </row>
    <row r="56" spans="1:9" ht="15.75" customHeight="1">
      <c r="A56" s="155" t="s">
        <v>142</v>
      </c>
      <c r="B56" s="155"/>
      <c r="C56" s="155"/>
      <c r="D56" s="155"/>
      <c r="E56" s="155"/>
      <c r="F56" s="155"/>
      <c r="G56" s="155"/>
      <c r="H56" s="155"/>
      <c r="I56" s="15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5.6" customHeight="1">
      <c r="A58" s="163" t="s">
        <v>106</v>
      </c>
      <c r="B58" s="163" t="s">
        <v>6</v>
      </c>
      <c r="C58" s="163" t="s">
        <v>186</v>
      </c>
      <c r="D58" s="163" t="str">
        <f>' ЦТЭЦ (ГТУ-1) ДПМ'!$D$58:$E$58</f>
        <v>Фактические показатели за год, предшествующий базовому периоду (2024г.)</v>
      </c>
      <c r="E58" s="163"/>
      <c r="F58" s="163" t="str">
        <f>' ЦТЭЦ (ГТУ-1) ДПМ'!$F$58:$G$58</f>
        <v>Показатели, утвержденные на базовый период (2025г.)*</v>
      </c>
      <c r="G58" s="163"/>
      <c r="H58" s="163" t="str">
        <f>' ЦТЭЦ (ГТУ-1) ДПМ'!$H$58:$I$58</f>
        <v>Предложения на расчетный период регулирования (2026г.)</v>
      </c>
      <c r="I58" s="163"/>
    </row>
    <row r="59" spans="1:9" ht="28.5">
      <c r="A59" s="163"/>
      <c r="B59" s="163"/>
      <c r="C59" s="163"/>
      <c r="D59" s="65" t="s">
        <v>107</v>
      </c>
      <c r="E59" s="65" t="s">
        <v>108</v>
      </c>
      <c r="F59" s="65" t="s">
        <v>107</v>
      </c>
      <c r="G59" s="65" t="s">
        <v>108</v>
      </c>
      <c r="H59" s="65" t="s">
        <v>107</v>
      </c>
      <c r="I59" s="65" t="s">
        <v>108</v>
      </c>
    </row>
    <row r="60" spans="1:9">
      <c r="A60" s="66" t="s">
        <v>16</v>
      </c>
      <c r="B60" s="67" t="s">
        <v>110</v>
      </c>
      <c r="C60" s="66"/>
      <c r="D60" s="68"/>
      <c r="E60" s="68"/>
      <c r="F60" s="68"/>
      <c r="G60" s="68"/>
      <c r="H60" s="68"/>
      <c r="I60" s="68"/>
    </row>
    <row r="61" spans="1:9" ht="28.5">
      <c r="A61" s="114" t="s">
        <v>111</v>
      </c>
      <c r="B61" s="112" t="s">
        <v>112</v>
      </c>
      <c r="C61" s="114" t="s">
        <v>113</v>
      </c>
      <c r="D61" s="149">
        <v>1018.2882987135461</v>
      </c>
      <c r="E61" s="149">
        <v>1124.6623600649361</v>
      </c>
      <c r="F61" s="149">
        <f>E61</f>
        <v>1124.6623600649361</v>
      </c>
      <c r="G61" s="113">
        <v>1336.9914860560498</v>
      </c>
      <c r="H61" s="113">
        <f>G61</f>
        <v>1336.9914860560498</v>
      </c>
      <c r="I61" s="113">
        <v>1599.7425072682074</v>
      </c>
    </row>
    <row r="62" spans="1:9" ht="28.5">
      <c r="A62" s="114"/>
      <c r="B62" s="112" t="s">
        <v>114</v>
      </c>
      <c r="C62" s="114" t="s">
        <v>113</v>
      </c>
      <c r="D62" s="149">
        <v>1016.6963037135461</v>
      </c>
      <c r="E62" s="149">
        <v>1122.8737760649362</v>
      </c>
      <c r="F62" s="149">
        <f t="shared" ref="F62:F63" si="1">E62</f>
        <v>1122.8737760649362</v>
      </c>
      <c r="G62" s="113">
        <v>1334.9294240560498</v>
      </c>
      <c r="H62" s="113">
        <f t="shared" ref="H62:H63" si="2">G62</f>
        <v>1334.9294240560498</v>
      </c>
      <c r="I62" s="113">
        <v>1597.4507212682074</v>
      </c>
    </row>
    <row r="63" spans="1:9" ht="28.5">
      <c r="A63" s="114" t="s">
        <v>115</v>
      </c>
      <c r="B63" s="112" t="s">
        <v>116</v>
      </c>
      <c r="C63" s="114" t="s">
        <v>109</v>
      </c>
      <c r="D63" s="149">
        <v>218164.75</v>
      </c>
      <c r="E63" s="149">
        <v>232127.29400000002</v>
      </c>
      <c r="F63" s="149">
        <f t="shared" si="1"/>
        <v>232127.29400000002</v>
      </c>
      <c r="G63" s="113">
        <v>243965.78599400003</v>
      </c>
      <c r="H63" s="113">
        <f t="shared" si="2"/>
        <v>243965.78599400003</v>
      </c>
      <c r="I63" s="113">
        <v>256544.09907572402</v>
      </c>
    </row>
    <row r="64" spans="1:9">
      <c r="A64" s="71" t="s">
        <v>118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I8:J8"/>
    <mergeCell ref="B49:F49"/>
    <mergeCell ref="B50:F50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64"/>
  <sheetViews>
    <sheetView workbookViewId="0">
      <selection activeCell="D10" sqref="D10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4.5703125" customWidth="1"/>
    <col min="6" max="6" width="15.42578125" customWidth="1"/>
    <col min="7" max="7" width="15.5703125" customWidth="1"/>
    <col min="8" max="8" width="15" customWidth="1"/>
    <col min="9" max="9" width="15.85546875" customWidth="1"/>
  </cols>
  <sheetData>
    <row r="1" spans="1:12">
      <c r="D1" s="168" t="s">
        <v>4</v>
      </c>
      <c r="E1" s="168"/>
      <c r="F1" s="168"/>
    </row>
    <row r="2" spans="1:12" ht="39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126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77.2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4" t="s">
        <v>8</v>
      </c>
      <c r="B9" s="5" t="s">
        <v>9</v>
      </c>
      <c r="C9" s="4" t="s">
        <v>10</v>
      </c>
      <c r="D9" s="6">
        <v>50</v>
      </c>
      <c r="E9" s="6">
        <v>50</v>
      </c>
      <c r="F9" s="6">
        <v>50</v>
      </c>
      <c r="H9" s="167"/>
      <c r="I9" s="167"/>
      <c r="J9" s="167"/>
      <c r="K9" s="167"/>
      <c r="L9" s="167"/>
    </row>
    <row r="10" spans="1:12" ht="63.75">
      <c r="A10" s="7" t="s">
        <v>11</v>
      </c>
      <c r="B10" s="8" t="s">
        <v>12</v>
      </c>
      <c r="C10" s="7" t="s">
        <v>10</v>
      </c>
      <c r="D10" s="13">
        <v>37.061666666666667</v>
      </c>
      <c r="E10" s="9">
        <v>32.438333333333333</v>
      </c>
      <c r="F10" s="9">
        <v>37.061666666666667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287.70652999999999</v>
      </c>
      <c r="E11" s="9">
        <v>285.24900000000002</v>
      </c>
      <c r="F11" s="9">
        <v>287.47500000000002</v>
      </c>
      <c r="H11" s="47"/>
    </row>
    <row r="12" spans="1:12" ht="18" customHeight="1">
      <c r="A12" s="7" t="s">
        <v>16</v>
      </c>
      <c r="B12" s="8" t="s">
        <v>17</v>
      </c>
      <c r="C12" s="7" t="s">
        <v>15</v>
      </c>
      <c r="D12" s="9">
        <v>239.8405027607981</v>
      </c>
      <c r="E12" s="9">
        <v>246.7527</v>
      </c>
      <c r="F12" s="9">
        <v>244.255472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454.22800000000001</v>
      </c>
      <c r="E13" s="9">
        <v>636.47</v>
      </c>
      <c r="F13" s="9">
        <v>758.19799999999998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453.99589000000003</v>
      </c>
      <c r="E14" s="9">
        <v>636.25009999999997</v>
      </c>
      <c r="F14" s="9">
        <v>757.93</v>
      </c>
    </row>
    <row r="15" spans="1:12" ht="13.5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368.73474031703938</v>
      </c>
      <c r="F15" s="12">
        <f>F16+F17</f>
        <v>499.15906454930882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f>311516.246393575/1000</f>
        <v>311.51624639357499</v>
      </c>
      <c r="F16" s="9">
        <f>430175.193405784/1000</f>
        <v>430.175193405784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f>57218.4939234644/1000</f>
        <v>57.218493923464401</v>
      </c>
      <c r="F17" s="9">
        <f>68983.8711435248/1000</f>
        <v>68.983871143524794</v>
      </c>
    </row>
    <row r="18" spans="1:6" ht="24.75" customHeight="1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f>364947.34446/1000</f>
        <v>364.94734446000001</v>
      </c>
      <c r="E19" s="9">
        <f>311007.427027508/1000</f>
        <v>311.00742702750796</v>
      </c>
      <c r="F19" s="9">
        <f>429615.412134632/1000</f>
        <v>429.61541213463198</v>
      </c>
    </row>
    <row r="20" spans="1:6" ht="25.5">
      <c r="A20" s="7"/>
      <c r="B20" s="8" t="s">
        <v>34</v>
      </c>
      <c r="C20" s="14" t="s">
        <v>35</v>
      </c>
      <c r="D20" s="16">
        <v>239.8405027607981</v>
      </c>
      <c r="E20" s="16">
        <v>207</v>
      </c>
      <c r="F20" s="16">
        <v>207</v>
      </c>
    </row>
    <row r="21" spans="1:6">
      <c r="A21" s="7" t="s">
        <v>36</v>
      </c>
      <c r="B21" s="8" t="s">
        <v>37</v>
      </c>
      <c r="C21" s="7" t="s">
        <v>25</v>
      </c>
      <c r="D21" s="46">
        <f>480193.64112/1000</f>
        <v>480.19364112</v>
      </c>
      <c r="E21" s="9">
        <f>641364.793953303/1000</f>
        <v>641.36479395330298</v>
      </c>
      <c r="F21" s="9">
        <f>1054468.22811027/1000</f>
        <v>1054.46822811027</v>
      </c>
    </row>
    <row r="22" spans="1:6" ht="25.5">
      <c r="A22" s="7"/>
      <c r="B22" s="8" t="s">
        <v>38</v>
      </c>
      <c r="C22" s="14" t="s">
        <v>39</v>
      </c>
      <c r="D22" s="16">
        <v>180.84750389672146</v>
      </c>
      <c r="E22" s="16">
        <v>168.5</v>
      </c>
      <c r="F22" s="16">
        <v>168.5</v>
      </c>
    </row>
    <row r="23" spans="1:6" ht="63.75">
      <c r="A23" s="7"/>
      <c r="B23" s="8" t="s">
        <v>40</v>
      </c>
      <c r="C23" s="14"/>
      <c r="D23" s="18" t="s">
        <v>1</v>
      </c>
      <c r="E23" s="17" t="s">
        <v>195</v>
      </c>
      <c r="F23" s="17" t="s">
        <v>195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0">SUM(E30:E32)</f>
        <v>368.73474031703938</v>
      </c>
      <c r="F29" s="12">
        <f t="shared" si="0"/>
        <v>499.15906454930882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311.51624639357499</v>
      </c>
      <c r="F30" s="9">
        <f>F16</f>
        <v>430.175193405784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57.218493923464401</v>
      </c>
      <c r="F31" s="9">
        <f>F17</f>
        <v>68.983871143524794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64" t="s">
        <v>86</v>
      </c>
      <c r="C49" s="164"/>
      <c r="D49" s="164"/>
      <c r="E49" s="164"/>
      <c r="F49" s="164"/>
    </row>
    <row r="50" spans="1:9" ht="27.75" customHeight="1">
      <c r="A50" s="29"/>
      <c r="B50" s="164"/>
      <c r="C50" s="164"/>
      <c r="D50" s="164"/>
      <c r="E50" s="164"/>
      <c r="F50" s="164"/>
    </row>
    <row r="51" spans="1:9" ht="15.75">
      <c r="A51" s="64"/>
      <c r="B51" s="64"/>
      <c r="C51" s="64"/>
      <c r="D51" s="64"/>
      <c r="E51" s="166" t="s">
        <v>117</v>
      </c>
      <c r="F51" s="166"/>
      <c r="G51" s="166"/>
      <c r="H51" s="166"/>
      <c r="I51" s="166"/>
    </row>
    <row r="52" spans="1:9" ht="25.5" customHeight="1">
      <c r="A52" s="64"/>
      <c r="B52" s="64"/>
      <c r="C52" s="64"/>
      <c r="D52" s="64"/>
      <c r="E52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2" s="166"/>
      <c r="G52" s="166"/>
      <c r="H52" s="166"/>
      <c r="I52" s="166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62" t="s">
        <v>105</v>
      </c>
      <c r="B55" s="162"/>
      <c r="C55" s="162"/>
      <c r="D55" s="162"/>
      <c r="E55" s="162"/>
      <c r="F55" s="162"/>
      <c r="G55" s="162"/>
      <c r="H55" s="162"/>
      <c r="I55" s="162"/>
    </row>
    <row r="56" spans="1:9" ht="15.75" customHeight="1">
      <c r="A56" s="155" t="s">
        <v>141</v>
      </c>
      <c r="B56" s="155"/>
      <c r="C56" s="155"/>
      <c r="D56" s="155"/>
      <c r="E56" s="155"/>
      <c r="F56" s="155"/>
      <c r="G56" s="155"/>
      <c r="H56" s="155"/>
      <c r="I56" s="15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3.5" customHeight="1">
      <c r="A58" s="163" t="s">
        <v>106</v>
      </c>
      <c r="B58" s="163" t="s">
        <v>6</v>
      </c>
      <c r="C58" s="163" t="s">
        <v>186</v>
      </c>
      <c r="D58" s="163" t="str">
        <f>' ЦТЭЦ (ГТУ-1) ДПМ'!$D$58:$E$58</f>
        <v>Фактические показатели за год, предшествующий базовому периоду (2024г.)</v>
      </c>
      <c r="E58" s="163"/>
      <c r="F58" s="163" t="str">
        <f>' ЦТЭЦ (ГТУ-1) ДПМ'!$F$58:$G$58</f>
        <v>Показатели, утвержденные на базовый период (2025г.)*</v>
      </c>
      <c r="G58" s="163"/>
      <c r="H58" s="163" t="str">
        <f>' ЦТЭЦ (ГТУ-1) ДПМ'!$H$58:$I$58</f>
        <v>Предложения на расчетный период регулирования (2026г.)</v>
      </c>
      <c r="I58" s="163"/>
    </row>
    <row r="59" spans="1:9">
      <c r="A59" s="163"/>
      <c r="B59" s="163"/>
      <c r="C59" s="163"/>
      <c r="D59" s="65" t="s">
        <v>107</v>
      </c>
      <c r="E59" s="65" t="s">
        <v>108</v>
      </c>
      <c r="F59" s="65" t="s">
        <v>107</v>
      </c>
      <c r="G59" s="65" t="s">
        <v>108</v>
      </c>
      <c r="H59" s="65" t="s">
        <v>107</v>
      </c>
      <c r="I59" s="65" t="s">
        <v>108</v>
      </c>
    </row>
    <row r="60" spans="1:9">
      <c r="A60" s="66" t="s">
        <v>16</v>
      </c>
      <c r="B60" s="67" t="s">
        <v>110</v>
      </c>
      <c r="C60" s="66"/>
      <c r="D60" s="68"/>
      <c r="E60" s="68"/>
      <c r="F60" s="68"/>
      <c r="G60" s="68"/>
      <c r="H60" s="68"/>
      <c r="I60" s="68"/>
    </row>
    <row r="61" spans="1:9" ht="28.5">
      <c r="A61" s="114" t="s">
        <v>111</v>
      </c>
      <c r="B61" s="112" t="s">
        <v>112</v>
      </c>
      <c r="C61" s="114" t="s">
        <v>113</v>
      </c>
      <c r="D61" s="149">
        <v>875.73634996027624</v>
      </c>
      <c r="E61" s="149">
        <v>875.73634996027624</v>
      </c>
      <c r="F61" s="149">
        <f>E61</f>
        <v>875.73634996027624</v>
      </c>
      <c r="G61" s="113">
        <v>1262.463374842808</v>
      </c>
      <c r="H61" s="113">
        <f>G61</f>
        <v>1262.463374842808</v>
      </c>
      <c r="I61" s="113">
        <v>1761.1691147938109</v>
      </c>
    </row>
    <row r="62" spans="1:9" ht="28.5">
      <c r="A62" s="114"/>
      <c r="B62" s="112" t="s">
        <v>114</v>
      </c>
      <c r="C62" s="114" t="s">
        <v>113</v>
      </c>
      <c r="D62" s="149">
        <v>873.94776596027623</v>
      </c>
      <c r="E62" s="149">
        <v>873.94776596027623</v>
      </c>
      <c r="F62" s="149">
        <f t="shared" ref="F62:F63" si="1">E62</f>
        <v>873.94776596027623</v>
      </c>
      <c r="G62" s="113">
        <v>1260.401312842808</v>
      </c>
      <c r="H62" s="113">
        <f t="shared" ref="H62:H63" si="2">G62</f>
        <v>1260.401312842808</v>
      </c>
      <c r="I62" s="113">
        <v>1758.8773287938109</v>
      </c>
    </row>
    <row r="63" spans="1:9" ht="28.5">
      <c r="A63" s="114" t="s">
        <v>115</v>
      </c>
      <c r="B63" s="112" t="s">
        <v>116</v>
      </c>
      <c r="C63" s="114" t="s">
        <v>109</v>
      </c>
      <c r="D63" s="149">
        <v>131447.49</v>
      </c>
      <c r="E63" s="149">
        <v>139860.13013509949</v>
      </c>
      <c r="F63" s="149">
        <f t="shared" si="1"/>
        <v>139860.13013509949</v>
      </c>
      <c r="G63" s="113">
        <v>146992.99677198898</v>
      </c>
      <c r="H63" s="113">
        <f t="shared" si="2"/>
        <v>146992.99677198898</v>
      </c>
      <c r="I63" s="113">
        <v>155110.56154950047</v>
      </c>
    </row>
    <row r="64" spans="1:9">
      <c r="A64" s="71" t="s">
        <v>118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H9:L9"/>
    <mergeCell ref="B49:F49"/>
    <mergeCell ref="B50:F50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7" workbookViewId="0">
      <selection activeCell="J12" sqref="J12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4.5703125" customWidth="1"/>
    <col min="6" max="6" width="16.28515625" customWidth="1"/>
    <col min="7" max="7" width="15.5703125" customWidth="1"/>
    <col min="8" max="8" width="15" customWidth="1"/>
    <col min="9" max="9" width="15.85546875" customWidth="1"/>
  </cols>
  <sheetData>
    <row r="1" spans="1:12">
      <c r="D1" s="168" t="s">
        <v>4</v>
      </c>
      <c r="E1" s="168"/>
      <c r="F1" s="168"/>
    </row>
    <row r="2" spans="1:12" ht="39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90"/>
      <c r="F3" s="90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147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77.2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54" t="s">
        <v>8</v>
      </c>
      <c r="B9" s="5" t="s">
        <v>9</v>
      </c>
      <c r="C9" s="54" t="s">
        <v>10</v>
      </c>
      <c r="D9" s="6">
        <v>85</v>
      </c>
      <c r="E9" s="6">
        <v>85</v>
      </c>
      <c r="F9" s="6">
        <v>85</v>
      </c>
      <c r="H9" s="167"/>
      <c r="I9" s="167"/>
      <c r="J9" s="167"/>
      <c r="K9" s="167"/>
      <c r="L9" s="167"/>
    </row>
    <row r="10" spans="1:12" ht="63.75">
      <c r="A10" s="91" t="s">
        <v>11</v>
      </c>
      <c r="B10" s="8" t="s">
        <v>12</v>
      </c>
      <c r="C10" s="91" t="s">
        <v>10</v>
      </c>
      <c r="D10" s="13">
        <v>58.660250000000005</v>
      </c>
      <c r="E10" s="9">
        <v>62.739166666666669</v>
      </c>
      <c r="F10" s="9">
        <v>58.660250000000005</v>
      </c>
      <c r="H10" s="47"/>
    </row>
    <row r="11" spans="1:12" ht="15.75">
      <c r="A11" s="91" t="s">
        <v>13</v>
      </c>
      <c r="B11" s="8" t="s">
        <v>14</v>
      </c>
      <c r="C11" s="91" t="s">
        <v>15</v>
      </c>
      <c r="D11" s="9">
        <v>476.48671200000001</v>
      </c>
      <c r="E11" s="9">
        <v>366.00599999999997</v>
      </c>
      <c r="F11" s="9">
        <v>312.27</v>
      </c>
      <c r="H11" s="47"/>
    </row>
    <row r="12" spans="1:12" ht="18" customHeight="1">
      <c r="A12" s="91" t="s">
        <v>16</v>
      </c>
      <c r="B12" s="8" t="s">
        <v>17</v>
      </c>
      <c r="C12" s="91" t="s">
        <v>15</v>
      </c>
      <c r="D12" s="9">
        <v>401.72450500000002</v>
      </c>
      <c r="E12" s="9">
        <v>314.76509999999996</v>
      </c>
      <c r="F12" s="9">
        <v>251.79993799999994</v>
      </c>
      <c r="H12" s="47"/>
    </row>
    <row r="13" spans="1:12" ht="15.75">
      <c r="A13" s="91" t="s">
        <v>18</v>
      </c>
      <c r="B13" s="8" t="s">
        <v>19</v>
      </c>
      <c r="C13" s="91" t="s">
        <v>20</v>
      </c>
      <c r="D13" s="9">
        <v>1420.6590000000001</v>
      </c>
      <c r="E13" s="9">
        <v>1246.32</v>
      </c>
      <c r="F13" s="9">
        <v>1263.2190000000001</v>
      </c>
      <c r="H13" s="47"/>
    </row>
    <row r="14" spans="1:12">
      <c r="A14" s="91" t="s">
        <v>21</v>
      </c>
      <c r="B14" s="8" t="s">
        <v>22</v>
      </c>
      <c r="C14" s="91" t="s">
        <v>20</v>
      </c>
      <c r="D14" s="9">
        <v>1419.8831100000002</v>
      </c>
      <c r="E14" s="9">
        <v>1245.5700999999999</v>
      </c>
      <c r="F14" s="9">
        <v>1262.3410000000001</v>
      </c>
    </row>
    <row r="15" spans="1:12" ht="13.5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>E16+E17</f>
        <v>551.06523087486005</v>
      </c>
      <c r="F15" s="12">
        <f>F16+F17</f>
        <v>602.30701023331494</v>
      </c>
    </row>
    <row r="16" spans="1:12">
      <c r="A16" s="91" t="s">
        <v>26</v>
      </c>
      <c r="B16" s="8" t="s">
        <v>27</v>
      </c>
      <c r="C16" s="91" t="s">
        <v>25</v>
      </c>
      <c r="D16" s="9" t="s">
        <v>1</v>
      </c>
      <c r="E16" s="9">
        <f>394830.14041382/1000</f>
        <v>394.83014041382</v>
      </c>
      <c r="F16" s="9">
        <f>448111.893041384/1000</f>
        <v>448.11189304138401</v>
      </c>
    </row>
    <row r="17" spans="1:6" ht="16.5" customHeight="1">
      <c r="A17" s="91" t="s">
        <v>28</v>
      </c>
      <c r="B17" s="8" t="s">
        <v>29</v>
      </c>
      <c r="C17" s="91" t="s">
        <v>25</v>
      </c>
      <c r="D17" s="9" t="s">
        <v>1</v>
      </c>
      <c r="E17" s="9">
        <f>156235.09046104/1000</f>
        <v>156.23509046104002</v>
      </c>
      <c r="F17" s="9">
        <f>154195.117191931/1000</f>
        <v>154.19511719193099</v>
      </c>
    </row>
    <row r="18" spans="1:6" ht="24.75" customHeight="1">
      <c r="A18" s="91" t="s">
        <v>30</v>
      </c>
      <c r="B18" s="8" t="s">
        <v>31</v>
      </c>
      <c r="C18" s="91" t="s">
        <v>25</v>
      </c>
      <c r="D18" s="9" t="s">
        <v>1</v>
      </c>
      <c r="E18" s="9" t="s">
        <v>1</v>
      </c>
      <c r="F18" s="9" t="s">
        <v>1</v>
      </c>
    </row>
    <row r="19" spans="1:6">
      <c r="A19" s="91" t="s">
        <v>32</v>
      </c>
      <c r="B19" s="8" t="s">
        <v>33</v>
      </c>
      <c r="C19" s="91" t="s">
        <v>25</v>
      </c>
      <c r="D19" s="9">
        <f>530039.57829/1000</f>
        <v>530.03957829000001</v>
      </c>
      <c r="E19" s="9">
        <f>394181.075262184/1000</f>
        <v>394.18107526218404</v>
      </c>
      <c r="F19" s="9">
        <f>447534.821468675/1000</f>
        <v>447.53482146867498</v>
      </c>
    </row>
    <row r="20" spans="1:6" ht="25.5">
      <c r="A20" s="91"/>
      <c r="B20" s="8" t="s">
        <v>34</v>
      </c>
      <c r="C20" s="14" t="s">
        <v>35</v>
      </c>
      <c r="D20" s="16">
        <v>221.36287239962689</v>
      </c>
      <c r="E20" s="16">
        <v>207.00000000000003</v>
      </c>
      <c r="F20" s="16">
        <v>207.00000000000003</v>
      </c>
    </row>
    <row r="21" spans="1:6">
      <c r="A21" s="91" t="s">
        <v>36</v>
      </c>
      <c r="B21" s="8" t="s">
        <v>37</v>
      </c>
      <c r="C21" s="91" t="s">
        <v>25</v>
      </c>
      <c r="D21" s="9">
        <f>1452861.87674/1000</f>
        <v>1452.8618767400001</v>
      </c>
      <c r="E21" s="9">
        <f>1249461.61750095/1000</f>
        <v>1249.4616175009498</v>
      </c>
      <c r="F21" s="9">
        <f>1753309.87677212/1000</f>
        <v>1753.3098767721199</v>
      </c>
    </row>
    <row r="22" spans="1:6" ht="25.5">
      <c r="A22" s="91"/>
      <c r="B22" s="8" t="s">
        <v>38</v>
      </c>
      <c r="C22" s="14" t="s">
        <v>39</v>
      </c>
      <c r="D22" s="16">
        <v>175.17644980252123</v>
      </c>
      <c r="E22" s="16">
        <v>168.5</v>
      </c>
      <c r="F22" s="16">
        <v>168.5</v>
      </c>
    </row>
    <row r="23" spans="1:6" ht="63.75">
      <c r="A23" s="91"/>
      <c r="B23" s="8" t="s">
        <v>40</v>
      </c>
      <c r="C23" s="14"/>
      <c r="D23" s="18" t="s">
        <v>1</v>
      </c>
      <c r="E23" s="17" t="s">
        <v>195</v>
      </c>
      <c r="F23" s="17" t="s">
        <v>195</v>
      </c>
    </row>
    <row r="24" spans="1:6">
      <c r="A24" s="10" t="s">
        <v>41</v>
      </c>
      <c r="B24" s="75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91"/>
      <c r="D25" s="18" t="s">
        <v>1</v>
      </c>
      <c r="E25" s="18" t="s">
        <v>1</v>
      </c>
      <c r="F25" s="18" t="s">
        <v>1</v>
      </c>
    </row>
    <row r="26" spans="1:6">
      <c r="A26" s="91" t="s">
        <v>45</v>
      </c>
      <c r="B26" s="8" t="s">
        <v>46</v>
      </c>
      <c r="C26" s="9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91" t="s">
        <v>48</v>
      </c>
      <c r="B27" s="8" t="s">
        <v>49</v>
      </c>
      <c r="C27" s="9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91" t="s">
        <v>51</v>
      </c>
      <c r="B28" s="8" t="s">
        <v>52</v>
      </c>
      <c r="C28" s="9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18" t="s">
        <v>1</v>
      </c>
      <c r="E29" s="12">
        <f t="shared" ref="E29:F29" si="0">SUM(E30:E32)</f>
        <v>551.06523087486005</v>
      </c>
      <c r="F29" s="12">
        <f t="shared" si="0"/>
        <v>602.30701023331494</v>
      </c>
    </row>
    <row r="30" spans="1:6">
      <c r="A30" s="20" t="s">
        <v>55</v>
      </c>
      <c r="B30" s="21" t="s">
        <v>56</v>
      </c>
      <c r="C30" s="91" t="s">
        <v>25</v>
      </c>
      <c r="D30" s="18" t="s">
        <v>1</v>
      </c>
      <c r="E30" s="9">
        <f>E16</f>
        <v>394.83014041382</v>
      </c>
      <c r="F30" s="9">
        <f>F16</f>
        <v>448.11189304138401</v>
      </c>
    </row>
    <row r="31" spans="1:6">
      <c r="A31" s="20" t="s">
        <v>57</v>
      </c>
      <c r="B31" s="8" t="s">
        <v>58</v>
      </c>
      <c r="C31" s="91" t="s">
        <v>25</v>
      </c>
      <c r="D31" s="18" t="s">
        <v>1</v>
      </c>
      <c r="E31" s="9">
        <f>E17</f>
        <v>156.23509046104002</v>
      </c>
      <c r="F31" s="9">
        <f>F17</f>
        <v>154.19511719193099</v>
      </c>
    </row>
    <row r="32" spans="1:6" ht="25.5">
      <c r="A32" s="20" t="s">
        <v>59</v>
      </c>
      <c r="B32" s="8" t="s">
        <v>60</v>
      </c>
      <c r="C32" s="9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1" t="s">
        <v>69</v>
      </c>
      <c r="B37" s="21" t="s">
        <v>56</v>
      </c>
      <c r="C37" s="91" t="s">
        <v>25</v>
      </c>
      <c r="D37" s="18" t="s">
        <v>1</v>
      </c>
      <c r="E37" s="18" t="s">
        <v>1</v>
      </c>
      <c r="F37" s="18" t="s">
        <v>1</v>
      </c>
    </row>
    <row r="38" spans="1:6">
      <c r="A38" s="91" t="s">
        <v>70</v>
      </c>
      <c r="B38" s="8" t="s">
        <v>58</v>
      </c>
      <c r="C38" s="9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91" t="s">
        <v>71</v>
      </c>
      <c r="B39" s="8" t="s">
        <v>60</v>
      </c>
      <c r="C39" s="9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1" t="s">
        <v>74</v>
      </c>
      <c r="B41" s="21" t="s">
        <v>56</v>
      </c>
      <c r="C41" s="91" t="s">
        <v>25</v>
      </c>
      <c r="D41" s="18" t="s">
        <v>1</v>
      </c>
      <c r="E41" s="18" t="s">
        <v>1</v>
      </c>
      <c r="F41" s="18" t="s">
        <v>1</v>
      </c>
    </row>
    <row r="42" spans="1:6">
      <c r="A42" s="91" t="s">
        <v>75</v>
      </c>
      <c r="B42" s="8" t="s">
        <v>58</v>
      </c>
      <c r="C42" s="9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91" t="s">
        <v>76</v>
      </c>
      <c r="B43" s="8" t="s">
        <v>60</v>
      </c>
      <c r="C43" s="9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75.7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64" t="s">
        <v>86</v>
      </c>
      <c r="C49" s="164"/>
      <c r="D49" s="164"/>
      <c r="E49" s="164"/>
      <c r="F49" s="164"/>
    </row>
    <row r="50" spans="1:9" ht="27.75" customHeight="1">
      <c r="A50" s="29"/>
      <c r="B50" s="164"/>
      <c r="C50" s="164"/>
      <c r="D50" s="164"/>
      <c r="E50" s="164"/>
      <c r="F50" s="164"/>
    </row>
    <row r="51" spans="1:9" ht="15.75">
      <c r="A51" s="64"/>
      <c r="B51" s="64"/>
      <c r="C51" s="64"/>
      <c r="D51" s="64"/>
      <c r="E51" s="166" t="s">
        <v>117</v>
      </c>
      <c r="F51" s="166"/>
      <c r="G51" s="166"/>
      <c r="H51" s="166"/>
      <c r="I51" s="166"/>
    </row>
    <row r="52" spans="1:9" ht="25.5" customHeight="1">
      <c r="A52" s="64"/>
      <c r="B52" s="64"/>
      <c r="C52" s="64"/>
      <c r="D52" s="64"/>
      <c r="E52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2" s="166"/>
      <c r="G52" s="166"/>
      <c r="H52" s="166"/>
      <c r="I52" s="166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62" t="s">
        <v>105</v>
      </c>
      <c r="B55" s="162"/>
      <c r="C55" s="162"/>
      <c r="D55" s="162"/>
      <c r="E55" s="162"/>
      <c r="F55" s="162"/>
      <c r="G55" s="162"/>
      <c r="H55" s="162"/>
      <c r="I55" s="162"/>
    </row>
    <row r="56" spans="1:9" ht="15.75" customHeight="1">
      <c r="A56" s="155" t="s">
        <v>152</v>
      </c>
      <c r="B56" s="155"/>
      <c r="C56" s="155"/>
      <c r="D56" s="155"/>
      <c r="E56" s="155"/>
      <c r="F56" s="155"/>
      <c r="G56" s="155"/>
      <c r="H56" s="155"/>
      <c r="I56" s="15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3.5" customHeight="1">
      <c r="A58" s="163" t="s">
        <v>106</v>
      </c>
      <c r="B58" s="163" t="s">
        <v>6</v>
      </c>
      <c r="C58" s="163" t="s">
        <v>186</v>
      </c>
      <c r="D58" s="163" t="str">
        <f>' ЦТЭЦ (ГТУ-1) ДПМ'!$D$58:$E$58</f>
        <v>Фактические показатели за год, предшествующий базовому периоду (2024г.)</v>
      </c>
      <c r="E58" s="163"/>
      <c r="F58" s="163" t="str">
        <f>' ЦТЭЦ (ГТУ-1) ДПМ'!$F$58:$G$58</f>
        <v>Показатели, утвержденные на базовый период (2025г.)*</v>
      </c>
      <c r="G58" s="163"/>
      <c r="H58" s="163" t="str">
        <f>' ЦТЭЦ (ГТУ-1) ДПМ'!$H$58:$I$58</f>
        <v>Предложения на расчетный период регулирования (2026г.)</v>
      </c>
      <c r="I58" s="163"/>
    </row>
    <row r="59" spans="1:9">
      <c r="A59" s="163"/>
      <c r="B59" s="163"/>
      <c r="C59" s="163"/>
      <c r="D59" s="92" t="s">
        <v>107</v>
      </c>
      <c r="E59" s="92" t="s">
        <v>108</v>
      </c>
      <c r="F59" s="92" t="s">
        <v>107</v>
      </c>
      <c r="G59" s="92" t="s">
        <v>108</v>
      </c>
      <c r="H59" s="92" t="s">
        <v>107</v>
      </c>
      <c r="I59" s="92" t="s">
        <v>108</v>
      </c>
    </row>
    <row r="60" spans="1:9">
      <c r="A60" s="66" t="s">
        <v>16</v>
      </c>
      <c r="B60" s="67" t="s">
        <v>110</v>
      </c>
      <c r="C60" s="66"/>
      <c r="D60" s="68"/>
      <c r="E60" s="68"/>
      <c r="F60" s="68"/>
      <c r="G60" s="68"/>
      <c r="H60" s="68"/>
      <c r="I60" s="68"/>
    </row>
    <row r="61" spans="1:9" ht="28.5">
      <c r="A61" s="114" t="s">
        <v>111</v>
      </c>
      <c r="B61" s="112" t="s">
        <v>112</v>
      </c>
      <c r="C61" s="114" t="s">
        <v>113</v>
      </c>
      <c r="D61" s="149">
        <v>942.93</v>
      </c>
      <c r="E61" s="149">
        <v>1042.1127817723493</v>
      </c>
      <c r="F61" s="149">
        <f>E61</f>
        <v>1042.1127817723493</v>
      </c>
      <c r="G61" s="113">
        <v>1254.3644146502281</v>
      </c>
      <c r="H61" s="113">
        <f>G61</f>
        <v>1254.3644146502281</v>
      </c>
      <c r="I61" s="113">
        <v>1779.6346440775706</v>
      </c>
    </row>
    <row r="62" spans="1:9" ht="28.5">
      <c r="A62" s="114"/>
      <c r="B62" s="112" t="s">
        <v>114</v>
      </c>
      <c r="C62" s="114" t="s">
        <v>113</v>
      </c>
      <c r="D62" s="149">
        <v>941.34</v>
      </c>
      <c r="E62" s="149">
        <v>1040.3241977723494</v>
      </c>
      <c r="F62" s="149">
        <f t="shared" ref="F62:F63" si="1">E62</f>
        <v>1040.3241977723494</v>
      </c>
      <c r="G62" s="113">
        <v>1252.3023526502282</v>
      </c>
      <c r="H62" s="113">
        <f t="shared" ref="H62:H63" si="2">G62</f>
        <v>1252.3023526502282</v>
      </c>
      <c r="I62" s="113">
        <v>1777.3428580775706</v>
      </c>
    </row>
    <row r="63" spans="1:9" ht="28.5">
      <c r="A63" s="114" t="s">
        <v>115</v>
      </c>
      <c r="B63" s="112" t="s">
        <v>116</v>
      </c>
      <c r="C63" s="114" t="s">
        <v>109</v>
      </c>
      <c r="D63" s="149">
        <v>183445.03</v>
      </c>
      <c r="E63" s="149">
        <v>196372.28049962776</v>
      </c>
      <c r="F63" s="149">
        <f t="shared" si="1"/>
        <v>196372.28049962776</v>
      </c>
      <c r="G63" s="113">
        <v>207519.34658180003</v>
      </c>
      <c r="H63" s="113">
        <f t="shared" si="2"/>
        <v>207519.34658180003</v>
      </c>
      <c r="I63" s="113">
        <v>219051.11381774794</v>
      </c>
    </row>
    <row r="64" spans="1:9">
      <c r="A64" s="71" t="s">
        <v>118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A56:I56"/>
    <mergeCell ref="A58:A59"/>
    <mergeCell ref="B58:B59"/>
    <mergeCell ref="C58:C59"/>
    <mergeCell ref="D58:E58"/>
    <mergeCell ref="F58:G58"/>
    <mergeCell ref="H58:I58"/>
    <mergeCell ref="A55:I55"/>
    <mergeCell ref="D1:F1"/>
    <mergeCell ref="D2:F2"/>
    <mergeCell ref="A4:F4"/>
    <mergeCell ref="A5:F5"/>
    <mergeCell ref="A6:F6"/>
    <mergeCell ref="H9:L9"/>
    <mergeCell ref="B49:F49"/>
    <mergeCell ref="B50:F50"/>
    <mergeCell ref="E51:I51"/>
    <mergeCell ref="E52:I52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L64"/>
  <sheetViews>
    <sheetView workbookViewId="0">
      <selection activeCell="D10" sqref="D10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5.5703125" customWidth="1"/>
    <col min="6" max="6" width="15.42578125" customWidth="1"/>
    <col min="7" max="7" width="15.140625" customWidth="1"/>
    <col min="8" max="8" width="14.5703125" customWidth="1"/>
    <col min="9" max="9" width="17.7109375" customWidth="1"/>
  </cols>
  <sheetData>
    <row r="1" spans="1:12">
      <c r="D1" s="168" t="s">
        <v>4</v>
      </c>
      <c r="E1" s="168"/>
      <c r="F1" s="168"/>
    </row>
    <row r="2" spans="1:12" ht="42.75" customHeight="1">
      <c r="A2" s="2"/>
      <c r="B2" s="2"/>
      <c r="C2" s="2"/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5" customHeight="1">
      <c r="A3" s="2"/>
      <c r="B3" s="2"/>
      <c r="C3" s="2"/>
      <c r="D3" s="1"/>
      <c r="E3" s="1"/>
      <c r="F3" s="1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149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77.2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67"/>
      <c r="I9" s="167"/>
      <c r="J9" s="167"/>
      <c r="K9" s="167"/>
      <c r="L9" s="167"/>
    </row>
    <row r="10" spans="1:12" ht="63.75">
      <c r="A10" s="7" t="s">
        <v>11</v>
      </c>
      <c r="B10" s="8" t="s">
        <v>12</v>
      </c>
      <c r="C10" s="7" t="s">
        <v>10</v>
      </c>
      <c r="D10" s="13">
        <v>172.76216666666667</v>
      </c>
      <c r="E10" s="9">
        <v>170.74666666666667</v>
      </c>
      <c r="F10" s="9">
        <v>172.76216666666667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1058.636456</v>
      </c>
      <c r="E11" s="9">
        <v>1016.1209</v>
      </c>
      <c r="F11" s="9">
        <v>776.2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976.68154399999992</v>
      </c>
      <c r="E12" s="9">
        <v>941.53440000000001</v>
      </c>
      <c r="F12" s="9">
        <v>714.97611399999994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596.04700000000003</v>
      </c>
      <c r="E13" s="9">
        <v>841.86</v>
      </c>
      <c r="F13" s="9">
        <v>446.86799999999999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593.49522999999999</v>
      </c>
      <c r="E14" s="9">
        <v>839.33990000000006</v>
      </c>
      <c r="F14" s="9">
        <v>444.572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1680.8068138927943</v>
      </c>
      <c r="F15" s="12">
        <f>F16+F17</f>
        <v>1576.5641148222801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f>1301516.82070721/1000</f>
        <v>1301.5168207072102</v>
      </c>
      <c r="F16" s="9">
        <f>1172332.72816909/1000</f>
        <v>1172.3327281690902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f>379289.993185584/1000</f>
        <v>379.28999318558402</v>
      </c>
      <c r="F17" s="9">
        <f>404231.38665319/1000</f>
        <v>404.23138665318999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f>1116307.837/1000</f>
        <v>1116.3078370000001</v>
      </c>
      <c r="E19" s="9">
        <f>1299575.31839927/1000</f>
        <v>1299.5753183992701</v>
      </c>
      <c r="F19" s="9">
        <f>1170694.15592069/1000</f>
        <v>1170.69415592069</v>
      </c>
    </row>
    <row r="20" spans="1:6" ht="25.5">
      <c r="A20" s="7"/>
      <c r="B20" s="8" t="s">
        <v>34</v>
      </c>
      <c r="C20" s="14" t="s">
        <v>35</v>
      </c>
      <c r="D20" s="16">
        <v>194.75348725878905</v>
      </c>
      <c r="E20" s="16">
        <v>199.3</v>
      </c>
      <c r="F20" s="16">
        <v>199.3</v>
      </c>
    </row>
    <row r="21" spans="1:6">
      <c r="A21" s="7" t="s">
        <v>36</v>
      </c>
      <c r="B21" s="8" t="s">
        <v>37</v>
      </c>
      <c r="C21" s="7" t="s">
        <v>25</v>
      </c>
      <c r="D21" s="9">
        <f>553747.51373/1000</f>
        <v>553.74751373000004</v>
      </c>
      <c r="E21" s="9">
        <f>928722.027269931/1000</f>
        <v>928.722027269931</v>
      </c>
      <c r="F21" s="9">
        <f>585054.112449433/1000</f>
        <v>585.05411244943298</v>
      </c>
    </row>
    <row r="22" spans="1:6" ht="25.5">
      <c r="A22" s="7"/>
      <c r="B22" s="8" t="s">
        <v>38</v>
      </c>
      <c r="C22" s="14" t="s">
        <v>39</v>
      </c>
      <c r="D22" s="16">
        <v>159.9991275855763</v>
      </c>
      <c r="E22" s="16">
        <v>160.1</v>
      </c>
      <c r="F22" s="16">
        <v>160.1</v>
      </c>
    </row>
    <row r="23" spans="1:6" ht="63.75">
      <c r="A23" s="7"/>
      <c r="B23" s="8" t="s">
        <v>40</v>
      </c>
      <c r="C23" s="14"/>
      <c r="D23" s="18" t="s">
        <v>1</v>
      </c>
      <c r="E23" s="17" t="s">
        <v>196</v>
      </c>
      <c r="F23" s="17" t="s">
        <v>196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0">SUM(E30:E32)</f>
        <v>1680.8068138927943</v>
      </c>
      <c r="F29" s="12">
        <f t="shared" si="0"/>
        <v>1576.5641148222801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1301.5168207072102</v>
      </c>
      <c r="F30" s="9">
        <f>F16</f>
        <v>1172.3327281690902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379.28999318558402</v>
      </c>
      <c r="F31" s="9">
        <f>F17</f>
        <v>404.23138665318999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8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18.7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 ht="15.75">
      <c r="A51" s="64"/>
      <c r="B51" s="64"/>
      <c r="C51" s="64"/>
      <c r="D51" s="64"/>
      <c r="E51" s="166" t="s">
        <v>117</v>
      </c>
      <c r="F51" s="166"/>
      <c r="G51" s="166"/>
      <c r="H51" s="166"/>
      <c r="I51" s="166"/>
    </row>
    <row r="52" spans="1:9" ht="26.45" customHeight="1">
      <c r="A52" s="64"/>
      <c r="B52" s="64"/>
      <c r="C52" s="64"/>
      <c r="D52" s="64"/>
      <c r="E52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2" s="166"/>
      <c r="G52" s="166"/>
      <c r="H52" s="166"/>
      <c r="I52" s="166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62" t="s">
        <v>105</v>
      </c>
      <c r="B55" s="162"/>
      <c r="C55" s="162"/>
      <c r="D55" s="162"/>
      <c r="E55" s="162"/>
      <c r="F55" s="162"/>
      <c r="G55" s="162"/>
      <c r="H55" s="162"/>
      <c r="I55" s="162"/>
    </row>
    <row r="56" spans="1:9" ht="15.75" customHeight="1">
      <c r="A56" s="155" t="s">
        <v>148</v>
      </c>
      <c r="B56" s="155"/>
      <c r="C56" s="155"/>
      <c r="D56" s="155"/>
      <c r="E56" s="155"/>
      <c r="F56" s="155"/>
      <c r="G56" s="155"/>
      <c r="H56" s="155"/>
      <c r="I56" s="155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2.95" customHeight="1">
      <c r="A58" s="163" t="s">
        <v>106</v>
      </c>
      <c r="B58" s="163" t="s">
        <v>6</v>
      </c>
      <c r="C58" s="163" t="s">
        <v>186</v>
      </c>
      <c r="D58" s="163" t="str">
        <f>' ЦТЭЦ (ГТУ-1) ДПМ'!$D$58:$E$58</f>
        <v>Фактические показатели за год, предшествующий базовому периоду (2024г.)</v>
      </c>
      <c r="E58" s="163"/>
      <c r="F58" s="163" t="str">
        <f>' ЦТЭЦ (ГТУ-1) ДПМ'!$F$58:$G$58</f>
        <v>Показатели, утвержденные на базовый период (2025г.)*</v>
      </c>
      <c r="G58" s="163"/>
      <c r="H58" s="163" t="str">
        <f>' ЦТЭЦ (ГТУ-1) ДПМ'!$H$58:$I$58</f>
        <v>Предложения на расчетный период регулирования (2026г.)</v>
      </c>
      <c r="I58" s="163"/>
    </row>
    <row r="59" spans="1:9">
      <c r="A59" s="163"/>
      <c r="B59" s="163"/>
      <c r="C59" s="163"/>
      <c r="D59" s="65" t="s">
        <v>107</v>
      </c>
      <c r="E59" s="65" t="s">
        <v>108</v>
      </c>
      <c r="F59" s="65" t="s">
        <v>107</v>
      </c>
      <c r="G59" s="65" t="s">
        <v>108</v>
      </c>
      <c r="H59" s="65" t="s">
        <v>107</v>
      </c>
      <c r="I59" s="65" t="s">
        <v>108</v>
      </c>
    </row>
    <row r="60" spans="1:9">
      <c r="A60" s="66" t="s">
        <v>16</v>
      </c>
      <c r="B60" s="67" t="s">
        <v>110</v>
      </c>
      <c r="C60" s="66"/>
      <c r="D60" s="68"/>
      <c r="E60" s="68"/>
      <c r="F60" s="68"/>
      <c r="G60" s="68"/>
      <c r="H60" s="68"/>
      <c r="I60" s="68"/>
    </row>
    <row r="61" spans="1:9" ht="28.5">
      <c r="A61" s="114" t="s">
        <v>111</v>
      </c>
      <c r="B61" s="112" t="s">
        <v>112</v>
      </c>
      <c r="C61" s="114" t="s">
        <v>113</v>
      </c>
      <c r="D61" s="113">
        <v>1127.2</v>
      </c>
      <c r="E61" s="113">
        <v>1151.7347854452566</v>
      </c>
      <c r="F61" s="113">
        <f>E61</f>
        <v>1151.7347854452566</v>
      </c>
      <c r="G61" s="113">
        <v>1382.3359196511626</v>
      </c>
      <c r="H61" s="113">
        <f>G61</f>
        <v>1382.3359196511626</v>
      </c>
      <c r="I61" s="113">
        <v>1639.6809700541869</v>
      </c>
    </row>
    <row r="62" spans="1:9" ht="28.5">
      <c r="A62" s="114"/>
      <c r="B62" s="112" t="s">
        <v>114</v>
      </c>
      <c r="C62" s="114" t="s">
        <v>113</v>
      </c>
      <c r="D62" s="113">
        <v>1125.6121876449749</v>
      </c>
      <c r="E62" s="113">
        <v>1149.9462014452567</v>
      </c>
      <c r="F62" s="113">
        <f t="shared" ref="F62:F63" si="1">E62</f>
        <v>1149.9462014452567</v>
      </c>
      <c r="G62" s="113">
        <v>1380.2738576511626</v>
      </c>
      <c r="H62" s="113">
        <f t="shared" ref="H62:H63" si="2">G62</f>
        <v>1380.2738576511626</v>
      </c>
      <c r="I62" s="113">
        <v>1637.3891840541869</v>
      </c>
    </row>
    <row r="63" spans="1:9" ht="28.5">
      <c r="A63" s="114" t="s">
        <v>115</v>
      </c>
      <c r="B63" s="112" t="s">
        <v>116</v>
      </c>
      <c r="C63" s="114" t="s">
        <v>109</v>
      </c>
      <c r="D63" s="113">
        <v>165536.42000000001</v>
      </c>
      <c r="E63" s="113">
        <v>176130.75173119997</v>
      </c>
      <c r="F63" s="113">
        <f t="shared" si="1"/>
        <v>176130.75173119997</v>
      </c>
      <c r="G63" s="113">
        <v>185113.42006949097</v>
      </c>
      <c r="H63" s="113">
        <f t="shared" si="2"/>
        <v>185113.42006949097</v>
      </c>
      <c r="I63" s="113">
        <v>194984.52431868753</v>
      </c>
    </row>
    <row r="64" spans="1:9">
      <c r="A64" s="71" t="s">
        <v>118</v>
      </c>
      <c r="B64" s="70"/>
      <c r="C64" s="70"/>
      <c r="D64" s="70"/>
      <c r="E64" s="70"/>
      <c r="F64" s="70"/>
      <c r="G64" s="70"/>
      <c r="H64" s="70"/>
      <c r="I64" s="70"/>
    </row>
  </sheetData>
  <mergeCells count="18">
    <mergeCell ref="H9:L9"/>
    <mergeCell ref="B49:F49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L65"/>
  <sheetViews>
    <sheetView workbookViewId="0">
      <selection activeCell="D10" sqref="D10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8.5703125" customWidth="1"/>
    <col min="5" max="5" width="15.28515625" customWidth="1"/>
    <col min="6" max="6" width="15.42578125" customWidth="1"/>
    <col min="7" max="7" width="15.28515625" customWidth="1"/>
    <col min="8" max="8" width="15.140625" customWidth="1"/>
    <col min="9" max="9" width="16" customWidth="1"/>
  </cols>
  <sheetData>
    <row r="1" spans="1:12">
      <c r="D1" s="168" t="s">
        <v>4</v>
      </c>
      <c r="E1" s="168"/>
      <c r="F1" s="168"/>
    </row>
    <row r="2" spans="1:12" ht="38.25" customHeight="1">
      <c r="D2" s="169" t="str">
        <f>' ЦТЭЦ (ГТУ-1) ДПМ'!$D$2:$F$2</f>
        <v>к предложению ПАО "ТГК-1" о размере цен (тарифов) на электрическую энергию (мощность) на 2026 год</v>
      </c>
      <c r="E2" s="169"/>
      <c r="F2" s="169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55" t="s">
        <v>92</v>
      </c>
      <c r="B4" s="155"/>
      <c r="C4" s="155"/>
      <c r="D4" s="155"/>
      <c r="E4" s="155"/>
      <c r="F4" s="155"/>
    </row>
    <row r="5" spans="1:12" ht="17.25" customHeight="1">
      <c r="A5" s="155" t="s">
        <v>150</v>
      </c>
      <c r="B5" s="155"/>
      <c r="C5" s="155"/>
      <c r="D5" s="155"/>
      <c r="E5" s="155"/>
      <c r="F5" s="155"/>
    </row>
    <row r="6" spans="1:12" ht="17.25" customHeight="1">
      <c r="A6" s="170" t="s">
        <v>5</v>
      </c>
      <c r="B6" s="170"/>
      <c r="C6" s="170"/>
      <c r="D6" s="170"/>
      <c r="E6" s="170"/>
      <c r="F6" s="170"/>
    </row>
    <row r="8" spans="1:12" ht="64.5" thickBot="1">
      <c r="A8" s="42" t="s">
        <v>0</v>
      </c>
      <c r="B8" s="42" t="s">
        <v>6</v>
      </c>
      <c r="C8" s="42" t="s">
        <v>7</v>
      </c>
      <c r="D8" s="125" t="str">
        <f>' ЦТЭЦ (ГТУ-1) ДПМ'!$D$8</f>
        <v xml:space="preserve">Фактические показатели за год, предшествующий базовому периоду (2024г.) </v>
      </c>
      <c r="E8" s="125" t="str">
        <f>' ЦТЭЦ (ГТУ-1) ДПМ'!$E$8</f>
        <v>Показатели, утвержденные на базовый период (2025г.)</v>
      </c>
      <c r="F8" s="125" t="str">
        <f>' ЦТЭЦ (ГТУ-1) ДПМ'!$F$8</f>
        <v>Предложения на расчетный период регулирования (2026г.)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67"/>
      <c r="I9" s="167"/>
      <c r="J9" s="167"/>
      <c r="K9" s="167"/>
      <c r="L9" s="167"/>
    </row>
    <row r="10" spans="1:12" ht="63.75">
      <c r="A10" s="7" t="s">
        <v>11</v>
      </c>
      <c r="B10" s="8" t="s">
        <v>12</v>
      </c>
      <c r="C10" s="7" t="s">
        <v>10</v>
      </c>
      <c r="D10" s="13">
        <v>168.86491666666666</v>
      </c>
      <c r="E10" s="9">
        <v>169.72749999999999</v>
      </c>
      <c r="F10" s="9">
        <v>168.86491666666666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839.23155000000008</v>
      </c>
      <c r="E11" s="9">
        <v>970.26800000000003</v>
      </c>
      <c r="F11" s="9">
        <v>948.28800000000001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776.69039000000009</v>
      </c>
      <c r="E12" s="9">
        <v>885.76620000000003</v>
      </c>
      <c r="F12" s="9">
        <v>854.14074400000004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393.85199999999998</v>
      </c>
      <c r="E13" s="9">
        <v>857.25</v>
      </c>
      <c r="F13" s="9">
        <v>547.33399999999995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392.15150999999997</v>
      </c>
      <c r="E14" s="9">
        <v>853.62990000000002</v>
      </c>
      <c r="F14" s="9">
        <v>545.24099999999999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SUM(E16:E17)</f>
        <v>1668.131496084934</v>
      </c>
      <c r="F15" s="12">
        <f>SUM(F16:F17)</f>
        <v>1872.8392517977879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f>1291105.4400268/1000</f>
        <v>1291.1054400267999</v>
      </c>
      <c r="F16" s="9">
        <f>1477726.70639341/1000</f>
        <v>1477.72670639341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f>377026.056058134/1000</f>
        <v>377.02605605813403</v>
      </c>
      <c r="F17" s="9">
        <f>395112.545404378/1000</f>
        <v>395.11254540437795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f>963394.68546/1000</f>
        <v>963.39468546000001</v>
      </c>
      <c r="E19" s="9">
        <f>1289278.9352049/1000</f>
        <v>1289.2789352049001</v>
      </c>
      <c r="F19" s="9">
        <f>1475769.19859428/1000</f>
        <v>1475.7691985942799</v>
      </c>
    </row>
    <row r="20" spans="1:6" ht="25.5">
      <c r="A20" s="7"/>
      <c r="B20" s="8" t="s">
        <v>34</v>
      </c>
      <c r="C20" s="14" t="s">
        <v>35</v>
      </c>
      <c r="D20" s="16">
        <v>211.30988048034285</v>
      </c>
      <c r="E20" s="16">
        <v>209.79999999999998</v>
      </c>
      <c r="F20" s="16">
        <v>209.79999999999998</v>
      </c>
    </row>
    <row r="21" spans="1:6">
      <c r="A21" s="7" t="s">
        <v>36</v>
      </c>
      <c r="B21" s="8" t="s">
        <v>37</v>
      </c>
      <c r="C21" s="7" t="s">
        <v>25</v>
      </c>
      <c r="D21" s="9">
        <f>361049.48943/1000</f>
        <v>361.04948942999999</v>
      </c>
      <c r="E21" s="9">
        <f>945699.157379177/1000</f>
        <v>945.699157379177</v>
      </c>
      <c r="F21" s="9">
        <f>716297.985182668/1000</f>
        <v>716.29798518266796</v>
      </c>
    </row>
    <row r="22" spans="1:6" ht="25.5">
      <c r="A22" s="7"/>
      <c r="B22" s="8" t="s">
        <v>38</v>
      </c>
      <c r="C22" s="14" t="s">
        <v>39</v>
      </c>
      <c r="D22" s="16">
        <v>160.00172653687173</v>
      </c>
      <c r="E22" s="16">
        <v>160.1</v>
      </c>
      <c r="F22" s="16">
        <v>160.1</v>
      </c>
    </row>
    <row r="23" spans="1:6" ht="63.75">
      <c r="A23" s="7"/>
      <c r="B23" s="8" t="s">
        <v>40</v>
      </c>
      <c r="C23" s="14"/>
      <c r="D23" s="18" t="s">
        <v>1</v>
      </c>
      <c r="E23" s="17" t="s">
        <v>196</v>
      </c>
      <c r="F23" s="17" t="s">
        <v>196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0">SUM(E30:E32)</f>
        <v>1668.131496084934</v>
      </c>
      <c r="F29" s="12">
        <f>SUM(F30:F32)</f>
        <v>1872.8392517977879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1291.1054400267999</v>
      </c>
      <c r="F30" s="9">
        <f>F16</f>
        <v>1477.72670639341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377.02605605813403</v>
      </c>
      <c r="F31" s="9">
        <f>F17</f>
        <v>395.11254540437795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7.5" customHeight="1">
      <c r="A46" s="25" t="s">
        <v>82</v>
      </c>
      <c r="B46" s="75" t="s">
        <v>83</v>
      </c>
      <c r="C46" s="76"/>
      <c r="D46" s="165" t="str">
        <f>'ЦТЭЦ (ГТУ-2) ДПМ'!$D$46:$F$46</f>
        <v xml:space="preserve">Распоряжение Комитета по тарифам Санкт-Петербурга от 30.12.2023 №108-р с учетом изменений, утв. распоряжением КТ СПб от 20.11.2024 №177-р     http://tgc1.ru/clients/spb/disclosure/   </v>
      </c>
      <c r="E46" s="165"/>
      <c r="F46" s="165"/>
    </row>
    <row r="47" spans="1:6" ht="13.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2" t="s">
        <v>86</v>
      </c>
      <c r="C49" s="172"/>
      <c r="D49" s="172"/>
      <c r="E49" s="172"/>
      <c r="F49" s="172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6" t="s">
        <v>117</v>
      </c>
      <c r="F52" s="166"/>
      <c r="G52" s="166"/>
      <c r="H52" s="166"/>
      <c r="I52" s="166"/>
    </row>
    <row r="53" spans="1:9" ht="30.75" customHeight="1">
      <c r="A53" s="64"/>
      <c r="B53" s="64"/>
      <c r="C53" s="64"/>
      <c r="D53" s="64"/>
      <c r="E53" s="166" t="str">
        <f>' ЦТЭЦ (ГТУ-1) ДПМ'!$E$52:$I$52</f>
        <v>к предложению ПАО "ТГК-1" о размере цен (тарифов) на электрическую энергию (мощность) на 2026 год</v>
      </c>
      <c r="F53" s="166"/>
      <c r="G53" s="166"/>
      <c r="H53" s="166"/>
      <c r="I53" s="166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2" t="s">
        <v>105</v>
      </c>
      <c r="B56" s="162"/>
      <c r="C56" s="162"/>
      <c r="D56" s="162"/>
      <c r="E56" s="162"/>
      <c r="F56" s="162"/>
      <c r="G56" s="162"/>
      <c r="H56" s="162"/>
      <c r="I56" s="162"/>
    </row>
    <row r="57" spans="1:9" ht="15.75" customHeight="1">
      <c r="A57" s="155" t="s">
        <v>151</v>
      </c>
      <c r="B57" s="155"/>
      <c r="C57" s="155"/>
      <c r="D57" s="155"/>
      <c r="E57" s="155"/>
      <c r="F57" s="155"/>
      <c r="G57" s="155"/>
      <c r="H57" s="155"/>
      <c r="I57" s="155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2" customHeight="1">
      <c r="A59" s="163" t="s">
        <v>106</v>
      </c>
      <c r="B59" s="163" t="s">
        <v>6</v>
      </c>
      <c r="C59" s="163" t="s">
        <v>186</v>
      </c>
      <c r="D59" s="163" t="str">
        <f>' ЦТЭЦ (ГТУ-1) ДПМ'!$D$58:$E$58</f>
        <v>Фактические показатели за год, предшествующий базовому периоду (2024г.)</v>
      </c>
      <c r="E59" s="163"/>
      <c r="F59" s="163" t="str">
        <f>' ЦТЭЦ (ГТУ-1) ДПМ'!$F$58:$G$58</f>
        <v>Показатели, утвержденные на базовый период (2025г.)*</v>
      </c>
      <c r="G59" s="163"/>
      <c r="H59" s="163" t="str">
        <f>' ЦТЭЦ (ГТУ-1) ДПМ'!$H$58:$I$58</f>
        <v>Предложения на расчетный период регулирования (2026г.)</v>
      </c>
      <c r="I59" s="163"/>
    </row>
    <row r="60" spans="1:9">
      <c r="A60" s="163"/>
      <c r="B60" s="163"/>
      <c r="C60" s="163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 customHeight="1">
      <c r="A62" s="114" t="s">
        <v>111</v>
      </c>
      <c r="B62" s="112" t="s">
        <v>112</v>
      </c>
      <c r="C62" s="114" t="s">
        <v>113</v>
      </c>
      <c r="D62" s="113">
        <v>1091.71</v>
      </c>
      <c r="E62" s="113">
        <v>1211.6035923476397</v>
      </c>
      <c r="F62" s="113">
        <f>E62</f>
        <v>1211.6035923476397</v>
      </c>
      <c r="G62" s="113">
        <v>1457.6142553495531</v>
      </c>
      <c r="H62" s="113">
        <f>G62</f>
        <v>1457.6142553495531</v>
      </c>
      <c r="I62" s="113">
        <v>1730.074015054143</v>
      </c>
    </row>
    <row r="63" spans="1:9" ht="28.5">
      <c r="A63" s="114"/>
      <c r="B63" s="112" t="s">
        <v>114</v>
      </c>
      <c r="C63" s="114" t="s">
        <v>113</v>
      </c>
      <c r="D63" s="113">
        <v>1090.1153488702287</v>
      </c>
      <c r="E63" s="113">
        <v>1209.8150083476398</v>
      </c>
      <c r="F63" s="113">
        <f t="shared" ref="F63:F64" si="1">E63</f>
        <v>1209.8150083476398</v>
      </c>
      <c r="G63" s="113">
        <v>1455.5521933495531</v>
      </c>
      <c r="H63" s="113">
        <f t="shared" ref="H63:H64" si="2">G63</f>
        <v>1455.5521933495531</v>
      </c>
      <c r="I63" s="113">
        <v>1727.782229054143</v>
      </c>
    </row>
    <row r="64" spans="1:9" ht="28.5">
      <c r="A64" s="114" t="s">
        <v>115</v>
      </c>
      <c r="B64" s="112" t="s">
        <v>116</v>
      </c>
      <c r="C64" s="114" t="s">
        <v>109</v>
      </c>
      <c r="D64" s="113">
        <v>165536.42000000001</v>
      </c>
      <c r="E64" s="113">
        <v>176130.75173119997</v>
      </c>
      <c r="F64" s="113">
        <f t="shared" si="1"/>
        <v>176130.75173119997</v>
      </c>
      <c r="G64" s="113">
        <v>185113.42006949097</v>
      </c>
      <c r="H64" s="113">
        <f t="shared" si="2"/>
        <v>185113.42006949097</v>
      </c>
      <c r="I64" s="113">
        <v>194984.52431868753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8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H9:L9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37</vt:i4>
      </vt:variant>
    </vt:vector>
  </HeadingPairs>
  <TitlesOfParts>
    <vt:vector size="70" baseType="lpstr">
      <vt:lpstr>Раздел 1</vt:lpstr>
      <vt:lpstr> ЦТЭЦ (ГТУ-1) ДПМ</vt:lpstr>
      <vt:lpstr>ЦТЭЦ (ГТУ-2) ДПМ</vt:lpstr>
      <vt:lpstr>ТЭЦ-5 Бл-1</vt:lpstr>
      <vt:lpstr>ТЭЦ-5 ПГУ-450</vt:lpstr>
      <vt:lpstr>ТЭЦ-7 ТГ-3</vt:lpstr>
      <vt:lpstr>ТЭЦ-7 ТГ-4,5</vt:lpstr>
      <vt:lpstr>ТЭЦ-14 БЛ-1</vt:lpstr>
      <vt:lpstr>ТЭЦ-14 БЛ-2</vt:lpstr>
      <vt:lpstr>ТЭЦ-15 без ДПМ</vt:lpstr>
      <vt:lpstr>ТЭЦ-15 Г-6 (МОД) </vt:lpstr>
      <vt:lpstr>ТЭЦ-15 Г-7 (МОД)</vt:lpstr>
      <vt:lpstr>ТЭЦ-17</vt:lpstr>
      <vt:lpstr>ТЭЦ-21 Г-4</vt:lpstr>
      <vt:lpstr>ТЭЦ-21 без ДПМ</vt:lpstr>
      <vt:lpstr>ТЭЦ-22 без ДПМ</vt:lpstr>
      <vt:lpstr>ТЭЦ-22 БЛ-4 </vt:lpstr>
      <vt:lpstr>ГЭС-6</vt:lpstr>
      <vt:lpstr>ГЭС-13</vt:lpstr>
      <vt:lpstr> ГЭС-10 ГГ-1</vt:lpstr>
      <vt:lpstr>ГЭС-10  ГГ-2</vt:lpstr>
      <vt:lpstr>ГЭС-10  ГГ-3</vt:lpstr>
      <vt:lpstr>ГЭС-10  ГГ-4</vt:lpstr>
      <vt:lpstr>ГЭС-11 ГГ-1</vt:lpstr>
      <vt:lpstr>ГЭС-11 ГГ-2</vt:lpstr>
      <vt:lpstr>ГЭС-11 ГГ-3</vt:lpstr>
      <vt:lpstr>ГЭС-11 ГГ-4</vt:lpstr>
      <vt:lpstr>Каскад-2</vt:lpstr>
      <vt:lpstr>Каскады Кольских ГЭС</vt:lpstr>
      <vt:lpstr>Апатитская ТЭЦ</vt:lpstr>
      <vt:lpstr>Петрозаводская ТЭЦ</vt:lpstr>
      <vt:lpstr>Каскад Выгских ГЭС</vt:lpstr>
      <vt:lpstr>Каскад Кемских ГЭС</vt:lpstr>
      <vt:lpstr>' ГЭС-10 ГГ-1'!Заголовки_для_печати</vt:lpstr>
      <vt:lpstr>' ЦТЭЦ (ГТУ-1) ДПМ'!Заголовки_для_печати</vt:lpstr>
      <vt:lpstr>'Апатитская ТЭЦ'!Заголовки_для_печати</vt:lpstr>
      <vt:lpstr>'ГЭС-10  ГГ-2'!Заголовки_для_печати</vt:lpstr>
      <vt:lpstr>'ГЭС-10  ГГ-3'!Заголовки_для_печати</vt:lpstr>
      <vt:lpstr>'ГЭС-10  ГГ-4'!Заголовки_для_печати</vt:lpstr>
      <vt:lpstr>'ГЭС-11 ГГ-1'!Заголовки_для_печати</vt:lpstr>
      <vt:lpstr>'ГЭС-11 ГГ-2'!Заголовки_для_печати</vt:lpstr>
      <vt:lpstr>'ГЭС-11 ГГ-3'!Заголовки_для_печати</vt:lpstr>
      <vt:lpstr>'ГЭС-11 ГГ-4'!Заголовки_для_печати</vt:lpstr>
      <vt:lpstr>'ГЭС-13'!Заголовки_для_печати</vt:lpstr>
      <vt:lpstr>'ГЭС-6'!Заголовки_для_печати</vt:lpstr>
      <vt:lpstr>'Каскад Выгских ГЭС'!Заголовки_для_печати</vt:lpstr>
      <vt:lpstr>'Каскад Кемских ГЭС'!Заголовки_для_печати</vt:lpstr>
      <vt:lpstr>'Каскад-2'!Заголовки_для_печати</vt:lpstr>
      <vt:lpstr>'Каскады Кольских ГЭС'!Заголовки_для_печати</vt:lpstr>
      <vt:lpstr>'Петрозаводская ТЭЦ'!Заголовки_для_печати</vt:lpstr>
      <vt:lpstr>'ТЭЦ-14 БЛ-1'!Заголовки_для_печати</vt:lpstr>
      <vt:lpstr>'ТЭЦ-14 БЛ-2'!Заголовки_для_печати</vt:lpstr>
      <vt:lpstr>'ТЭЦ-15 без ДПМ'!Заголовки_для_печати</vt:lpstr>
      <vt:lpstr>'ТЭЦ-15 Г-6 (МОД) '!Заголовки_для_печати</vt:lpstr>
      <vt:lpstr>'ТЭЦ-15 Г-7 (МОД)'!Заголовки_для_печати</vt:lpstr>
      <vt:lpstr>'ТЭЦ-17'!Заголовки_для_печати</vt:lpstr>
      <vt:lpstr>'ТЭЦ-21 без ДПМ'!Заголовки_для_печати</vt:lpstr>
      <vt:lpstr>'ТЭЦ-21 Г-4'!Заголовки_для_печати</vt:lpstr>
      <vt:lpstr>'ТЭЦ-22 без ДПМ'!Заголовки_для_печати</vt:lpstr>
      <vt:lpstr>'ТЭЦ-22 БЛ-4 '!Заголовки_для_печати</vt:lpstr>
      <vt:lpstr>'ТЭЦ-5 Бл-1'!Заголовки_для_печати</vt:lpstr>
      <vt:lpstr>'ТЭЦ-5 ПГУ-450'!Заголовки_для_печати</vt:lpstr>
      <vt:lpstr>'ТЭЦ-7 ТГ-3'!Заголовки_для_печати</vt:lpstr>
      <vt:lpstr>'ТЭЦ-7 ТГ-4,5'!Заголовки_для_печати</vt:lpstr>
      <vt:lpstr>'ЦТЭЦ (ГТУ-2) ДПМ'!Заголовки_для_печати</vt:lpstr>
      <vt:lpstr>'Апатитская ТЭЦ'!Область_печати</vt:lpstr>
      <vt:lpstr>'Каскады Кольских ГЭС'!Область_печати</vt:lpstr>
      <vt:lpstr>'ТЭЦ-5 Бл-1'!Область_печати</vt:lpstr>
      <vt:lpstr>'ТЭЦ-7 ТГ-3'!Область_печати</vt:lpstr>
      <vt:lpstr>'ТЭЦ-7 ТГ-4,5'!Область_печати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Клементьева Наталья Александровна</cp:lastModifiedBy>
  <cp:lastPrinted>2022-05-12T12:10:31Z</cp:lastPrinted>
  <dcterms:created xsi:type="dcterms:W3CDTF">2013-04-30T07:59:12Z</dcterms:created>
  <dcterms:modified xsi:type="dcterms:W3CDTF">2025-06-02T10:56:01Z</dcterms:modified>
</cp:coreProperties>
</file>