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75" windowWidth="18195" windowHeight="7230" activeTab="6"/>
  </bookViews>
  <sheets>
    <sheet name="титул" sheetId="29" r:id="rId1"/>
    <sheet name="тарифы" sheetId="33" r:id="rId2"/>
    <sheet name="ЦТЭЦ" sheetId="1" r:id="rId3"/>
    <sheet name="ТЭЦ-8" sheetId="6" r:id="rId4"/>
    <sheet name="ТЭЦ-15" sheetId="10" r:id="rId5"/>
    <sheet name="ТЭЦ-17" sheetId="11" r:id="rId6"/>
    <sheet name="Апатитская ТЭЦ" sheetId="3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Titles" localSheetId="6">'Апатитская ТЭЦ'!$8:$8</definedName>
    <definedName name="_xlnm.Print_Titles" localSheetId="4">'ТЭЦ-15'!$8:$8</definedName>
    <definedName name="_xlnm.Print_Titles" localSheetId="5">'ТЭЦ-17'!$8:$8</definedName>
    <definedName name="_xlnm.Print_Titles" localSheetId="3">'ТЭЦ-8'!$8:$8</definedName>
    <definedName name="_xlnm.Print_Titles" localSheetId="2">ЦТЭЦ!$8:$8</definedName>
  </definedNames>
  <calcPr calcId="145621"/>
</workbook>
</file>

<file path=xl/calcChain.xml><?xml version="1.0" encoding="utf-8"?>
<calcChain xmlns="http://schemas.openxmlformats.org/spreadsheetml/2006/main">
  <c r="E15" i="32" l="1"/>
  <c r="E29" i="32"/>
  <c r="E32" i="32"/>
  <c r="F17" i="32"/>
  <c r="E36" i="32" l="1"/>
  <c r="E31" i="32"/>
  <c r="E30" i="32"/>
  <c r="F31" i="32" l="1"/>
  <c r="F32" i="32"/>
  <c r="F30" i="32"/>
  <c r="D31" i="32"/>
  <c r="D32" i="32"/>
  <c r="D30" i="32"/>
  <c r="F24" i="32"/>
  <c r="D24" i="32"/>
  <c r="D21" i="32"/>
  <c r="F21" i="32"/>
  <c r="F19" i="32"/>
  <c r="D19" i="32"/>
  <c r="F16" i="32"/>
  <c r="D17" i="32"/>
  <c r="D16" i="32"/>
  <c r="D36" i="32"/>
  <c r="F36" i="32"/>
  <c r="F22" i="32"/>
  <c r="D22" i="32"/>
  <c r="D20" i="32"/>
  <c r="F15" i="32"/>
  <c r="D15" i="32"/>
  <c r="F9" i="32"/>
  <c r="F29" i="32" l="1"/>
  <c r="D29" i="32"/>
  <c r="F31" i="11" l="1"/>
  <c r="F32" i="11"/>
  <c r="F30" i="11"/>
  <c r="D31" i="11"/>
  <c r="D32" i="11"/>
  <c r="D30" i="11"/>
  <c r="F27" i="11"/>
  <c r="D27" i="11"/>
  <c r="F24" i="11"/>
  <c r="F21" i="11"/>
  <c r="D21" i="11"/>
  <c r="F19" i="11"/>
  <c r="D19" i="11"/>
  <c r="F18" i="11"/>
  <c r="D18" i="11"/>
  <c r="F17" i="11"/>
  <c r="F16" i="11"/>
  <c r="D17" i="11"/>
  <c r="D16" i="11"/>
  <c r="F31" i="10"/>
  <c r="F32" i="10"/>
  <c r="F30" i="10"/>
  <c r="D31" i="10"/>
  <c r="D32" i="10"/>
  <c r="D30" i="10"/>
  <c r="F27" i="10"/>
  <c r="D27" i="10"/>
  <c r="F24" i="10"/>
  <c r="F21" i="10"/>
  <c r="D21" i="10"/>
  <c r="F19" i="10"/>
  <c r="D19" i="10"/>
  <c r="F18" i="10"/>
  <c r="D18" i="10"/>
  <c r="F17" i="10"/>
  <c r="F16" i="10"/>
  <c r="D17" i="10"/>
  <c r="D16" i="10"/>
  <c r="F32" i="6"/>
  <c r="F31" i="6"/>
  <c r="F30" i="6"/>
  <c r="D31" i="6"/>
  <c r="D30" i="6"/>
  <c r="D27" i="6"/>
  <c r="F27" i="6"/>
  <c r="F24" i="6"/>
  <c r="F21" i="6"/>
  <c r="F19" i="6"/>
  <c r="F17" i="6"/>
  <c r="F16" i="6"/>
  <c r="D17" i="6"/>
  <c r="D16" i="6"/>
  <c r="F18" i="1"/>
  <c r="F32" i="1"/>
  <c r="E32" i="1"/>
  <c r="E18" i="1"/>
  <c r="D32" i="1"/>
  <c r="D18" i="1"/>
  <c r="D17" i="1"/>
  <c r="D16" i="1"/>
  <c r="D30" i="1"/>
  <c r="F17" i="1"/>
  <c r="E17" i="1"/>
  <c r="F16" i="1"/>
  <c r="E16" i="1"/>
  <c r="F31" i="1"/>
  <c r="E31" i="1"/>
  <c r="D31" i="1"/>
  <c r="E30" i="1"/>
  <c r="F30" i="1"/>
  <c r="F27" i="1"/>
  <c r="E27" i="1"/>
  <c r="D27" i="1"/>
  <c r="F21" i="1"/>
  <c r="E21" i="1"/>
  <c r="D21" i="1"/>
  <c r="F19" i="1"/>
  <c r="E19" i="1"/>
  <c r="D19" i="1"/>
  <c r="F24" i="1"/>
  <c r="E24" i="1"/>
  <c r="E36" i="6" l="1"/>
  <c r="F36" i="6"/>
  <c r="D36" i="6" l="1"/>
  <c r="D36" i="11" l="1"/>
  <c r="D36" i="10"/>
  <c r="E36" i="1"/>
  <c r="D36" i="1"/>
  <c r="F9" i="11" l="1"/>
  <c r="F10" i="10"/>
  <c r="F9" i="10"/>
  <c r="F10" i="6"/>
  <c r="F9" i="6"/>
  <c r="E9" i="1"/>
  <c r="F9" i="1"/>
  <c r="D24" i="11"/>
  <c r="D24" i="10"/>
  <c r="D24" i="6"/>
  <c r="D24" i="1"/>
  <c r="F29" i="6" l="1"/>
  <c r="F36" i="1"/>
  <c r="F36" i="10"/>
  <c r="F36" i="11"/>
  <c r="E29" i="1"/>
  <c r="F15" i="11" l="1"/>
  <c r="F29" i="11"/>
  <c r="F29" i="10"/>
  <c r="F15" i="10"/>
  <c r="F15" i="6"/>
  <c r="F29" i="1" l="1"/>
  <c r="E15" i="1" l="1"/>
  <c r="D21" i="6" l="1"/>
  <c r="D19" i="6"/>
  <c r="F15" i="1" l="1"/>
  <c r="D15" i="11" l="1"/>
  <c r="D15" i="10"/>
  <c r="D15" i="6"/>
  <c r="D15" i="1" l="1"/>
  <c r="D29" i="10" l="1"/>
  <c r="D29" i="11"/>
  <c r="D29" i="6" l="1"/>
  <c r="D29" i="1" l="1"/>
</calcChain>
</file>

<file path=xl/sharedStrings.xml><?xml version="1.0" encoding="utf-8"?>
<sst xmlns="http://schemas.openxmlformats.org/spreadsheetml/2006/main" count="819" uniqueCount="141">
  <si>
    <t>Реквизиты инвестиционной программы (кем утверждена, дата утверждения, номер приказа/решения, Интернет-адрес размещения)</t>
  </si>
  <si>
    <t>15.</t>
  </si>
  <si>
    <t>%</t>
  </si>
  <si>
    <t>Рентабельность продаж (величина прибыли от продажи в каждом рубле выручки).</t>
  </si>
  <si>
    <t>14.</t>
  </si>
  <si>
    <t>млн.руб.</t>
  </si>
  <si>
    <t>Чистая прибыль (убыток)</t>
  </si>
  <si>
    <t>13.</t>
  </si>
  <si>
    <t>12.</t>
  </si>
  <si>
    <t>Объем перекрестного субсидирования всего, в том числе:</t>
  </si>
  <si>
    <t>11.</t>
  </si>
  <si>
    <t>10.</t>
  </si>
  <si>
    <t>тыс. руб./чел.</t>
  </si>
  <si>
    <t xml:space="preserve">Среднемесячная заработная плата на одного работника </t>
  </si>
  <si>
    <t>чел.</t>
  </si>
  <si>
    <t>Среднесписочная численность персонала</t>
  </si>
  <si>
    <t>Показатели численности персонала и фонда оплаты труда по регулируемым видам деятельности</t>
  </si>
  <si>
    <t>9.</t>
  </si>
  <si>
    <t>Амортизация</t>
  </si>
  <si>
    <t>8.2.</t>
  </si>
  <si>
    <t>кг/Гкал</t>
  </si>
  <si>
    <t>топливо на т/э</t>
  </si>
  <si>
    <t>г/кВтч</t>
  </si>
  <si>
    <t>топливо на э/э</t>
  </si>
  <si>
    <t>8.1.</t>
  </si>
  <si>
    <t>7.</t>
  </si>
  <si>
    <t>тыс.Гкал</t>
  </si>
  <si>
    <t>Отпуск тепловой энергии в сеть</t>
  </si>
  <si>
    <t>6.</t>
  </si>
  <si>
    <t>Отпуск тепловой энергии с коллекторов</t>
  </si>
  <si>
    <t>5.</t>
  </si>
  <si>
    <t>млн.кВтч</t>
  </si>
  <si>
    <t>Полезный отпуск электрической энергии</t>
  </si>
  <si>
    <t>4.</t>
  </si>
  <si>
    <t>Производство электрической энергии</t>
  </si>
  <si>
    <t>3.</t>
  </si>
  <si>
    <t>МВт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</si>
  <si>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</si>
  <si>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2.</t>
  </si>
  <si>
    <t>Установленная мощность</t>
  </si>
  <si>
    <t>1.</t>
  </si>
  <si>
    <t>Факт 2013 г.</t>
  </si>
  <si>
    <t>Ед.изм.</t>
  </si>
  <si>
    <t>Наименование показателей</t>
  </si>
  <si>
    <t>№ п/п</t>
  </si>
  <si>
    <t>Предложение ОАО "ТГК-1" на 2015 г.</t>
  </si>
  <si>
    <t>УРУТ (удельный расход условного топлива) на э/э</t>
  </si>
  <si>
    <t>УРУТ (удельный расход условного топлива) на т/э</t>
  </si>
  <si>
    <t>Реквизиты решения по УРУТ на отпуск электрической и тепловой энергии</t>
  </si>
  <si>
    <t>Утверждено                     на 2014 г.</t>
  </si>
  <si>
    <t>Необходимая валовая выручка  всего: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</si>
  <si>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</si>
  <si>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</si>
  <si>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</si>
  <si>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</si>
  <si>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</si>
  <si>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</si>
  <si>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10.1.</t>
  </si>
  <si>
    <t>10.2.</t>
  </si>
  <si>
    <t>10.3.</t>
  </si>
  <si>
    <t>Реквизиты отраслевого тарифного соглашения (дата утверждения, срок действия)</t>
  </si>
  <si>
    <t>Расходы на производство в т.ч.:</t>
  </si>
  <si>
    <t>11.1.</t>
  </si>
  <si>
    <t>относимые на электрическую энергию</t>
  </si>
  <si>
    <t>относимые на электрическую мощность</t>
  </si>
  <si>
    <t>относимые на тепловую энергию отпускаемую с коллекторов источников</t>
  </si>
  <si>
    <t>11.2.</t>
  </si>
  <si>
    <t>11.3.</t>
  </si>
  <si>
    <t>- от производства тепловой энергии</t>
  </si>
  <si>
    <t>- от производства электрической энергии</t>
  </si>
  <si>
    <t>12.1.</t>
  </si>
  <si>
    <t>12.2.</t>
  </si>
  <si>
    <t>Необходимые расходы из прибыли, в т.ч.</t>
  </si>
  <si>
    <t>13.1.</t>
  </si>
  <si>
    <t>13.2.</t>
  </si>
  <si>
    <t>13.3.</t>
  </si>
  <si>
    <t>Капитальные вложения из прибыли (с учетом налога на прибыль), в т.ч.</t>
  </si>
  <si>
    <t>14.1.</t>
  </si>
  <si>
    <t>14.2.</t>
  </si>
  <si>
    <t>14.3.</t>
  </si>
  <si>
    <t>16.</t>
  </si>
  <si>
    <t>17.</t>
  </si>
  <si>
    <t>Примечание: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</si>
  <si>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</si>
  <si>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>Основные показатели деятельности генерирующих объектов ОАО "ТГК-1"</t>
  </si>
  <si>
    <t>Дубровская ТЭЦ-8</t>
  </si>
  <si>
    <t xml:space="preserve">Автовская ТЭЦ-15 </t>
  </si>
  <si>
    <t>Выборгская ТЭЦ-17</t>
  </si>
  <si>
    <t>-</t>
  </si>
  <si>
    <t>Приказ Минэнерго РФ №857 от 26.11.13</t>
  </si>
  <si>
    <t>(Ленинградская область)</t>
  </si>
  <si>
    <t>http://www.tgc1.ru/clients/tgk-1-v-sankt-peterburge-i-leningradskoi-oblasti/rezultaty-reguliruemoi-dejatelnosti/</t>
  </si>
  <si>
    <t>Примечания:</t>
  </si>
  <si>
    <t>Инвестиционная программа ОАО "ТГК-1" по Санкт-Петербургу на 2012-2014гг. (в части производства тепловой энергии) согласована Комитетом по энергетике и инженерному обеспечению Правительства СПб (письмо от 13.05.2013 №15-6658/13-0-1)</t>
  </si>
  <si>
    <t>*</t>
  </si>
  <si>
    <t>(г.Санкт-Петербург)</t>
  </si>
  <si>
    <t>Инвестиционная программа ОАО "ТГК-1" по Ленинградской области на 2014-2016 гг. (в части производства тепловой энергии) согласована Комитетом по энергетическому комплексу и жилищно-коммунальному хозяйству Правительства Ленинградской области (письмо от 13.05.2013 №ТЭК-03-1740/13-0-2)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</si>
  <si>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</si>
  <si>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</si>
  <si>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</si>
  <si>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</si>
  <si>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</si>
  <si>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</si>
  <si>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</si>
  <si>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</si>
  <si>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>Контактный телефон</t>
  </si>
  <si>
    <t>Факс</t>
  </si>
  <si>
    <t>Предложение о размере цен (тарифов)</t>
  </si>
  <si>
    <t>на 2015 год</t>
  </si>
  <si>
    <t>Открытое акционерное общество "Территориальная генерирующая компания №1"</t>
  </si>
  <si>
    <t>ОАО "ТГК-1"</t>
  </si>
  <si>
    <t>198188, Российская Федерация, Санкт-Петербург, ул. Броневая, д. 6, литера Б</t>
  </si>
  <si>
    <t>197198, Санкт-Петербург, БЦ «Арена Холл», пр. Добролюбова, 16, корп.2, литера А</t>
  </si>
  <si>
    <t>Филиппов Андрей Николаевич - генеральный директор ОАО "ТГК-1"</t>
  </si>
  <si>
    <t xml:space="preserve">office@tgc1.ru </t>
  </si>
  <si>
    <t>+7 (812) 901-36-06</t>
  </si>
  <si>
    <t>+7 (812) 901-34-77</t>
  </si>
  <si>
    <t>Коллективный договор ОАО "ТГК-1" на 2012-2014гг., от 08.02.2012</t>
  </si>
  <si>
    <t>Раздел 1. Информация об организации</t>
  </si>
  <si>
    <t>Утверждено                     на 2014г.</t>
  </si>
  <si>
    <t>Центральная ТЭЦ (ТЭЦ-2)</t>
  </si>
  <si>
    <t>Коллективный договор ОАО "ТГК-1" на 2014-2016гг., от 01.02.2014</t>
  </si>
  <si>
    <t>на электрическую энергию (мощность), производимую с использованием</t>
  </si>
  <si>
    <t>генерирующих объектов, мощность которых поставляется в вынужденном режиме</t>
  </si>
  <si>
    <t>к предложению ОАО "ТГК-1"                             о размере цен (тарифов) на электрическую энергию (мощность), производимую в вынужденном режиме на 2015 год</t>
  </si>
  <si>
    <t>Основные показатели деятельности генерирующих объектов ОАО "ТГК-1"*</t>
  </si>
  <si>
    <t>Апатитская ТЭЦ филиала "Кольский" *</t>
  </si>
  <si>
    <t>(Мурманская область)</t>
  </si>
  <si>
    <t>Приказ Минэнерго РФ №164 от 01.04.14</t>
  </si>
  <si>
    <t>Предложение о размере цен (тарифов) на 2015 год для электростанций ОАО "ТГК-1", осуществляющих поставку  электрической энергии и мощности в вынужденном режиме</t>
  </si>
  <si>
    <t>Субъект ОРЭ</t>
  </si>
  <si>
    <t>Наименование генерирующих объектов</t>
  </si>
  <si>
    <t>Цена на электрическую энергию, руб./МВт.ч (без НДС)</t>
  </si>
  <si>
    <t>Цена на мощность, руб./МВт. в месяц (без НДС)</t>
  </si>
  <si>
    <t>ОАО «Территориальная генерирующая компания № 1" (ОАО «ТГК-1»)</t>
  </si>
  <si>
    <t>Автовская ТЭЦ - 15</t>
  </si>
  <si>
    <t>Выборгская ТЭЦ - 17</t>
  </si>
  <si>
    <t>Апатитская ТЭЦ</t>
  </si>
  <si>
    <t xml:space="preserve">Приложение </t>
  </si>
  <si>
    <t xml:space="preserve"> Основные показатели деятельности генерирующих объектов ОАО "ТГК-1"*</t>
  </si>
  <si>
    <t>Центральная ТЭЦ-2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</si>
</sst>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_ ;[Red]\-#,##0.000\ 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0" borderId="0"/>
  </cellStyleXfs>
  <cellXfs count="10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/>
    <xf numFmtId="49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" fontId="1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10" fillId="0" borderId="0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vertical="center" wrapText="1"/>
    </xf>
    <xf numFmtId="4" fontId="14" fillId="0" borderId="9" xfId="2" applyNumberFormat="1" applyFont="1" applyFill="1" applyBorder="1" applyAlignment="1">
      <alignment horizontal="center"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4" fontId="14" fillId="0" borderId="6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 wrapText="1"/>
    </xf>
    <xf numFmtId="4" fontId="14" fillId="0" borderId="2" xfId="2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 applyProtection="1">
      <alignment horizontal="left" vertical="center" wrapText="1"/>
    </xf>
    <xf numFmtId="0" fontId="14" fillId="2" borderId="1" xfId="2" applyFont="1" applyFill="1" applyBorder="1" applyAlignment="1">
      <alignment horizontal="left" vertical="top" wrapText="1"/>
    </xf>
    <xf numFmtId="4" fontId="14" fillId="2" borderId="6" xfId="2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4" xfId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3" fontId="14" fillId="0" borderId="7" xfId="2" applyNumberFormat="1" applyFont="1" applyFill="1" applyBorder="1" applyAlignment="1">
      <alignment horizontal="center" vertical="top"/>
    </xf>
    <xf numFmtId="3" fontId="14" fillId="0" borderId="8" xfId="2" applyNumberFormat="1" applyFont="1" applyFill="1" applyBorder="1" applyAlignment="1">
      <alignment horizontal="center" vertical="top"/>
    </xf>
    <xf numFmtId="3" fontId="14" fillId="0" borderId="2" xfId="2" applyNumberFormat="1" applyFont="1" applyFill="1" applyBorder="1" applyAlignment="1">
      <alignment horizontal="center" vertical="top"/>
    </xf>
    <xf numFmtId="0" fontId="14" fillId="0" borderId="7" xfId="2" applyFont="1" applyFill="1" applyBorder="1" applyAlignment="1">
      <alignment horizontal="center" vertical="top" wrapText="1"/>
    </xf>
    <xf numFmtId="0" fontId="14" fillId="0" borderId="8" xfId="2" applyFont="1" applyFill="1" applyBorder="1" applyAlignment="1">
      <alignment horizontal="center" vertical="top" wrapText="1"/>
    </xf>
    <xf numFmtId="0" fontId="14" fillId="0" borderId="2" xfId="2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7" fillId="0" borderId="4" xfId="1" applyBorder="1" applyAlignment="1">
      <alignment horizontal="center" vertical="center" wrapText="1"/>
    </xf>
    <xf numFmtId="0" fontId="7" fillId="0" borderId="5" xfId="1" applyBorder="1" applyAlignment="1">
      <alignment horizontal="center" vertical="center" wrapText="1"/>
    </xf>
    <xf numFmtId="0" fontId="7" fillId="0" borderId="6" xfId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%20&#1096;&#1072;&#1073;&#1083;&#1086;&#1085;&#1072;&#1093;%20&#1045;&#1048;&#1040;&#1057;/&#1053;&#1077;&#1074;&#1089;&#1082;&#1080;&#1081;/&#1058;&#1069;&#1057;/&#1058;&#1043;&#1050;-1_&#1062;&#1077;&#1085;&#1090;&#1088;&#1072;&#1083;&#1100;&#1085;&#1072;&#1103;%20&#1058;&#1069;&#1062;_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5/&#1060;&#1057;&#1058;/&#1048;&#1085;&#1076;&#1077;&#1082;&#1089;&#1072;&#1094;&#1080;&#1103;/&#1074;&#1089;&#1087;&#1086;&#1084;&#1086;&#1075;&#1072;&#1090;&#1077;&#1083;&#1100;&#1085;&#1086;/&#1060;&#1072;&#1082;&#1090;.&#1079;&#1072;&#1090;&#1088;&#1072;&#1090;&#1099;_2013_&#1053;&#10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%20&#1096;&#1072;&#1073;&#1083;&#1086;&#1085;&#1072;&#1093;%20&#1045;&#1048;&#1040;&#1057;/&#1053;&#1077;&#1074;&#1089;&#1082;&#1080;&#1081;/&#1058;&#1069;&#1057;/&#1058;&#1043;&#1050;-1_&#1044;&#1091;&#1073;&#1088;&#1086;&#1074;&#1089;&#1082;&#1072;&#1103;%20&#1058;&#1069;&#1062;-8_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ementeva.NA\Documents\&#1050;&#1083;&#1077;&#1084;&#1077;&#1085;&#1090;&#1100;&#1077;&#1074;&#1072;\&#1058;&#1072;&#1088;&#1080;&#1092;&#1099;%202015\&#1057;&#1084;&#1077;&#1090;&#1072;%20&#1079;&#1072;&#1090;&#1088;&#1072;&#1090;_2013_&#1092;&#1072;&#1082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%20&#1096;&#1072;&#1073;&#1083;&#1086;&#1085;&#1072;&#1093;%20&#1045;&#1048;&#1040;&#1057;/&#1053;&#1077;&#1074;&#1089;&#1082;&#1080;&#1081;/&#1058;&#1069;&#1057;/&#1058;&#1043;&#1050;-1_&#1058;&#1069;&#1062;-15%20&#1051;&#1069;_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%20&#1096;&#1072;&#1073;&#1083;&#1086;&#1085;&#1072;&#1093;%20&#1045;&#1048;&#1040;&#1057;/&#1053;&#1077;&#1074;&#1089;&#1082;&#1080;&#1081;/&#1058;&#1069;&#1057;/&#1058;&#1043;&#1050;-1_&#1058;&#1069;&#1062;-17%20&#1051;&#1069;_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40;&#1054;%20&#1058;&#1043;&#1050;-1_&#1040;&#1087;&#1072;&#1090;&#1080;&#1090;&#1089;&#1082;&#1072;&#1103;%20&#1058;&#1069;&#1062;_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c1.local\PEO\&#1055;&#1056;&#1054;&#1048;&#1047;&#1042;&#1054;&#1044;&#1057;&#1058;&#1042;&#1054;\&#1046;&#1059;&#1056;&#1053;&#1040;&#1051;&#1067;\&#1069;&#1051;&#1045;&#1050;&#1058;&#1056;&#1054;\&#1069;&#1051;&#1045;&#1050;&#1058;&#1056;&#1054;_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c1.local\PEO\&#1055;&#1056;&#1054;&#1048;&#1047;&#1042;&#1054;&#1044;&#1057;&#1058;&#1042;&#1054;\&#1046;&#1059;&#1056;&#1053;&#1040;&#1051;&#1067;\&#1058;&#1045;&#1055;&#1051;&#1054;\&#1058;&#1045;&#1055;&#1051;&#1054;_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1"/>
      <sheetName val="modListSopr"/>
      <sheetName val="modfrmReestr"/>
      <sheetName val="modProv"/>
      <sheetName val="Инструкция"/>
      <sheetName val="Обновление"/>
      <sheetName val="Лог обновления"/>
      <sheetName val="Титульный"/>
      <sheetName val="REESTR_STATION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List00"/>
      <sheetName val="modUpdTemplMain"/>
      <sheetName val="AllSheetsInThisWorkbook"/>
      <sheetName val="Ставки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I11">
            <v>75.5</v>
          </cell>
          <cell r="L11">
            <v>53</v>
          </cell>
        </row>
      </sheetData>
      <sheetData sheetId="13">
        <row r="16">
          <cell r="I16">
            <v>44.019999999999996</v>
          </cell>
        </row>
      </sheetData>
      <sheetData sheetId="14"/>
      <sheetData sheetId="15"/>
      <sheetData sheetId="16"/>
      <sheetData sheetId="17"/>
      <sheetData sheetId="18">
        <row r="24">
          <cell r="L24">
            <v>316.66564037017815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амортизация"/>
      <sheetName val="Лист2"/>
      <sheetName val="Лист3"/>
    </sheetNames>
    <sheetDataSet>
      <sheetData sheetId="0"/>
      <sheetData sheetId="1">
        <row r="6">
          <cell r="C6">
            <v>79820</v>
          </cell>
        </row>
        <row r="11">
          <cell r="C11">
            <v>110125</v>
          </cell>
        </row>
        <row r="15">
          <cell r="C15">
            <v>170617</v>
          </cell>
        </row>
        <row r="16">
          <cell r="C16">
            <v>113028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1"/>
      <sheetName val="modListSopr"/>
      <sheetName val="modfrmReestr"/>
      <sheetName val="modProv"/>
      <sheetName val="Инструкция"/>
      <sheetName val="Обновление"/>
      <sheetName val="Лог обновления"/>
      <sheetName val="Титульный"/>
      <sheetName val="REESTR_STATION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List00"/>
      <sheetName val="modUpdTemplMain"/>
      <sheetName val="AllSheetsInThisWorkbook"/>
      <sheetName val="Ставки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H11">
            <v>192</v>
          </cell>
          <cell r="L11">
            <v>92</v>
          </cell>
        </row>
        <row r="12">
          <cell r="L12">
            <v>79.120416666666671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4">
          <cell r="K24">
            <v>433.99700000000001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ТЭЦ_всего"/>
      <sheetName val="ЦТЭЦ_ээ"/>
      <sheetName val="ЦТЭЦ_тэ"/>
      <sheetName val="ТЭЦ-5_ПГУ_всего"/>
      <sheetName val="ТЭЦ-5_ПГУ_ээ"/>
      <sheetName val="ТЭЦ-5_ПГУ_тэ"/>
      <sheetName val="ТЭЦ-5_ст.ч._всего"/>
      <sheetName val="ТЭЦ-5_ст.ч._ээ"/>
      <sheetName val="ТЭЦ-5_ст.ч._тэ"/>
      <sheetName val="ТЭЦ-7_ТГ-3_всего"/>
      <sheetName val="ТЭЦ-7_ТГ-3_ээ"/>
      <sheetName val="ТЭЦ-7_ТГ-3_тэ"/>
      <sheetName val="ТЭЦ-7_ст.ч._всего"/>
      <sheetName val="ТЭЦ-7_ст.ч._ээ"/>
      <sheetName val="ТЭЦ-7_ст.ч._тэ"/>
      <sheetName val="ТЭЦ-8_всего"/>
      <sheetName val="ТЭЦ-8_ээ"/>
      <sheetName val="ТЭЦ-8_тэ"/>
      <sheetName val="ТЭЦ-14_БЛ-1_всего"/>
      <sheetName val="ТЭЦ-14_БЛ-1_ээ"/>
      <sheetName val="ТЭЦ-14_БЛ-1_тэ"/>
      <sheetName val="ТЭЦ-14_ПГУ_всего"/>
      <sheetName val="ТЭЦ-14_ПГУ_ээ"/>
      <sheetName val="ТЭЦ-14_ПГУ_тэ"/>
      <sheetName val="ТЭЦ-14_ст.ч._всего"/>
      <sheetName val="ТЭЦ-14_ст.ч._ээ"/>
      <sheetName val="ТЭЦ-14_ст.ч._тэ"/>
      <sheetName val="ТЭЦ-15_всего"/>
      <sheetName val="ТЭЦ-15_ээ"/>
      <sheetName val="ТЭЦ-15_тэ"/>
      <sheetName val="ТЭЦ-17_всего"/>
      <sheetName val="ТЭЦ-17_ээ"/>
      <sheetName val="ТЭЦ-17_тэ"/>
      <sheetName val="ТЭЦ-21_всего"/>
      <sheetName val="ТЭЦ-21_ээ"/>
      <sheetName val="ТЭЦ-21_тэ"/>
      <sheetName val="ТЭЦ-22_БЛ-4_всего"/>
      <sheetName val="ТЭЦ-22_БЛ-4_ээ"/>
      <sheetName val="ТЭЦ-22-БЛ-4_тэ"/>
      <sheetName val="ТЭЦ-22_ст.ч._всего"/>
      <sheetName val="ТЭЦ-22_ст.ч._ээ"/>
      <sheetName val="ТЭЦ-22_ст.ч._тэ"/>
      <sheetName val="Каскад Ладожских ГЭС"/>
      <sheetName val="Каскад Вуоксинских ГЭС"/>
      <sheetName val="Нарвская ГЭС-13"/>
      <sheetName val="Лист2"/>
      <sheetName val="Лист3"/>
    </sheetNames>
    <sheetDataSet>
      <sheetData sheetId="0" refreshError="1"/>
      <sheetData sheetId="1">
        <row r="4">
          <cell r="U4">
            <v>439562</v>
          </cell>
        </row>
      </sheetData>
      <sheetData sheetId="2">
        <row r="4">
          <cell r="U4">
            <v>1495241</v>
          </cell>
        </row>
      </sheetData>
      <sheetData sheetId="3" refreshError="1"/>
      <sheetData sheetId="4">
        <row r="4">
          <cell r="U4">
            <v>1234453</v>
          </cell>
        </row>
      </sheetData>
      <sheetData sheetId="5">
        <row r="4">
          <cell r="U4">
            <v>466983</v>
          </cell>
        </row>
      </sheetData>
      <sheetData sheetId="6" refreshError="1"/>
      <sheetData sheetId="7">
        <row r="4">
          <cell r="U4">
            <v>939147</v>
          </cell>
        </row>
      </sheetData>
      <sheetData sheetId="8">
        <row r="4">
          <cell r="U4">
            <v>652584</v>
          </cell>
        </row>
      </sheetData>
      <sheetData sheetId="9" refreshError="1"/>
      <sheetData sheetId="10">
        <row r="4">
          <cell r="U4">
            <v>367095</v>
          </cell>
        </row>
      </sheetData>
      <sheetData sheetId="11">
        <row r="4">
          <cell r="U4">
            <v>354721</v>
          </cell>
        </row>
      </sheetData>
      <sheetData sheetId="12" refreshError="1"/>
      <sheetData sheetId="13">
        <row r="4">
          <cell r="U4">
            <v>357191</v>
          </cell>
        </row>
      </sheetData>
      <sheetData sheetId="14">
        <row r="4">
          <cell r="U4">
            <v>559864</v>
          </cell>
        </row>
      </sheetData>
      <sheetData sheetId="15" refreshError="1"/>
      <sheetData sheetId="16">
        <row r="4">
          <cell r="U4">
            <v>135536</v>
          </cell>
        </row>
      </sheetData>
      <sheetData sheetId="17">
        <row r="4">
          <cell r="U4">
            <v>136080</v>
          </cell>
        </row>
      </sheetData>
      <sheetData sheetId="18" refreshError="1"/>
      <sheetData sheetId="19">
        <row r="4">
          <cell r="U4">
            <v>612098</v>
          </cell>
        </row>
      </sheetData>
      <sheetData sheetId="20">
        <row r="4">
          <cell r="U4">
            <v>179767</v>
          </cell>
        </row>
      </sheetData>
      <sheetData sheetId="21" refreshError="1"/>
      <sheetData sheetId="22">
        <row r="4">
          <cell r="U4">
            <v>999812</v>
          </cell>
        </row>
      </sheetData>
      <sheetData sheetId="23">
        <row r="4">
          <cell r="U4">
            <v>177641</v>
          </cell>
        </row>
      </sheetData>
      <sheetData sheetId="24" refreshError="1"/>
      <sheetData sheetId="25">
        <row r="4">
          <cell r="U4">
            <v>340528</v>
          </cell>
        </row>
      </sheetData>
      <sheetData sheetId="26">
        <row r="4">
          <cell r="U4">
            <v>610316</v>
          </cell>
        </row>
      </sheetData>
      <sheetData sheetId="27" refreshError="1"/>
      <sheetData sheetId="28">
        <row r="4">
          <cell r="U4">
            <v>1525091</v>
          </cell>
        </row>
      </sheetData>
      <sheetData sheetId="29">
        <row r="4">
          <cell r="U4">
            <v>1505930</v>
          </cell>
        </row>
      </sheetData>
      <sheetData sheetId="30" refreshError="1"/>
      <sheetData sheetId="31">
        <row r="4">
          <cell r="U4">
            <v>737255</v>
          </cell>
        </row>
      </sheetData>
      <sheetData sheetId="32">
        <row r="4">
          <cell r="U4">
            <v>601166</v>
          </cell>
        </row>
      </sheetData>
      <sheetData sheetId="33" refreshError="1"/>
      <sheetData sheetId="34">
        <row r="4">
          <cell r="U4">
            <v>2013929</v>
          </cell>
        </row>
      </sheetData>
      <sheetData sheetId="35">
        <row r="4">
          <cell r="U4">
            <v>1418959</v>
          </cell>
        </row>
      </sheetData>
      <sheetData sheetId="36" refreshError="1"/>
      <sheetData sheetId="37">
        <row r="4">
          <cell r="U4">
            <v>2218793</v>
          </cell>
        </row>
      </sheetData>
      <sheetData sheetId="38">
        <row r="4">
          <cell r="U4">
            <v>552570</v>
          </cell>
        </row>
      </sheetData>
      <sheetData sheetId="39" refreshError="1"/>
      <sheetData sheetId="40">
        <row r="4">
          <cell r="U4">
            <v>2181953</v>
          </cell>
        </row>
      </sheetData>
      <sheetData sheetId="41">
        <row r="4">
          <cell r="U4">
            <v>1569099</v>
          </cell>
        </row>
      </sheetData>
      <sheetData sheetId="42" refreshError="1"/>
      <sheetData sheetId="43" refreshError="1"/>
      <sheetData sheetId="44">
        <row r="29">
          <cell r="U29">
            <v>9133</v>
          </cell>
        </row>
      </sheetData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1"/>
      <sheetName val="modListSopr"/>
      <sheetName val="modfrmReestr"/>
      <sheetName val="modProv"/>
      <sheetName val="Инструкция"/>
      <sheetName val="Обновление"/>
      <sheetName val="Лог обновления"/>
      <sheetName val="Титульный"/>
      <sheetName val="REESTR_STATION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List00"/>
      <sheetName val="modUpdTemplMain"/>
      <sheetName val="AllSheetsInThisWorkbook"/>
      <sheetName val="Ставки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L11">
            <v>321</v>
          </cell>
        </row>
        <row r="12">
          <cell r="L12">
            <v>192.71883333333332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4">
          <cell r="L24">
            <v>205.68100000000001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1"/>
      <sheetName val="modListSopr"/>
      <sheetName val="modfrmReestr"/>
      <sheetName val="modProv"/>
      <sheetName val="Инструкция"/>
      <sheetName val="Обновление"/>
      <sheetName val="Лог обновления"/>
      <sheetName val="Титульный"/>
      <sheetName val="REESTR_STATION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List00"/>
      <sheetName val="modUpdTemplMain"/>
      <sheetName val="AllSheetsInThisWorkbook"/>
      <sheetName val="Ставки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L11">
            <v>250.5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4">
          <cell r="L24">
            <v>232.375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orem_org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modCommandButton"/>
      <sheetName val="TEHSHEET"/>
      <sheetName val="modList00"/>
      <sheetName val="modfrmReestr"/>
      <sheetName val="modUpdTemplMain"/>
      <sheetName val="AllSheetsInThisWorkbook"/>
      <sheetName val="Ставки"/>
      <sheetName val="REESTR_ORG"/>
      <sheetName val="REESTR_FILTERED"/>
      <sheetName val="modfrmDictionary"/>
      <sheetName val="modProv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1"/>
      <sheetName val="modList18"/>
      <sheetName val="modListSo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L11">
            <v>266</v>
          </cell>
        </row>
      </sheetData>
      <sheetData sheetId="10" refreshError="1"/>
      <sheetData sheetId="11" refreshError="1">
        <row r="26">
          <cell r="G26">
            <v>179.66</v>
          </cell>
        </row>
        <row r="29">
          <cell r="G29">
            <v>178.9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"/>
      <sheetName val="Нива 1"/>
      <sheetName val="Нива 2"/>
      <sheetName val="Нива 3"/>
      <sheetName val="Кумская 9"/>
      <sheetName val="Иовская 10"/>
      <sheetName val="Княжегубская 11"/>
      <sheetName val="КНГЭС"/>
      <sheetName val="Кайтакоски 4"/>
      <sheetName val="Янискоски 5"/>
      <sheetName val="Раякоски 6"/>
      <sheetName val="Хеваскоски 7"/>
      <sheetName val="Борисоглебская 8"/>
      <sheetName val="КПГЭС"/>
      <sheetName val="В.Туломская 12"/>
      <sheetName val="Н.Туломская 13"/>
      <sheetName val="КТГЭС"/>
      <sheetName val="Серебрянская 15"/>
      <sheetName val="Серебрянская 16"/>
      <sheetName val="В.Териберская 18"/>
      <sheetName val="Н.Териберская 19"/>
      <sheetName val="КСГЭС"/>
      <sheetName val="Итого ГЭС"/>
      <sheetName val="АТЭЦ"/>
      <sheetName val="ИТОГО по ФК"/>
      <sheetName val="МТЭЦ"/>
      <sheetName val="Собств. потребл."/>
      <sheetName val="Пригранич.торговля"/>
      <sheetName val="Произв. нужды"/>
      <sheetName val="Блокстан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4">
          <cell r="AL34">
            <v>325.93766327788569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"/>
      <sheetName val="АТЭЦ"/>
      <sheetName val="Бойлера"/>
      <sheetName val="ИТОГО ФК"/>
      <sheetName val="МТЭЦ"/>
      <sheetName val="Юж. котел."/>
      <sheetName val="Вост. котел."/>
      <sheetName val="Бойлера МТЭЦ"/>
      <sheetName val="Соб. нуж. котел."/>
      <sheetName val="ИТОГО по МТЭЦ"/>
    </sheetNames>
    <sheetDataSet>
      <sheetData sheetId="0"/>
      <sheetData sheetId="1">
        <row r="5">
          <cell r="C5">
            <v>143556</v>
          </cell>
        </row>
        <row r="33">
          <cell r="AD33">
            <v>145.88494569054984</v>
          </cell>
        </row>
      </sheetData>
      <sheetData sheetId="2">
        <row r="6">
          <cell r="I6">
            <v>149</v>
          </cell>
        </row>
      </sheetData>
      <sheetData sheetId="3">
        <row r="5">
          <cell r="M5">
            <v>161300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gc1.ru/clients/tgk-1-v-sankt-peterburge-i-leningradskoi-oblasti/rezultaty-reguliruemoi-dejatelnosti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gc1.ru/clients/tgk-1-v-sankt-peterburge-i-leningradskoi-oblasti/rezultaty-reguliruemoi-dejatelnosti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gc1.ru/clients/tgk-1-v-sankt-peterburge-i-leningradskoi-oblasti/rezultaty-reguliruemoi-dejatelnosti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gc1.ru/clients/tgk-1-v-sankt-peterburge-i-leningradskoi-oblasti/rezultaty-reguliruemoi-dejatelnosti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A30" sqref="A30"/>
    </sheetView>
  </sheetViews>
  <sheetFormatPr defaultRowHeight="15" x14ac:dyDescent="0.25"/>
  <cols>
    <col min="1" max="1" width="36.85546875" customWidth="1"/>
    <col min="2" max="2" width="29" customWidth="1"/>
    <col min="3" max="3" width="27.5703125" customWidth="1"/>
  </cols>
  <sheetData>
    <row r="1" spans="1:5" ht="16.5" customHeight="1" x14ac:dyDescent="0.25">
      <c r="A1" s="33"/>
      <c r="C1" s="39"/>
      <c r="D1" s="39"/>
      <c r="E1" s="39"/>
    </row>
    <row r="2" spans="1:5" x14ac:dyDescent="0.25">
      <c r="A2" s="33"/>
      <c r="B2" s="33"/>
      <c r="C2" s="37"/>
    </row>
    <row r="3" spans="1:5" x14ac:dyDescent="0.25">
      <c r="A3" s="65" t="s">
        <v>107</v>
      </c>
      <c r="B3" s="65"/>
      <c r="C3" s="65"/>
    </row>
    <row r="4" spans="1:5" x14ac:dyDescent="0.25">
      <c r="A4" s="65" t="s">
        <v>122</v>
      </c>
      <c r="B4" s="65"/>
      <c r="C4" s="65"/>
    </row>
    <row r="5" spans="1:5" x14ac:dyDescent="0.25">
      <c r="A5" s="65" t="s">
        <v>123</v>
      </c>
      <c r="B5" s="65"/>
      <c r="C5" s="65"/>
    </row>
    <row r="6" spans="1:5" x14ac:dyDescent="0.25">
      <c r="A6" s="35"/>
      <c r="B6" s="35"/>
      <c r="C6" s="35"/>
    </row>
    <row r="7" spans="1:5" x14ac:dyDescent="0.25">
      <c r="A7" s="65" t="s">
        <v>108</v>
      </c>
      <c r="B7" s="65"/>
      <c r="C7" s="65"/>
    </row>
    <row r="8" spans="1:5" x14ac:dyDescent="0.25">
      <c r="A8" s="35"/>
      <c r="B8" s="35"/>
      <c r="C8" s="35"/>
    </row>
    <row r="9" spans="1:5" ht="27" customHeight="1" x14ac:dyDescent="0.25">
      <c r="A9" s="64" t="s">
        <v>109</v>
      </c>
      <c r="B9" s="64"/>
      <c r="C9" s="64"/>
    </row>
    <row r="10" spans="1:5" x14ac:dyDescent="0.25">
      <c r="A10" s="32"/>
      <c r="B10" s="35"/>
      <c r="C10" s="35"/>
    </row>
    <row r="11" spans="1:5" x14ac:dyDescent="0.25">
      <c r="A11" s="32"/>
      <c r="B11" s="35"/>
      <c r="C11" s="35"/>
    </row>
    <row r="12" spans="1:5" x14ac:dyDescent="0.25">
      <c r="A12" s="34" t="s">
        <v>118</v>
      </c>
      <c r="B12" s="33"/>
    </row>
    <row r="13" spans="1:5" x14ac:dyDescent="0.25">
      <c r="A13" s="33"/>
      <c r="B13" s="33"/>
    </row>
    <row r="14" spans="1:5" ht="31.5" customHeight="1" x14ac:dyDescent="0.25">
      <c r="A14" s="36" t="s">
        <v>97</v>
      </c>
      <c r="B14" s="62" t="s">
        <v>109</v>
      </c>
      <c r="C14" s="63"/>
    </row>
    <row r="15" spans="1:5" ht="20.25" customHeight="1" x14ac:dyDescent="0.25">
      <c r="A15" s="36" t="s">
        <v>98</v>
      </c>
      <c r="B15" s="62" t="s">
        <v>110</v>
      </c>
      <c r="C15" s="63"/>
    </row>
    <row r="16" spans="1:5" ht="33" customHeight="1" x14ac:dyDescent="0.25">
      <c r="A16" s="36" t="s">
        <v>99</v>
      </c>
      <c r="B16" s="62" t="s">
        <v>111</v>
      </c>
      <c r="C16" s="63"/>
    </row>
    <row r="17" spans="1:3" ht="33.75" customHeight="1" x14ac:dyDescent="0.25">
      <c r="A17" s="36" t="s">
        <v>100</v>
      </c>
      <c r="B17" s="62" t="s">
        <v>112</v>
      </c>
      <c r="C17" s="63"/>
    </row>
    <row r="18" spans="1:3" x14ac:dyDescent="0.25">
      <c r="A18" s="36" t="s">
        <v>101</v>
      </c>
      <c r="B18" s="62">
        <v>7841312071</v>
      </c>
      <c r="C18" s="63"/>
    </row>
    <row r="19" spans="1:3" x14ac:dyDescent="0.25">
      <c r="A19" s="36" t="s">
        <v>102</v>
      </c>
      <c r="B19" s="62">
        <v>780501001</v>
      </c>
      <c r="C19" s="63"/>
    </row>
    <row r="20" spans="1:3" ht="30.75" customHeight="1" x14ac:dyDescent="0.25">
      <c r="A20" s="36" t="s">
        <v>103</v>
      </c>
      <c r="B20" s="62" t="s">
        <v>113</v>
      </c>
      <c r="C20" s="63"/>
    </row>
    <row r="21" spans="1:3" x14ac:dyDescent="0.25">
      <c r="A21" s="36" t="s">
        <v>104</v>
      </c>
      <c r="B21" s="66" t="s">
        <v>114</v>
      </c>
      <c r="C21" s="63"/>
    </row>
    <row r="22" spans="1:3" x14ac:dyDescent="0.25">
      <c r="A22" s="36" t="s">
        <v>105</v>
      </c>
      <c r="B22" s="67" t="s">
        <v>115</v>
      </c>
      <c r="C22" s="68"/>
    </row>
    <row r="23" spans="1:3" x14ac:dyDescent="0.25">
      <c r="A23" s="36" t="s">
        <v>106</v>
      </c>
      <c r="B23" s="67" t="s">
        <v>116</v>
      </c>
      <c r="C23" s="68"/>
    </row>
  </sheetData>
  <mergeCells count="15">
    <mergeCell ref="B20:C20"/>
    <mergeCell ref="B21:C21"/>
    <mergeCell ref="B22:C22"/>
    <mergeCell ref="B23:C23"/>
    <mergeCell ref="B18:C18"/>
    <mergeCell ref="B19:C19"/>
    <mergeCell ref="B16:C16"/>
    <mergeCell ref="B17:C17"/>
    <mergeCell ref="A9:C9"/>
    <mergeCell ref="A7:C7"/>
    <mergeCell ref="A3:C3"/>
    <mergeCell ref="A4:C4"/>
    <mergeCell ref="A5:C5"/>
    <mergeCell ref="B14:C14"/>
    <mergeCell ref="B15:C15"/>
  </mergeCells>
  <hyperlinks>
    <hyperlink ref="B21" r:id="rId1"/>
  </hyperlinks>
  <pageMargins left="0.7" right="0.7" top="0.75" bottom="0.75" header="0.3" footer="0.3"/>
  <pageSetup paperSize="9" scale="9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1"/>
  <sheetViews>
    <sheetView workbookViewId="0">
      <selection activeCell="E12" sqref="E12"/>
    </sheetView>
  </sheetViews>
  <sheetFormatPr defaultRowHeight="15" x14ac:dyDescent="0.25"/>
  <cols>
    <col min="1" max="1" width="5.5703125" customWidth="1"/>
    <col min="2" max="2" width="27.42578125" customWidth="1"/>
    <col min="3" max="3" width="22.7109375" customWidth="1"/>
    <col min="4" max="4" width="18.85546875" customWidth="1"/>
    <col min="5" max="5" width="19.28515625" customWidth="1"/>
    <col min="257" max="257" width="5.5703125" customWidth="1"/>
    <col min="258" max="258" width="27.42578125" customWidth="1"/>
    <col min="259" max="259" width="31.140625" customWidth="1"/>
    <col min="260" max="260" width="23.42578125" customWidth="1"/>
    <col min="261" max="261" width="22.28515625" customWidth="1"/>
    <col min="513" max="513" width="5.5703125" customWidth="1"/>
    <col min="514" max="514" width="27.42578125" customWidth="1"/>
    <col min="515" max="515" width="31.140625" customWidth="1"/>
    <col min="516" max="516" width="23.42578125" customWidth="1"/>
    <col min="517" max="517" width="22.28515625" customWidth="1"/>
    <col min="769" max="769" width="5.5703125" customWidth="1"/>
    <col min="770" max="770" width="27.42578125" customWidth="1"/>
    <col min="771" max="771" width="31.140625" customWidth="1"/>
    <col min="772" max="772" width="23.42578125" customWidth="1"/>
    <col min="773" max="773" width="22.28515625" customWidth="1"/>
    <col min="1025" max="1025" width="5.5703125" customWidth="1"/>
    <col min="1026" max="1026" width="27.42578125" customWidth="1"/>
    <col min="1027" max="1027" width="31.140625" customWidth="1"/>
    <col min="1028" max="1028" width="23.42578125" customWidth="1"/>
    <col min="1029" max="1029" width="22.28515625" customWidth="1"/>
    <col min="1281" max="1281" width="5.5703125" customWidth="1"/>
    <col min="1282" max="1282" width="27.42578125" customWidth="1"/>
    <col min="1283" max="1283" width="31.140625" customWidth="1"/>
    <col min="1284" max="1284" width="23.42578125" customWidth="1"/>
    <col min="1285" max="1285" width="22.28515625" customWidth="1"/>
    <col min="1537" max="1537" width="5.5703125" customWidth="1"/>
    <col min="1538" max="1538" width="27.42578125" customWidth="1"/>
    <col min="1539" max="1539" width="31.140625" customWidth="1"/>
    <col min="1540" max="1540" width="23.42578125" customWidth="1"/>
    <col min="1541" max="1541" width="22.28515625" customWidth="1"/>
    <col min="1793" max="1793" width="5.5703125" customWidth="1"/>
    <col min="1794" max="1794" width="27.42578125" customWidth="1"/>
    <col min="1795" max="1795" width="31.140625" customWidth="1"/>
    <col min="1796" max="1796" width="23.42578125" customWidth="1"/>
    <col min="1797" max="1797" width="22.28515625" customWidth="1"/>
    <col min="2049" max="2049" width="5.5703125" customWidth="1"/>
    <col min="2050" max="2050" width="27.42578125" customWidth="1"/>
    <col min="2051" max="2051" width="31.140625" customWidth="1"/>
    <col min="2052" max="2052" width="23.42578125" customWidth="1"/>
    <col min="2053" max="2053" width="22.28515625" customWidth="1"/>
    <col min="2305" max="2305" width="5.5703125" customWidth="1"/>
    <col min="2306" max="2306" width="27.42578125" customWidth="1"/>
    <col min="2307" max="2307" width="31.140625" customWidth="1"/>
    <col min="2308" max="2308" width="23.42578125" customWidth="1"/>
    <col min="2309" max="2309" width="22.28515625" customWidth="1"/>
    <col min="2561" max="2561" width="5.5703125" customWidth="1"/>
    <col min="2562" max="2562" width="27.42578125" customWidth="1"/>
    <col min="2563" max="2563" width="31.140625" customWidth="1"/>
    <col min="2564" max="2564" width="23.42578125" customWidth="1"/>
    <col min="2565" max="2565" width="22.28515625" customWidth="1"/>
    <col min="2817" max="2817" width="5.5703125" customWidth="1"/>
    <col min="2818" max="2818" width="27.42578125" customWidth="1"/>
    <col min="2819" max="2819" width="31.140625" customWidth="1"/>
    <col min="2820" max="2820" width="23.42578125" customWidth="1"/>
    <col min="2821" max="2821" width="22.28515625" customWidth="1"/>
    <col min="3073" max="3073" width="5.5703125" customWidth="1"/>
    <col min="3074" max="3074" width="27.42578125" customWidth="1"/>
    <col min="3075" max="3075" width="31.140625" customWidth="1"/>
    <col min="3076" max="3076" width="23.42578125" customWidth="1"/>
    <col min="3077" max="3077" width="22.28515625" customWidth="1"/>
    <col min="3329" max="3329" width="5.5703125" customWidth="1"/>
    <col min="3330" max="3330" width="27.42578125" customWidth="1"/>
    <col min="3331" max="3331" width="31.140625" customWidth="1"/>
    <col min="3332" max="3332" width="23.42578125" customWidth="1"/>
    <col min="3333" max="3333" width="22.28515625" customWidth="1"/>
    <col min="3585" max="3585" width="5.5703125" customWidth="1"/>
    <col min="3586" max="3586" width="27.42578125" customWidth="1"/>
    <col min="3587" max="3587" width="31.140625" customWidth="1"/>
    <col min="3588" max="3588" width="23.42578125" customWidth="1"/>
    <col min="3589" max="3589" width="22.28515625" customWidth="1"/>
    <col min="3841" max="3841" width="5.5703125" customWidth="1"/>
    <col min="3842" max="3842" width="27.42578125" customWidth="1"/>
    <col min="3843" max="3843" width="31.140625" customWidth="1"/>
    <col min="3844" max="3844" width="23.42578125" customWidth="1"/>
    <col min="3845" max="3845" width="22.28515625" customWidth="1"/>
    <col min="4097" max="4097" width="5.5703125" customWidth="1"/>
    <col min="4098" max="4098" width="27.42578125" customWidth="1"/>
    <col min="4099" max="4099" width="31.140625" customWidth="1"/>
    <col min="4100" max="4100" width="23.42578125" customWidth="1"/>
    <col min="4101" max="4101" width="22.28515625" customWidth="1"/>
    <col min="4353" max="4353" width="5.5703125" customWidth="1"/>
    <col min="4354" max="4354" width="27.42578125" customWidth="1"/>
    <col min="4355" max="4355" width="31.140625" customWidth="1"/>
    <col min="4356" max="4356" width="23.42578125" customWidth="1"/>
    <col min="4357" max="4357" width="22.28515625" customWidth="1"/>
    <col min="4609" max="4609" width="5.5703125" customWidth="1"/>
    <col min="4610" max="4610" width="27.42578125" customWidth="1"/>
    <col min="4611" max="4611" width="31.140625" customWidth="1"/>
    <col min="4612" max="4612" width="23.42578125" customWidth="1"/>
    <col min="4613" max="4613" width="22.28515625" customWidth="1"/>
    <col min="4865" max="4865" width="5.5703125" customWidth="1"/>
    <col min="4866" max="4866" width="27.42578125" customWidth="1"/>
    <col min="4867" max="4867" width="31.140625" customWidth="1"/>
    <col min="4868" max="4868" width="23.42578125" customWidth="1"/>
    <col min="4869" max="4869" width="22.28515625" customWidth="1"/>
    <col min="5121" max="5121" width="5.5703125" customWidth="1"/>
    <col min="5122" max="5122" width="27.42578125" customWidth="1"/>
    <col min="5123" max="5123" width="31.140625" customWidth="1"/>
    <col min="5124" max="5124" width="23.42578125" customWidth="1"/>
    <col min="5125" max="5125" width="22.28515625" customWidth="1"/>
    <col min="5377" max="5377" width="5.5703125" customWidth="1"/>
    <col min="5378" max="5378" width="27.42578125" customWidth="1"/>
    <col min="5379" max="5379" width="31.140625" customWidth="1"/>
    <col min="5380" max="5380" width="23.42578125" customWidth="1"/>
    <col min="5381" max="5381" width="22.28515625" customWidth="1"/>
    <col min="5633" max="5633" width="5.5703125" customWidth="1"/>
    <col min="5634" max="5634" width="27.42578125" customWidth="1"/>
    <col min="5635" max="5635" width="31.140625" customWidth="1"/>
    <col min="5636" max="5636" width="23.42578125" customWidth="1"/>
    <col min="5637" max="5637" width="22.28515625" customWidth="1"/>
    <col min="5889" max="5889" width="5.5703125" customWidth="1"/>
    <col min="5890" max="5890" width="27.42578125" customWidth="1"/>
    <col min="5891" max="5891" width="31.140625" customWidth="1"/>
    <col min="5892" max="5892" width="23.42578125" customWidth="1"/>
    <col min="5893" max="5893" width="22.28515625" customWidth="1"/>
    <col min="6145" max="6145" width="5.5703125" customWidth="1"/>
    <col min="6146" max="6146" width="27.42578125" customWidth="1"/>
    <col min="6147" max="6147" width="31.140625" customWidth="1"/>
    <col min="6148" max="6148" width="23.42578125" customWidth="1"/>
    <col min="6149" max="6149" width="22.28515625" customWidth="1"/>
    <col min="6401" max="6401" width="5.5703125" customWidth="1"/>
    <col min="6402" max="6402" width="27.42578125" customWidth="1"/>
    <col min="6403" max="6403" width="31.140625" customWidth="1"/>
    <col min="6404" max="6404" width="23.42578125" customWidth="1"/>
    <col min="6405" max="6405" width="22.28515625" customWidth="1"/>
    <col min="6657" max="6657" width="5.5703125" customWidth="1"/>
    <col min="6658" max="6658" width="27.42578125" customWidth="1"/>
    <col min="6659" max="6659" width="31.140625" customWidth="1"/>
    <col min="6660" max="6660" width="23.42578125" customWidth="1"/>
    <col min="6661" max="6661" width="22.28515625" customWidth="1"/>
    <col min="6913" max="6913" width="5.5703125" customWidth="1"/>
    <col min="6914" max="6914" width="27.42578125" customWidth="1"/>
    <col min="6915" max="6915" width="31.140625" customWidth="1"/>
    <col min="6916" max="6916" width="23.42578125" customWidth="1"/>
    <col min="6917" max="6917" width="22.28515625" customWidth="1"/>
    <col min="7169" max="7169" width="5.5703125" customWidth="1"/>
    <col min="7170" max="7170" width="27.42578125" customWidth="1"/>
    <col min="7171" max="7171" width="31.140625" customWidth="1"/>
    <col min="7172" max="7172" width="23.42578125" customWidth="1"/>
    <col min="7173" max="7173" width="22.28515625" customWidth="1"/>
    <col min="7425" max="7425" width="5.5703125" customWidth="1"/>
    <col min="7426" max="7426" width="27.42578125" customWidth="1"/>
    <col min="7427" max="7427" width="31.140625" customWidth="1"/>
    <col min="7428" max="7428" width="23.42578125" customWidth="1"/>
    <col min="7429" max="7429" width="22.28515625" customWidth="1"/>
    <col min="7681" max="7681" width="5.5703125" customWidth="1"/>
    <col min="7682" max="7682" width="27.42578125" customWidth="1"/>
    <col min="7683" max="7683" width="31.140625" customWidth="1"/>
    <col min="7684" max="7684" width="23.42578125" customWidth="1"/>
    <col min="7685" max="7685" width="22.28515625" customWidth="1"/>
    <col min="7937" max="7937" width="5.5703125" customWidth="1"/>
    <col min="7938" max="7938" width="27.42578125" customWidth="1"/>
    <col min="7939" max="7939" width="31.140625" customWidth="1"/>
    <col min="7940" max="7940" width="23.42578125" customWidth="1"/>
    <col min="7941" max="7941" width="22.28515625" customWidth="1"/>
    <col min="8193" max="8193" width="5.5703125" customWidth="1"/>
    <col min="8194" max="8194" width="27.42578125" customWidth="1"/>
    <col min="8195" max="8195" width="31.140625" customWidth="1"/>
    <col min="8196" max="8196" width="23.42578125" customWidth="1"/>
    <col min="8197" max="8197" width="22.28515625" customWidth="1"/>
    <col min="8449" max="8449" width="5.5703125" customWidth="1"/>
    <col min="8450" max="8450" width="27.42578125" customWidth="1"/>
    <col min="8451" max="8451" width="31.140625" customWidth="1"/>
    <col min="8452" max="8452" width="23.42578125" customWidth="1"/>
    <col min="8453" max="8453" width="22.28515625" customWidth="1"/>
    <col min="8705" max="8705" width="5.5703125" customWidth="1"/>
    <col min="8706" max="8706" width="27.42578125" customWidth="1"/>
    <col min="8707" max="8707" width="31.140625" customWidth="1"/>
    <col min="8708" max="8708" width="23.42578125" customWidth="1"/>
    <col min="8709" max="8709" width="22.28515625" customWidth="1"/>
    <col min="8961" max="8961" width="5.5703125" customWidth="1"/>
    <col min="8962" max="8962" width="27.42578125" customWidth="1"/>
    <col min="8963" max="8963" width="31.140625" customWidth="1"/>
    <col min="8964" max="8964" width="23.42578125" customWidth="1"/>
    <col min="8965" max="8965" width="22.28515625" customWidth="1"/>
    <col min="9217" max="9217" width="5.5703125" customWidth="1"/>
    <col min="9218" max="9218" width="27.42578125" customWidth="1"/>
    <col min="9219" max="9219" width="31.140625" customWidth="1"/>
    <col min="9220" max="9220" width="23.42578125" customWidth="1"/>
    <col min="9221" max="9221" width="22.28515625" customWidth="1"/>
    <col min="9473" max="9473" width="5.5703125" customWidth="1"/>
    <col min="9474" max="9474" width="27.42578125" customWidth="1"/>
    <col min="9475" max="9475" width="31.140625" customWidth="1"/>
    <col min="9476" max="9476" width="23.42578125" customWidth="1"/>
    <col min="9477" max="9477" width="22.28515625" customWidth="1"/>
    <col min="9729" max="9729" width="5.5703125" customWidth="1"/>
    <col min="9730" max="9730" width="27.42578125" customWidth="1"/>
    <col min="9731" max="9731" width="31.140625" customWidth="1"/>
    <col min="9732" max="9732" width="23.42578125" customWidth="1"/>
    <col min="9733" max="9733" width="22.28515625" customWidth="1"/>
    <col min="9985" max="9985" width="5.5703125" customWidth="1"/>
    <col min="9986" max="9986" width="27.42578125" customWidth="1"/>
    <col min="9987" max="9987" width="31.140625" customWidth="1"/>
    <col min="9988" max="9988" width="23.42578125" customWidth="1"/>
    <col min="9989" max="9989" width="22.28515625" customWidth="1"/>
    <col min="10241" max="10241" width="5.5703125" customWidth="1"/>
    <col min="10242" max="10242" width="27.42578125" customWidth="1"/>
    <col min="10243" max="10243" width="31.140625" customWidth="1"/>
    <col min="10244" max="10244" width="23.42578125" customWidth="1"/>
    <col min="10245" max="10245" width="22.28515625" customWidth="1"/>
    <col min="10497" max="10497" width="5.5703125" customWidth="1"/>
    <col min="10498" max="10498" width="27.42578125" customWidth="1"/>
    <col min="10499" max="10499" width="31.140625" customWidth="1"/>
    <col min="10500" max="10500" width="23.42578125" customWidth="1"/>
    <col min="10501" max="10501" width="22.28515625" customWidth="1"/>
    <col min="10753" max="10753" width="5.5703125" customWidth="1"/>
    <col min="10754" max="10754" width="27.42578125" customWidth="1"/>
    <col min="10755" max="10755" width="31.140625" customWidth="1"/>
    <col min="10756" max="10756" width="23.42578125" customWidth="1"/>
    <col min="10757" max="10757" width="22.28515625" customWidth="1"/>
    <col min="11009" max="11009" width="5.5703125" customWidth="1"/>
    <col min="11010" max="11010" width="27.42578125" customWidth="1"/>
    <col min="11011" max="11011" width="31.140625" customWidth="1"/>
    <col min="11012" max="11012" width="23.42578125" customWidth="1"/>
    <col min="11013" max="11013" width="22.28515625" customWidth="1"/>
    <col min="11265" max="11265" width="5.5703125" customWidth="1"/>
    <col min="11266" max="11266" width="27.42578125" customWidth="1"/>
    <col min="11267" max="11267" width="31.140625" customWidth="1"/>
    <col min="11268" max="11268" width="23.42578125" customWidth="1"/>
    <col min="11269" max="11269" width="22.28515625" customWidth="1"/>
    <col min="11521" max="11521" width="5.5703125" customWidth="1"/>
    <col min="11522" max="11522" width="27.42578125" customWidth="1"/>
    <col min="11523" max="11523" width="31.140625" customWidth="1"/>
    <col min="11524" max="11524" width="23.42578125" customWidth="1"/>
    <col min="11525" max="11525" width="22.28515625" customWidth="1"/>
    <col min="11777" max="11777" width="5.5703125" customWidth="1"/>
    <col min="11778" max="11778" width="27.42578125" customWidth="1"/>
    <col min="11779" max="11779" width="31.140625" customWidth="1"/>
    <col min="11780" max="11780" width="23.42578125" customWidth="1"/>
    <col min="11781" max="11781" width="22.28515625" customWidth="1"/>
    <col min="12033" max="12033" width="5.5703125" customWidth="1"/>
    <col min="12034" max="12034" width="27.42578125" customWidth="1"/>
    <col min="12035" max="12035" width="31.140625" customWidth="1"/>
    <col min="12036" max="12036" width="23.42578125" customWidth="1"/>
    <col min="12037" max="12037" width="22.28515625" customWidth="1"/>
    <col min="12289" max="12289" width="5.5703125" customWidth="1"/>
    <col min="12290" max="12290" width="27.42578125" customWidth="1"/>
    <col min="12291" max="12291" width="31.140625" customWidth="1"/>
    <col min="12292" max="12292" width="23.42578125" customWidth="1"/>
    <col min="12293" max="12293" width="22.28515625" customWidth="1"/>
    <col min="12545" max="12545" width="5.5703125" customWidth="1"/>
    <col min="12546" max="12546" width="27.42578125" customWidth="1"/>
    <col min="12547" max="12547" width="31.140625" customWidth="1"/>
    <col min="12548" max="12548" width="23.42578125" customWidth="1"/>
    <col min="12549" max="12549" width="22.28515625" customWidth="1"/>
    <col min="12801" max="12801" width="5.5703125" customWidth="1"/>
    <col min="12802" max="12802" width="27.42578125" customWidth="1"/>
    <col min="12803" max="12803" width="31.140625" customWidth="1"/>
    <col min="12804" max="12804" width="23.42578125" customWidth="1"/>
    <col min="12805" max="12805" width="22.28515625" customWidth="1"/>
    <col min="13057" max="13057" width="5.5703125" customWidth="1"/>
    <col min="13058" max="13058" width="27.42578125" customWidth="1"/>
    <col min="13059" max="13059" width="31.140625" customWidth="1"/>
    <col min="13060" max="13060" width="23.42578125" customWidth="1"/>
    <col min="13061" max="13061" width="22.28515625" customWidth="1"/>
    <col min="13313" max="13313" width="5.5703125" customWidth="1"/>
    <col min="13314" max="13314" width="27.42578125" customWidth="1"/>
    <col min="13315" max="13315" width="31.140625" customWidth="1"/>
    <col min="13316" max="13316" width="23.42578125" customWidth="1"/>
    <col min="13317" max="13317" width="22.28515625" customWidth="1"/>
    <col min="13569" max="13569" width="5.5703125" customWidth="1"/>
    <col min="13570" max="13570" width="27.42578125" customWidth="1"/>
    <col min="13571" max="13571" width="31.140625" customWidth="1"/>
    <col min="13572" max="13572" width="23.42578125" customWidth="1"/>
    <col min="13573" max="13573" width="22.28515625" customWidth="1"/>
    <col min="13825" max="13825" width="5.5703125" customWidth="1"/>
    <col min="13826" max="13826" width="27.42578125" customWidth="1"/>
    <col min="13827" max="13827" width="31.140625" customWidth="1"/>
    <col min="13828" max="13828" width="23.42578125" customWidth="1"/>
    <col min="13829" max="13829" width="22.28515625" customWidth="1"/>
    <col min="14081" max="14081" width="5.5703125" customWidth="1"/>
    <col min="14082" max="14082" width="27.42578125" customWidth="1"/>
    <col min="14083" max="14083" width="31.140625" customWidth="1"/>
    <col min="14084" max="14084" width="23.42578125" customWidth="1"/>
    <col min="14085" max="14085" width="22.28515625" customWidth="1"/>
    <col min="14337" max="14337" width="5.5703125" customWidth="1"/>
    <col min="14338" max="14338" width="27.42578125" customWidth="1"/>
    <col min="14339" max="14339" width="31.140625" customWidth="1"/>
    <col min="14340" max="14340" width="23.42578125" customWidth="1"/>
    <col min="14341" max="14341" width="22.28515625" customWidth="1"/>
    <col min="14593" max="14593" width="5.5703125" customWidth="1"/>
    <col min="14594" max="14594" width="27.42578125" customWidth="1"/>
    <col min="14595" max="14595" width="31.140625" customWidth="1"/>
    <col min="14596" max="14596" width="23.42578125" customWidth="1"/>
    <col min="14597" max="14597" width="22.28515625" customWidth="1"/>
    <col min="14849" max="14849" width="5.5703125" customWidth="1"/>
    <col min="14850" max="14850" width="27.42578125" customWidth="1"/>
    <col min="14851" max="14851" width="31.140625" customWidth="1"/>
    <col min="14852" max="14852" width="23.42578125" customWidth="1"/>
    <col min="14853" max="14853" width="22.28515625" customWidth="1"/>
    <col min="15105" max="15105" width="5.5703125" customWidth="1"/>
    <col min="15106" max="15106" width="27.42578125" customWidth="1"/>
    <col min="15107" max="15107" width="31.140625" customWidth="1"/>
    <col min="15108" max="15108" width="23.42578125" customWidth="1"/>
    <col min="15109" max="15109" width="22.28515625" customWidth="1"/>
    <col min="15361" max="15361" width="5.5703125" customWidth="1"/>
    <col min="15362" max="15362" width="27.42578125" customWidth="1"/>
    <col min="15363" max="15363" width="31.140625" customWidth="1"/>
    <col min="15364" max="15364" width="23.42578125" customWidth="1"/>
    <col min="15365" max="15365" width="22.28515625" customWidth="1"/>
    <col min="15617" max="15617" width="5.5703125" customWidth="1"/>
    <col min="15618" max="15618" width="27.42578125" customWidth="1"/>
    <col min="15619" max="15619" width="31.140625" customWidth="1"/>
    <col min="15620" max="15620" width="23.42578125" customWidth="1"/>
    <col min="15621" max="15621" width="22.28515625" customWidth="1"/>
    <col min="15873" max="15873" width="5.5703125" customWidth="1"/>
    <col min="15874" max="15874" width="27.42578125" customWidth="1"/>
    <col min="15875" max="15875" width="31.140625" customWidth="1"/>
    <col min="15876" max="15876" width="23.42578125" customWidth="1"/>
    <col min="15877" max="15877" width="22.28515625" customWidth="1"/>
    <col min="16129" max="16129" width="5.5703125" customWidth="1"/>
    <col min="16130" max="16130" width="27.42578125" customWidth="1"/>
    <col min="16131" max="16131" width="31.140625" customWidth="1"/>
    <col min="16132" max="16132" width="23.42578125" customWidth="1"/>
    <col min="16133" max="16133" width="22.28515625" customWidth="1"/>
  </cols>
  <sheetData>
    <row r="2" spans="1:5" ht="50.25" customHeight="1" x14ac:dyDescent="0.25">
      <c r="A2" s="75" t="s">
        <v>129</v>
      </c>
      <c r="B2" s="75"/>
      <c r="C2" s="75"/>
      <c r="D2" s="75"/>
      <c r="E2" s="75"/>
    </row>
    <row r="3" spans="1:5" ht="18.75" customHeight="1" x14ac:dyDescent="0.25">
      <c r="A3" s="52"/>
      <c r="B3" s="52"/>
      <c r="C3" s="52"/>
      <c r="D3" s="52"/>
      <c r="E3" s="52"/>
    </row>
    <row r="4" spans="1:5" ht="18.75" customHeight="1" x14ac:dyDescent="0.25">
      <c r="A4" s="76"/>
      <c r="B4" s="76"/>
      <c r="C4" s="76"/>
      <c r="D4" s="76"/>
      <c r="E4" s="76"/>
    </row>
    <row r="5" spans="1:5" ht="15" customHeight="1" x14ac:dyDescent="0.25">
      <c r="A5" s="77" t="s">
        <v>44</v>
      </c>
      <c r="B5" s="79" t="s">
        <v>130</v>
      </c>
      <c r="C5" s="79" t="s">
        <v>131</v>
      </c>
      <c r="D5" s="81" t="s">
        <v>132</v>
      </c>
      <c r="E5" s="79" t="s">
        <v>133</v>
      </c>
    </row>
    <row r="6" spans="1:5" ht="63.75" customHeight="1" x14ac:dyDescent="0.25">
      <c r="A6" s="78"/>
      <c r="B6" s="80"/>
      <c r="C6" s="80"/>
      <c r="D6" s="82"/>
      <c r="E6" s="80"/>
    </row>
    <row r="7" spans="1:5" ht="15.75" customHeight="1" x14ac:dyDescent="0.25">
      <c r="A7" s="69">
        <v>1</v>
      </c>
      <c r="B7" s="72" t="s">
        <v>134</v>
      </c>
      <c r="C7" s="53" t="s">
        <v>140</v>
      </c>
      <c r="D7" s="54">
        <v>1644.63</v>
      </c>
      <c r="E7" s="55">
        <v>618161.73</v>
      </c>
    </row>
    <row r="8" spans="1:5" ht="15.75" customHeight="1" x14ac:dyDescent="0.25">
      <c r="A8" s="70"/>
      <c r="B8" s="73"/>
      <c r="C8" s="57" t="s">
        <v>85</v>
      </c>
      <c r="D8" s="58">
        <v>1920.09</v>
      </c>
      <c r="E8" s="56">
        <v>236504.23</v>
      </c>
    </row>
    <row r="9" spans="1:5" ht="15.75" customHeight="1" x14ac:dyDescent="0.25">
      <c r="A9" s="70"/>
      <c r="B9" s="73"/>
      <c r="C9" s="59" t="s">
        <v>135</v>
      </c>
      <c r="D9" s="58">
        <v>1285.1600000000001</v>
      </c>
      <c r="E9" s="56">
        <v>306908.52</v>
      </c>
    </row>
    <row r="10" spans="1:5" ht="15" customHeight="1" x14ac:dyDescent="0.25">
      <c r="A10" s="70"/>
      <c r="B10" s="73"/>
      <c r="C10" s="60" t="s">
        <v>136</v>
      </c>
      <c r="D10" s="56">
        <v>1120.32</v>
      </c>
      <c r="E10" s="56">
        <v>205895.72</v>
      </c>
    </row>
    <row r="11" spans="1:5" x14ac:dyDescent="0.25">
      <c r="A11" s="71"/>
      <c r="B11" s="74"/>
      <c r="C11" s="59" t="s">
        <v>137</v>
      </c>
      <c r="D11" s="61">
        <v>1009.14</v>
      </c>
      <c r="E11" s="61">
        <v>287364.23</v>
      </c>
    </row>
  </sheetData>
  <mergeCells count="9">
    <mergeCell ref="A7:A11"/>
    <mergeCell ref="B7:B11"/>
    <mergeCell ref="A2:E2"/>
    <mergeCell ref="A4:E4"/>
    <mergeCell ref="A5:A6"/>
    <mergeCell ref="B5:B6"/>
    <mergeCell ref="C5:C6"/>
    <mergeCell ref="D5:D6"/>
    <mergeCell ref="E5:E6"/>
  </mergeCells>
  <printOptions horizontalCentered="1"/>
  <pageMargins left="0.70866141732283472" right="0.59055118110236227" top="0.74803149606299213" bottom="0.35433070866141736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28" workbookViewId="0">
      <selection activeCell="D44" sqref="D44:F45"/>
    </sheetView>
  </sheetViews>
  <sheetFormatPr defaultRowHeight="15" x14ac:dyDescent="0.2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 x14ac:dyDescent="0.25">
      <c r="D1" s="83" t="s">
        <v>138</v>
      </c>
      <c r="E1" s="83"/>
      <c r="F1" s="83"/>
    </row>
    <row r="2" spans="1:6" ht="52.5" customHeight="1" x14ac:dyDescent="0.25">
      <c r="D2" s="84" t="s">
        <v>124</v>
      </c>
      <c r="E2" s="84"/>
      <c r="F2" s="84"/>
    </row>
    <row r="3" spans="1:6" ht="13.5" customHeight="1" x14ac:dyDescent="0.25">
      <c r="A3" s="16"/>
      <c r="B3" s="16"/>
      <c r="C3" s="16"/>
      <c r="D3" s="16"/>
      <c r="E3" s="15"/>
      <c r="F3" s="29"/>
    </row>
    <row r="4" spans="1:6" ht="16.5" customHeight="1" x14ac:dyDescent="0.25">
      <c r="A4" s="64" t="s">
        <v>125</v>
      </c>
      <c r="B4" s="64"/>
      <c r="C4" s="64"/>
      <c r="D4" s="64"/>
      <c r="E4" s="64"/>
      <c r="F4" s="64"/>
    </row>
    <row r="5" spans="1:6" ht="17.25" customHeight="1" x14ac:dyDescent="0.25">
      <c r="A5" s="64" t="s">
        <v>120</v>
      </c>
      <c r="B5" s="64"/>
      <c r="C5" s="64"/>
      <c r="D5" s="64"/>
      <c r="E5" s="64"/>
      <c r="F5" s="64"/>
    </row>
    <row r="6" spans="1:6" ht="17.25" customHeight="1" x14ac:dyDescent="0.25">
      <c r="A6" s="89" t="s">
        <v>95</v>
      </c>
      <c r="B6" s="89"/>
      <c r="C6" s="89"/>
      <c r="D6" s="89"/>
      <c r="E6" s="89"/>
      <c r="F6" s="89"/>
    </row>
    <row r="8" spans="1:6" ht="39" thickBot="1" x14ac:dyDescent="0.3">
      <c r="A8" s="14" t="s">
        <v>44</v>
      </c>
      <c r="B8" s="14" t="s">
        <v>43</v>
      </c>
      <c r="C8" s="14" t="s">
        <v>42</v>
      </c>
      <c r="D8" s="14" t="s">
        <v>41</v>
      </c>
      <c r="E8" s="14" t="s">
        <v>119</v>
      </c>
      <c r="F8" s="14" t="s">
        <v>45</v>
      </c>
    </row>
    <row r="9" spans="1:6" x14ac:dyDescent="0.25">
      <c r="A9" s="12" t="s">
        <v>40</v>
      </c>
      <c r="B9" s="13" t="s">
        <v>39</v>
      </c>
      <c r="C9" s="12" t="s">
        <v>36</v>
      </c>
      <c r="D9" s="24">
        <v>75.5</v>
      </c>
      <c r="E9" s="24">
        <f>'[1]0.1'!$I$11</f>
        <v>75.5</v>
      </c>
      <c r="F9" s="24">
        <f>'[1]0.1'!$L$11</f>
        <v>53</v>
      </c>
    </row>
    <row r="10" spans="1:6" ht="63.75" x14ac:dyDescent="0.25">
      <c r="A10" s="4" t="s">
        <v>38</v>
      </c>
      <c r="B10" s="2" t="s">
        <v>37</v>
      </c>
      <c r="C10" s="4" t="s">
        <v>36</v>
      </c>
      <c r="D10" s="23">
        <v>43.679166666666667</v>
      </c>
      <c r="E10" s="23">
        <v>44.01</v>
      </c>
      <c r="F10" s="23">
        <v>34.726083333333335</v>
      </c>
    </row>
    <row r="11" spans="1:6" x14ac:dyDescent="0.25">
      <c r="A11" s="4" t="s">
        <v>35</v>
      </c>
      <c r="B11" s="2" t="s">
        <v>34</v>
      </c>
      <c r="C11" s="4" t="s">
        <v>31</v>
      </c>
      <c r="D11" s="23">
        <v>352.13280099999997</v>
      </c>
      <c r="E11" s="23">
        <v>398.68400000000003</v>
      </c>
      <c r="F11" s="23">
        <v>295.77600000000001</v>
      </c>
    </row>
    <row r="12" spans="1:6" x14ac:dyDescent="0.25">
      <c r="A12" s="4" t="s">
        <v>33</v>
      </c>
      <c r="B12" s="2" t="s">
        <v>32</v>
      </c>
      <c r="C12" s="4" t="s">
        <v>31</v>
      </c>
      <c r="D12" s="23">
        <v>270.36938199999997</v>
      </c>
      <c r="E12" s="23">
        <v>294.17404834000001</v>
      </c>
      <c r="F12" s="23">
        <v>211.76807600000001</v>
      </c>
    </row>
    <row r="13" spans="1:6" x14ac:dyDescent="0.25">
      <c r="A13" s="4" t="s">
        <v>30</v>
      </c>
      <c r="B13" s="2" t="s">
        <v>29</v>
      </c>
      <c r="C13" s="4" t="s">
        <v>26</v>
      </c>
      <c r="D13" s="23">
        <v>1639.5909999999999</v>
      </c>
      <c r="E13" s="23">
        <v>2606.44</v>
      </c>
      <c r="F13" s="23">
        <v>1694.2833330000001</v>
      </c>
    </row>
    <row r="14" spans="1:6" x14ac:dyDescent="0.25">
      <c r="A14" s="4" t="s">
        <v>28</v>
      </c>
      <c r="B14" s="2" t="s">
        <v>27</v>
      </c>
      <c r="C14" s="4" t="s">
        <v>26</v>
      </c>
      <c r="D14" s="23">
        <v>1636.1319999999998</v>
      </c>
      <c r="E14" s="23">
        <v>2606.44</v>
      </c>
      <c r="F14" s="23">
        <v>1689.8953330000002</v>
      </c>
    </row>
    <row r="15" spans="1:6" ht="21" customHeight="1" x14ac:dyDescent="0.25">
      <c r="A15" s="6" t="s">
        <v>25</v>
      </c>
      <c r="B15" s="7" t="s">
        <v>50</v>
      </c>
      <c r="C15" s="6" t="s">
        <v>5</v>
      </c>
      <c r="D15" s="38">
        <f>D16+D17+D18</f>
        <v>2445.6104854870373</v>
      </c>
      <c r="E15" s="38">
        <f>SUM(E16:E18)</f>
        <v>2799.8029746924012</v>
      </c>
      <c r="F15" s="38">
        <f t="shared" ref="F15" si="0">F16+F17+F18</f>
        <v>2357.3321057159428</v>
      </c>
    </row>
    <row r="16" spans="1:6" x14ac:dyDescent="0.25">
      <c r="A16" s="4" t="s">
        <v>51</v>
      </c>
      <c r="B16" s="2" t="s">
        <v>52</v>
      </c>
      <c r="C16" s="4" t="s">
        <v>5</v>
      </c>
      <c r="D16" s="23">
        <f t="shared" ref="D16:F17" si="1">D30</f>
        <v>427.55962734554703</v>
      </c>
      <c r="E16" s="23">
        <f t="shared" si="1"/>
        <v>503.17441897295998</v>
      </c>
      <c r="F16" s="23">
        <f t="shared" si="1"/>
        <v>348.28098298328104</v>
      </c>
    </row>
    <row r="17" spans="1:6" ht="16.5" customHeight="1" x14ac:dyDescent="0.25">
      <c r="A17" s="4" t="s">
        <v>53</v>
      </c>
      <c r="B17" s="2" t="s">
        <v>54</v>
      </c>
      <c r="C17" s="4" t="s">
        <v>5</v>
      </c>
      <c r="D17" s="23">
        <f t="shared" si="1"/>
        <v>603.15279812954009</v>
      </c>
      <c r="E17" s="23">
        <f t="shared" si="1"/>
        <v>207.511249647711</v>
      </c>
      <c r="F17" s="23">
        <f t="shared" si="1"/>
        <v>257.596030851482</v>
      </c>
    </row>
    <row r="18" spans="1:6" ht="24.75" customHeight="1" x14ac:dyDescent="0.25">
      <c r="A18" s="4" t="s">
        <v>55</v>
      </c>
      <c r="B18" s="2" t="s">
        <v>56</v>
      </c>
      <c r="C18" s="4" t="s">
        <v>5</v>
      </c>
      <c r="D18" s="23">
        <f>1414898.06001195/1000</f>
        <v>1414.8980600119501</v>
      </c>
      <c r="E18" s="23">
        <f>2089117.30607173/1000</f>
        <v>2089.1173060717301</v>
      </c>
      <c r="F18" s="46">
        <f>1751455.09188118/1000</f>
        <v>1751.4550918811799</v>
      </c>
    </row>
    <row r="19" spans="1:6" x14ac:dyDescent="0.25">
      <c r="A19" s="4" t="s">
        <v>24</v>
      </c>
      <c r="B19" s="2" t="s">
        <v>23</v>
      </c>
      <c r="C19" s="4" t="s">
        <v>5</v>
      </c>
      <c r="D19" s="23">
        <f>427345.322565547/1000</f>
        <v>427.34532256554701</v>
      </c>
      <c r="E19" s="23">
        <f>502903.778848487/1000</f>
        <v>502.90377884848704</v>
      </c>
      <c r="F19" s="23">
        <f>348054.821878228/1000</f>
        <v>348.05482187822798</v>
      </c>
    </row>
    <row r="20" spans="1:6" ht="25.5" x14ac:dyDescent="0.25">
      <c r="A20" s="4"/>
      <c r="B20" s="2" t="s">
        <v>46</v>
      </c>
      <c r="C20" s="11" t="s">
        <v>22</v>
      </c>
      <c r="D20" s="26">
        <v>420.35157452163054</v>
      </c>
      <c r="E20" s="26">
        <v>409</v>
      </c>
      <c r="F20" s="26">
        <v>392.18353924425998</v>
      </c>
    </row>
    <row r="21" spans="1:6" x14ac:dyDescent="0.25">
      <c r="A21" s="4" t="s">
        <v>19</v>
      </c>
      <c r="B21" s="2" t="s">
        <v>21</v>
      </c>
      <c r="C21" s="4" t="s">
        <v>5</v>
      </c>
      <c r="D21" s="23">
        <f>990371.937075184/1000</f>
        <v>990.37193707518395</v>
      </c>
      <c r="E21" s="23">
        <f>1630772.4816247/1000</f>
        <v>1630.7724816246998</v>
      </c>
      <c r="F21" s="23">
        <f>1091909.54454606/1000</f>
        <v>1091.90954454606</v>
      </c>
    </row>
    <row r="22" spans="1:6" ht="25.5" x14ac:dyDescent="0.25">
      <c r="A22" s="4"/>
      <c r="B22" s="2" t="s">
        <v>47</v>
      </c>
      <c r="C22" s="11" t="s">
        <v>20</v>
      </c>
      <c r="D22" s="25">
        <v>167.46920421007434</v>
      </c>
      <c r="E22" s="25">
        <v>157.69999999999999</v>
      </c>
      <c r="F22" s="25">
        <v>160.87200000000001</v>
      </c>
    </row>
    <row r="23" spans="1:6" ht="51" x14ac:dyDescent="0.25">
      <c r="A23" s="4"/>
      <c r="B23" s="2" t="s">
        <v>48</v>
      </c>
      <c r="C23" s="11"/>
      <c r="D23" s="5" t="s">
        <v>88</v>
      </c>
      <c r="E23" s="27" t="s">
        <v>89</v>
      </c>
      <c r="F23" s="3" t="s">
        <v>88</v>
      </c>
    </row>
    <row r="24" spans="1:6" x14ac:dyDescent="0.25">
      <c r="A24" s="6" t="s">
        <v>17</v>
      </c>
      <c r="B24" s="7" t="s">
        <v>18</v>
      </c>
      <c r="C24" s="6" t="s">
        <v>5</v>
      </c>
      <c r="D24" s="38">
        <f>[2]амортизация!$C$6/1000</f>
        <v>79.819999999999993</v>
      </c>
      <c r="E24" s="38">
        <f>69591.892626765/1000</f>
        <v>69.591892626764988</v>
      </c>
      <c r="F24" s="38">
        <f>248001/1000</f>
        <v>248.001</v>
      </c>
    </row>
    <row r="25" spans="1:6" ht="38.25" x14ac:dyDescent="0.25">
      <c r="A25" s="6" t="s">
        <v>11</v>
      </c>
      <c r="B25" s="7" t="s">
        <v>16</v>
      </c>
      <c r="C25" s="4"/>
      <c r="D25" s="3"/>
      <c r="E25" s="3" t="s">
        <v>88</v>
      </c>
      <c r="F25" s="3" t="s">
        <v>88</v>
      </c>
    </row>
    <row r="26" spans="1:6" x14ac:dyDescent="0.25">
      <c r="A26" s="4" t="s">
        <v>57</v>
      </c>
      <c r="B26" s="2" t="s">
        <v>15</v>
      </c>
      <c r="C26" s="4" t="s">
        <v>14</v>
      </c>
      <c r="D26" s="48">
        <v>492</v>
      </c>
      <c r="E26" s="48">
        <v>488.7</v>
      </c>
      <c r="F26" s="48">
        <v>497.17</v>
      </c>
    </row>
    <row r="27" spans="1:6" ht="25.5" x14ac:dyDescent="0.25">
      <c r="A27" s="4" t="s">
        <v>58</v>
      </c>
      <c r="B27" s="2" t="s">
        <v>13</v>
      </c>
      <c r="C27" s="4" t="s">
        <v>12</v>
      </c>
      <c r="D27" s="23">
        <f>36579.66534/1000</f>
        <v>36.579665339999998</v>
      </c>
      <c r="E27" s="23">
        <f>36390.1446764279/1000</f>
        <v>36.390144676427902</v>
      </c>
      <c r="F27" s="23">
        <f>42593.2589324726/1000</f>
        <v>42.593258932472601</v>
      </c>
    </row>
    <row r="28" spans="1:6" ht="63.75" x14ac:dyDescent="0.25">
      <c r="A28" s="4" t="s">
        <v>59</v>
      </c>
      <c r="B28" s="2" t="s">
        <v>60</v>
      </c>
      <c r="C28" s="4"/>
      <c r="D28" s="27" t="s">
        <v>117</v>
      </c>
      <c r="E28" s="27" t="s">
        <v>117</v>
      </c>
      <c r="F28" s="27" t="s">
        <v>121</v>
      </c>
    </row>
    <row r="29" spans="1:6" x14ac:dyDescent="0.25">
      <c r="A29" s="6" t="s">
        <v>10</v>
      </c>
      <c r="B29" s="7" t="s">
        <v>61</v>
      </c>
      <c r="C29" s="6" t="s">
        <v>5</v>
      </c>
      <c r="D29" s="38">
        <f>D30+D31+D32</f>
        <v>2445.6104854870373</v>
      </c>
      <c r="E29" s="38">
        <f>E30+E31+E32</f>
        <v>2799.8029746924012</v>
      </c>
      <c r="F29" s="38">
        <f>SUM(F30:F32)</f>
        <v>2357.3321057159428</v>
      </c>
    </row>
    <row r="30" spans="1:6" x14ac:dyDescent="0.25">
      <c r="A30" s="10" t="s">
        <v>62</v>
      </c>
      <c r="B30" s="8" t="s">
        <v>63</v>
      </c>
      <c r="C30" s="4" t="s">
        <v>5</v>
      </c>
      <c r="D30" s="23">
        <f>427559.627345547/1000</f>
        <v>427.55962734554703</v>
      </c>
      <c r="E30" s="23">
        <f>503174.41897296/1000</f>
        <v>503.17441897295998</v>
      </c>
      <c r="F30" s="23">
        <f>348280.982983281/1000</f>
        <v>348.28098298328104</v>
      </c>
    </row>
    <row r="31" spans="1:6" x14ac:dyDescent="0.25">
      <c r="A31" s="10" t="s">
        <v>66</v>
      </c>
      <c r="B31" s="2" t="s">
        <v>64</v>
      </c>
      <c r="C31" s="4" t="s">
        <v>5</v>
      </c>
      <c r="D31" s="23">
        <f>603152.79812954/1000</f>
        <v>603.15279812954009</v>
      </c>
      <c r="E31" s="23">
        <f>207511.249647711/1000</f>
        <v>207.511249647711</v>
      </c>
      <c r="F31" s="23">
        <f>257596.030851482/1000</f>
        <v>257.596030851482</v>
      </c>
    </row>
    <row r="32" spans="1:6" ht="25.5" x14ac:dyDescent="0.25">
      <c r="A32" s="10" t="s">
        <v>67</v>
      </c>
      <c r="B32" s="2" t="s">
        <v>65</v>
      </c>
      <c r="C32" s="4" t="s">
        <v>5</v>
      </c>
      <c r="D32" s="23">
        <f>D18</f>
        <v>1414.8980600119501</v>
      </c>
      <c r="E32" s="23">
        <f>E18</f>
        <v>2089.1173060717301</v>
      </c>
      <c r="F32" s="23">
        <f>1751455.09188118/1000</f>
        <v>1751.4550918811799</v>
      </c>
    </row>
    <row r="33" spans="1:10" ht="25.5" x14ac:dyDescent="0.25">
      <c r="A33" s="9" t="s">
        <v>8</v>
      </c>
      <c r="B33" s="7" t="s">
        <v>9</v>
      </c>
      <c r="C33" s="6" t="s">
        <v>5</v>
      </c>
      <c r="D33" s="3" t="s">
        <v>88</v>
      </c>
      <c r="E33" s="3" t="s">
        <v>88</v>
      </c>
      <c r="F33" s="3" t="s">
        <v>88</v>
      </c>
    </row>
    <row r="34" spans="1:10" x14ac:dyDescent="0.25">
      <c r="A34" s="10" t="s">
        <v>70</v>
      </c>
      <c r="B34" s="17" t="s">
        <v>68</v>
      </c>
      <c r="C34" s="4" t="s">
        <v>5</v>
      </c>
      <c r="D34" s="3" t="s">
        <v>88</v>
      </c>
      <c r="E34" s="3" t="s">
        <v>88</v>
      </c>
      <c r="F34" s="3" t="s">
        <v>88</v>
      </c>
    </row>
    <row r="35" spans="1:10" x14ac:dyDescent="0.25">
      <c r="A35" s="10" t="s">
        <v>71</v>
      </c>
      <c r="B35" s="17" t="s">
        <v>69</v>
      </c>
      <c r="C35" s="4" t="s">
        <v>5</v>
      </c>
      <c r="D35" s="3" t="s">
        <v>88</v>
      </c>
      <c r="E35" s="3" t="s">
        <v>88</v>
      </c>
      <c r="F35" s="3" t="s">
        <v>88</v>
      </c>
    </row>
    <row r="36" spans="1:10" ht="25.5" x14ac:dyDescent="0.25">
      <c r="A36" s="6" t="s">
        <v>7</v>
      </c>
      <c r="B36" s="7" t="s">
        <v>72</v>
      </c>
      <c r="C36" s="6" t="s">
        <v>5</v>
      </c>
      <c r="D36" s="38">
        <f>SUM(D37:D39)</f>
        <v>0</v>
      </c>
      <c r="E36" s="38">
        <f t="shared" ref="E36:F36" si="2">SUM(E37:E39)</f>
        <v>0</v>
      </c>
      <c r="F36" s="38">
        <f t="shared" si="2"/>
        <v>0</v>
      </c>
    </row>
    <row r="37" spans="1:10" x14ac:dyDescent="0.25">
      <c r="A37" s="4" t="s">
        <v>73</v>
      </c>
      <c r="B37" s="8" t="s">
        <v>63</v>
      </c>
      <c r="C37" s="4" t="s">
        <v>5</v>
      </c>
      <c r="D37" s="3" t="s">
        <v>88</v>
      </c>
      <c r="E37" s="3" t="s">
        <v>88</v>
      </c>
      <c r="F37" s="3" t="s">
        <v>88</v>
      </c>
    </row>
    <row r="38" spans="1:10" x14ac:dyDescent="0.25">
      <c r="A38" s="4" t="s">
        <v>74</v>
      </c>
      <c r="B38" s="2" t="s">
        <v>64</v>
      </c>
      <c r="C38" s="4" t="s">
        <v>5</v>
      </c>
      <c r="D38" s="3" t="s">
        <v>88</v>
      </c>
      <c r="E38" s="3" t="s">
        <v>88</v>
      </c>
      <c r="F38" s="3" t="s">
        <v>88</v>
      </c>
    </row>
    <row r="39" spans="1:10" ht="25.5" x14ac:dyDescent="0.25">
      <c r="A39" s="4" t="s">
        <v>75</v>
      </c>
      <c r="B39" s="2" t="s">
        <v>65</v>
      </c>
      <c r="C39" s="4" t="s">
        <v>5</v>
      </c>
      <c r="D39" s="3" t="s">
        <v>88</v>
      </c>
      <c r="E39" s="3" t="s">
        <v>88</v>
      </c>
      <c r="F39" s="3" t="s">
        <v>88</v>
      </c>
    </row>
    <row r="40" spans="1:10" ht="25.5" x14ac:dyDescent="0.25">
      <c r="A40" s="6" t="s">
        <v>4</v>
      </c>
      <c r="B40" s="7" t="s">
        <v>76</v>
      </c>
      <c r="C40" s="6" t="s">
        <v>5</v>
      </c>
      <c r="D40" s="3" t="s">
        <v>88</v>
      </c>
      <c r="E40" s="3" t="s">
        <v>88</v>
      </c>
      <c r="F40" s="3" t="s">
        <v>88</v>
      </c>
    </row>
    <row r="41" spans="1:10" x14ac:dyDescent="0.25">
      <c r="A41" s="4" t="s">
        <v>77</v>
      </c>
      <c r="B41" s="8" t="s">
        <v>63</v>
      </c>
      <c r="C41" s="4" t="s">
        <v>5</v>
      </c>
      <c r="D41" s="3" t="s">
        <v>88</v>
      </c>
      <c r="E41" s="3" t="s">
        <v>88</v>
      </c>
      <c r="F41" s="3" t="s">
        <v>88</v>
      </c>
    </row>
    <row r="42" spans="1:10" x14ac:dyDescent="0.25">
      <c r="A42" s="4" t="s">
        <v>78</v>
      </c>
      <c r="B42" s="2" t="s">
        <v>64</v>
      </c>
      <c r="C42" s="4" t="s">
        <v>5</v>
      </c>
      <c r="D42" s="3" t="s">
        <v>88</v>
      </c>
      <c r="E42" s="3" t="s">
        <v>88</v>
      </c>
      <c r="F42" s="3" t="s">
        <v>88</v>
      </c>
    </row>
    <row r="43" spans="1:10" ht="25.5" x14ac:dyDescent="0.25">
      <c r="A43" s="4" t="s">
        <v>79</v>
      </c>
      <c r="B43" s="2" t="s">
        <v>65</v>
      </c>
      <c r="C43" s="4" t="s">
        <v>5</v>
      </c>
      <c r="D43" s="3" t="s">
        <v>88</v>
      </c>
      <c r="E43" s="3" t="s">
        <v>88</v>
      </c>
      <c r="F43" s="3" t="s">
        <v>88</v>
      </c>
      <c r="J43" s="28"/>
    </row>
    <row r="44" spans="1:10" x14ac:dyDescent="0.25">
      <c r="A44" s="6" t="s">
        <v>1</v>
      </c>
      <c r="B44" s="7" t="s">
        <v>6</v>
      </c>
      <c r="C44" s="6" t="s">
        <v>5</v>
      </c>
      <c r="D44" s="38"/>
      <c r="E44" s="38"/>
      <c r="F44" s="38"/>
    </row>
    <row r="45" spans="1:10" ht="38.25" x14ac:dyDescent="0.25">
      <c r="A45" s="18" t="s">
        <v>80</v>
      </c>
      <c r="B45" s="7" t="s">
        <v>3</v>
      </c>
      <c r="C45" s="19" t="s">
        <v>2</v>
      </c>
      <c r="D45" s="40"/>
      <c r="E45" s="40"/>
      <c r="F45" s="40"/>
    </row>
    <row r="46" spans="1:10" ht="76.5" customHeight="1" x14ac:dyDescent="0.25">
      <c r="A46" s="90" t="s">
        <v>81</v>
      </c>
      <c r="B46" s="92" t="s">
        <v>0</v>
      </c>
      <c r="C46" s="94"/>
      <c r="D46" s="96" t="s">
        <v>93</v>
      </c>
      <c r="E46" s="97"/>
      <c r="F46" s="98"/>
    </row>
    <row r="47" spans="1:10" ht="46.5" customHeight="1" x14ac:dyDescent="0.25">
      <c r="A47" s="91"/>
      <c r="B47" s="93"/>
      <c r="C47" s="95"/>
      <c r="D47" s="86" t="s">
        <v>91</v>
      </c>
      <c r="E47" s="87"/>
      <c r="F47" s="88"/>
    </row>
    <row r="49" spans="1:6" x14ac:dyDescent="0.25">
      <c r="A49" s="21"/>
      <c r="B49" s="22" t="s">
        <v>92</v>
      </c>
    </row>
    <row r="50" spans="1:6" ht="30" customHeight="1" x14ac:dyDescent="0.25">
      <c r="A50" s="30" t="s">
        <v>94</v>
      </c>
      <c r="B50" s="85" t="s">
        <v>83</v>
      </c>
      <c r="C50" s="85"/>
      <c r="D50" s="85"/>
      <c r="E50" s="85"/>
      <c r="F50" s="85"/>
    </row>
    <row r="51" spans="1:6" ht="53.25" customHeight="1" x14ac:dyDescent="0.25">
      <c r="A51" s="31"/>
      <c r="B51" s="85"/>
      <c r="C51" s="85"/>
      <c r="D51" s="85"/>
      <c r="E51" s="85"/>
      <c r="F51" s="85"/>
    </row>
    <row r="52" spans="1:6" ht="31.5" customHeight="1" x14ac:dyDescent="0.25"/>
  </sheetData>
  <mergeCells count="12">
    <mergeCell ref="D1:F1"/>
    <mergeCell ref="D2:F2"/>
    <mergeCell ref="B51:F51"/>
    <mergeCell ref="D47:F47"/>
    <mergeCell ref="A4:F4"/>
    <mergeCell ref="A5:F5"/>
    <mergeCell ref="A6:F6"/>
    <mergeCell ref="A46:A47"/>
    <mergeCell ref="B46:B47"/>
    <mergeCell ref="C46:C47"/>
    <mergeCell ref="D46:F46"/>
    <mergeCell ref="B50:F50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opLeftCell="A28" workbookViewId="0">
      <selection activeCell="D44" sqref="D44:F45"/>
    </sheetView>
  </sheetViews>
  <sheetFormatPr defaultRowHeight="15" x14ac:dyDescent="0.2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 x14ac:dyDescent="0.25">
      <c r="D1" s="83" t="s">
        <v>138</v>
      </c>
      <c r="E1" s="83"/>
      <c r="F1" s="83"/>
    </row>
    <row r="2" spans="1:6" ht="49.5" customHeight="1" x14ac:dyDescent="0.25">
      <c r="D2" s="84" t="s">
        <v>124</v>
      </c>
      <c r="E2" s="84"/>
      <c r="F2" s="84"/>
    </row>
    <row r="3" spans="1:6" ht="13.5" customHeight="1" x14ac:dyDescent="0.25">
      <c r="A3" s="16"/>
      <c r="B3" s="16"/>
      <c r="C3" s="16"/>
      <c r="D3" s="16"/>
      <c r="E3" s="15"/>
      <c r="F3" s="15"/>
    </row>
    <row r="4" spans="1:6" ht="16.5" customHeight="1" x14ac:dyDescent="0.25">
      <c r="A4" s="64" t="s">
        <v>125</v>
      </c>
      <c r="B4" s="64"/>
      <c r="C4" s="64"/>
      <c r="D4" s="64"/>
      <c r="E4" s="64"/>
      <c r="F4" s="64"/>
    </row>
    <row r="5" spans="1:6" ht="17.25" customHeight="1" x14ac:dyDescent="0.25">
      <c r="A5" s="64" t="s">
        <v>85</v>
      </c>
      <c r="B5" s="64"/>
      <c r="C5" s="64"/>
      <c r="D5" s="64"/>
      <c r="E5" s="64"/>
      <c r="F5" s="64"/>
    </row>
    <row r="6" spans="1:6" ht="17.25" customHeight="1" x14ac:dyDescent="0.25">
      <c r="A6" s="89" t="s">
        <v>90</v>
      </c>
      <c r="B6" s="89"/>
      <c r="C6" s="89"/>
      <c r="D6" s="89"/>
      <c r="E6" s="89"/>
      <c r="F6" s="89"/>
    </row>
    <row r="8" spans="1:6" ht="39" thickBot="1" x14ac:dyDescent="0.3">
      <c r="A8" s="14" t="s">
        <v>44</v>
      </c>
      <c r="B8" s="14" t="s">
        <v>43</v>
      </c>
      <c r="C8" s="14" t="s">
        <v>42</v>
      </c>
      <c r="D8" s="14" t="s">
        <v>41</v>
      </c>
      <c r="E8" s="14" t="s">
        <v>49</v>
      </c>
      <c r="F8" s="14" t="s">
        <v>45</v>
      </c>
    </row>
    <row r="9" spans="1:6" x14ac:dyDescent="0.25">
      <c r="A9" s="12" t="s">
        <v>40</v>
      </c>
      <c r="B9" s="13" t="s">
        <v>39</v>
      </c>
      <c r="C9" s="12" t="s">
        <v>36</v>
      </c>
      <c r="D9" s="24">
        <v>104.5</v>
      </c>
      <c r="E9" s="45"/>
      <c r="F9" s="24">
        <f>'[3]0.1'!$L$11</f>
        <v>92</v>
      </c>
    </row>
    <row r="10" spans="1:6" ht="63.75" x14ac:dyDescent="0.25">
      <c r="A10" s="4" t="s">
        <v>38</v>
      </c>
      <c r="B10" s="2" t="s">
        <v>37</v>
      </c>
      <c r="C10" s="4" t="s">
        <v>36</v>
      </c>
      <c r="D10" s="23">
        <v>96.38</v>
      </c>
      <c r="E10" s="46"/>
      <c r="F10" s="23">
        <f>'[3]0.1'!$L$12</f>
        <v>79.120416666666671</v>
      </c>
    </row>
    <row r="11" spans="1:6" x14ac:dyDescent="0.25">
      <c r="A11" s="4" t="s">
        <v>35</v>
      </c>
      <c r="B11" s="2" t="s">
        <v>34</v>
      </c>
      <c r="C11" s="4" t="s">
        <v>31</v>
      </c>
      <c r="D11" s="23">
        <v>110.98</v>
      </c>
      <c r="E11" s="46"/>
      <c r="F11" s="23">
        <v>109.288</v>
      </c>
    </row>
    <row r="12" spans="1:6" x14ac:dyDescent="0.25">
      <c r="A12" s="4" t="s">
        <v>33</v>
      </c>
      <c r="B12" s="2" t="s">
        <v>32</v>
      </c>
      <c r="C12" s="4" t="s">
        <v>31</v>
      </c>
      <c r="D12" s="23">
        <v>78.2</v>
      </c>
      <c r="E12" s="46"/>
      <c r="F12" s="23">
        <v>78.184831000000003</v>
      </c>
    </row>
    <row r="13" spans="1:6" x14ac:dyDescent="0.25">
      <c r="A13" s="4" t="s">
        <v>30</v>
      </c>
      <c r="B13" s="2" t="s">
        <v>29</v>
      </c>
      <c r="C13" s="4" t="s">
        <v>26</v>
      </c>
      <c r="D13" s="23">
        <v>238.42</v>
      </c>
      <c r="E13" s="46"/>
      <c r="F13" s="23">
        <v>247.81</v>
      </c>
    </row>
    <row r="14" spans="1:6" x14ac:dyDescent="0.25">
      <c r="A14" s="4" t="s">
        <v>28</v>
      </c>
      <c r="B14" s="2" t="s">
        <v>27</v>
      </c>
      <c r="C14" s="4" t="s">
        <v>26</v>
      </c>
      <c r="D14" s="23">
        <v>231.66499999999999</v>
      </c>
      <c r="E14" s="46"/>
      <c r="F14" s="23">
        <v>240.46</v>
      </c>
    </row>
    <row r="15" spans="1:6" ht="21" customHeight="1" x14ac:dyDescent="0.25">
      <c r="A15" s="6" t="s">
        <v>25</v>
      </c>
      <c r="B15" s="7" t="s">
        <v>50</v>
      </c>
      <c r="C15" s="6" t="s">
        <v>5</v>
      </c>
      <c r="D15" s="38">
        <f>D16+D17+D18</f>
        <v>677.22116468558215</v>
      </c>
      <c r="E15" s="47"/>
      <c r="F15" s="38">
        <f>SUM(F16:F18)</f>
        <v>736.84621990869596</v>
      </c>
    </row>
    <row r="16" spans="1:6" x14ac:dyDescent="0.25">
      <c r="A16" s="4" t="s">
        <v>51</v>
      </c>
      <c r="B16" s="2" t="s">
        <v>52</v>
      </c>
      <c r="C16" s="4" t="s">
        <v>5</v>
      </c>
      <c r="D16" s="23">
        <f>135601.085335383/1000</f>
        <v>135.60108533538298</v>
      </c>
      <c r="E16" s="46"/>
      <c r="F16" s="23">
        <f>150121.942035832/1000</f>
        <v>150.12194203583201</v>
      </c>
    </row>
    <row r="17" spans="1:6" ht="16.5" customHeight="1" x14ac:dyDescent="0.25">
      <c r="A17" s="4" t="s">
        <v>53</v>
      </c>
      <c r="B17" s="2" t="s">
        <v>54</v>
      </c>
      <c r="C17" s="4" t="s">
        <v>5</v>
      </c>
      <c r="D17" s="23">
        <f>205663.989733695/1000</f>
        <v>205.66398973369499</v>
      </c>
      <c r="E17" s="46"/>
      <c r="F17" s="23">
        <f>224546.577872864/1000</f>
        <v>224.54657787286399</v>
      </c>
    </row>
    <row r="18" spans="1:6" ht="25.5" x14ac:dyDescent="0.25">
      <c r="A18" s="4" t="s">
        <v>55</v>
      </c>
      <c r="B18" s="2" t="s">
        <v>56</v>
      </c>
      <c r="C18" s="4" t="s">
        <v>5</v>
      </c>
      <c r="D18" s="23">
        <v>335.95608961650424</v>
      </c>
      <c r="E18" s="46"/>
      <c r="F18" s="23">
        <v>362.17770000000002</v>
      </c>
    </row>
    <row r="19" spans="1:6" x14ac:dyDescent="0.25">
      <c r="A19" s="4" t="s">
        <v>24</v>
      </c>
      <c r="B19" s="2" t="s">
        <v>23</v>
      </c>
      <c r="C19" s="4" t="s">
        <v>5</v>
      </c>
      <c r="D19" s="23">
        <f>'[4]ТЭЦ-8_ээ'!$U$4/1000</f>
        <v>135.536</v>
      </c>
      <c r="E19" s="46"/>
      <c r="F19" s="23">
        <f>150038.443294609/1000</f>
        <v>150.03844329460898</v>
      </c>
    </row>
    <row r="20" spans="1:6" ht="25.5" x14ac:dyDescent="0.25">
      <c r="A20" s="4"/>
      <c r="B20" s="2" t="s">
        <v>46</v>
      </c>
      <c r="C20" s="11" t="s">
        <v>22</v>
      </c>
      <c r="D20" s="25">
        <v>436.346</v>
      </c>
      <c r="E20" s="43">
        <v>460</v>
      </c>
      <c r="F20" s="25">
        <v>434.29510702637106</v>
      </c>
    </row>
    <row r="21" spans="1:6" x14ac:dyDescent="0.25">
      <c r="A21" s="4" t="s">
        <v>19</v>
      </c>
      <c r="B21" s="2" t="s">
        <v>21</v>
      </c>
      <c r="C21" s="4" t="s">
        <v>5</v>
      </c>
      <c r="D21" s="23">
        <f>'[4]ТЭЦ-8_тэ'!$U$4/1000</f>
        <v>136.08000000000001</v>
      </c>
      <c r="E21" s="46"/>
      <c r="F21" s="23">
        <f>156721.819970385/1000</f>
        <v>156.72181997038498</v>
      </c>
    </row>
    <row r="22" spans="1:6" ht="25.5" x14ac:dyDescent="0.25">
      <c r="A22" s="4"/>
      <c r="B22" s="2" t="s">
        <v>47</v>
      </c>
      <c r="C22" s="11" t="s">
        <v>20</v>
      </c>
      <c r="D22" s="25">
        <v>159.60400000000001</v>
      </c>
      <c r="E22" s="43">
        <v>156</v>
      </c>
      <c r="F22" s="25">
        <v>158.5</v>
      </c>
    </row>
    <row r="23" spans="1:6" ht="51" x14ac:dyDescent="0.25">
      <c r="A23" s="4"/>
      <c r="B23" s="2" t="s">
        <v>48</v>
      </c>
      <c r="C23" s="11"/>
      <c r="D23" s="5" t="s">
        <v>88</v>
      </c>
      <c r="E23" s="44" t="s">
        <v>89</v>
      </c>
      <c r="F23" s="3" t="s">
        <v>88</v>
      </c>
    </row>
    <row r="24" spans="1:6" x14ac:dyDescent="0.25">
      <c r="A24" s="6" t="s">
        <v>17</v>
      </c>
      <c r="B24" s="7" t="s">
        <v>18</v>
      </c>
      <c r="C24" s="6" t="s">
        <v>5</v>
      </c>
      <c r="D24" s="38">
        <f>[2]амортизация!$C$11/1000</f>
        <v>110.125</v>
      </c>
      <c r="E24" s="3" t="s">
        <v>88</v>
      </c>
      <c r="F24" s="38">
        <f>82970.9999744612/1000</f>
        <v>82.970999974461193</v>
      </c>
    </row>
    <row r="25" spans="1:6" ht="38.25" x14ac:dyDescent="0.25">
      <c r="A25" s="6" t="s">
        <v>11</v>
      </c>
      <c r="B25" s="7" t="s">
        <v>16</v>
      </c>
      <c r="C25" s="4"/>
      <c r="D25" s="3"/>
      <c r="E25" s="3" t="s">
        <v>88</v>
      </c>
      <c r="F25" s="3" t="s">
        <v>88</v>
      </c>
    </row>
    <row r="26" spans="1:6" x14ac:dyDescent="0.25">
      <c r="A26" s="4" t="s">
        <v>57</v>
      </c>
      <c r="B26" s="2" t="s">
        <v>15</v>
      </c>
      <c r="C26" s="4" t="s">
        <v>14</v>
      </c>
      <c r="D26" s="23">
        <v>353.7</v>
      </c>
      <c r="E26" s="3" t="s">
        <v>88</v>
      </c>
      <c r="F26" s="23">
        <v>346.5</v>
      </c>
    </row>
    <row r="27" spans="1:6" ht="25.5" x14ac:dyDescent="0.25">
      <c r="A27" s="4" t="s">
        <v>58</v>
      </c>
      <c r="B27" s="2" t="s">
        <v>13</v>
      </c>
      <c r="C27" s="4" t="s">
        <v>12</v>
      </c>
      <c r="D27" s="23">
        <f>30655.8721229827/1000</f>
        <v>30.6558721229827</v>
      </c>
      <c r="E27" s="3" t="s">
        <v>88</v>
      </c>
      <c r="F27" s="23">
        <f>34585.080738245/1000</f>
        <v>34.585080738244997</v>
      </c>
    </row>
    <row r="28" spans="1:6" ht="63.75" x14ac:dyDescent="0.25">
      <c r="A28" s="4" t="s">
        <v>59</v>
      </c>
      <c r="B28" s="2" t="s">
        <v>60</v>
      </c>
      <c r="C28" s="4"/>
      <c r="D28" s="27" t="s">
        <v>117</v>
      </c>
      <c r="E28" s="3" t="s">
        <v>88</v>
      </c>
      <c r="F28" s="27" t="s">
        <v>121</v>
      </c>
    </row>
    <row r="29" spans="1:6" x14ac:dyDescent="0.25">
      <c r="A29" s="6" t="s">
        <v>10</v>
      </c>
      <c r="B29" s="7" t="s">
        <v>61</v>
      </c>
      <c r="C29" s="6" t="s">
        <v>5</v>
      </c>
      <c r="D29" s="47">
        <f>D30+D31+D32</f>
        <v>677.22116506907798</v>
      </c>
      <c r="E29" s="3" t="s">
        <v>88</v>
      </c>
      <c r="F29" s="38">
        <f t="shared" ref="F29" si="0">F30+F31+F32</f>
        <v>736.84621990869596</v>
      </c>
    </row>
    <row r="30" spans="1:6" x14ac:dyDescent="0.25">
      <c r="A30" s="10" t="s">
        <v>62</v>
      </c>
      <c r="B30" s="8" t="s">
        <v>63</v>
      </c>
      <c r="C30" s="4" t="s">
        <v>5</v>
      </c>
      <c r="D30" s="46">
        <f>135601.085335383/1000</f>
        <v>135.60108533538298</v>
      </c>
      <c r="E30" s="3" t="s">
        <v>88</v>
      </c>
      <c r="F30" s="23">
        <f>F16</f>
        <v>150.12194203583201</v>
      </c>
    </row>
    <row r="31" spans="1:6" x14ac:dyDescent="0.25">
      <c r="A31" s="10" t="s">
        <v>66</v>
      </c>
      <c r="B31" s="2" t="s">
        <v>64</v>
      </c>
      <c r="C31" s="4" t="s">
        <v>5</v>
      </c>
      <c r="D31" s="46">
        <f>205663.989733695/1000</f>
        <v>205.66398973369499</v>
      </c>
      <c r="E31" s="3" t="s">
        <v>88</v>
      </c>
      <c r="F31" s="23">
        <f>F17</f>
        <v>224.54657787286399</v>
      </c>
    </row>
    <row r="32" spans="1:6" ht="25.5" x14ac:dyDescent="0.25">
      <c r="A32" s="10" t="s">
        <v>67</v>
      </c>
      <c r="B32" s="2" t="s">
        <v>65</v>
      </c>
      <c r="C32" s="4" t="s">
        <v>5</v>
      </c>
      <c r="D32" s="46">
        <v>335.95609000000002</v>
      </c>
      <c r="E32" s="3" t="s">
        <v>88</v>
      </c>
      <c r="F32" s="23">
        <f>F18</f>
        <v>362.17770000000002</v>
      </c>
    </row>
    <row r="33" spans="1:6" ht="25.5" x14ac:dyDescent="0.25">
      <c r="A33" s="9" t="s">
        <v>8</v>
      </c>
      <c r="B33" s="7" t="s">
        <v>9</v>
      </c>
      <c r="C33" s="6" t="s">
        <v>5</v>
      </c>
      <c r="D33" s="3" t="s">
        <v>88</v>
      </c>
      <c r="E33" s="3" t="s">
        <v>88</v>
      </c>
      <c r="F33" s="3" t="s">
        <v>88</v>
      </c>
    </row>
    <row r="34" spans="1:6" x14ac:dyDescent="0.25">
      <c r="A34" s="10" t="s">
        <v>70</v>
      </c>
      <c r="B34" s="17" t="s">
        <v>68</v>
      </c>
      <c r="C34" s="4" t="s">
        <v>5</v>
      </c>
      <c r="D34" s="3" t="s">
        <v>88</v>
      </c>
      <c r="E34" s="3" t="s">
        <v>88</v>
      </c>
      <c r="F34" s="3" t="s">
        <v>88</v>
      </c>
    </row>
    <row r="35" spans="1:6" x14ac:dyDescent="0.25">
      <c r="A35" s="10" t="s">
        <v>71</v>
      </c>
      <c r="B35" s="17" t="s">
        <v>69</v>
      </c>
      <c r="C35" s="4" t="s">
        <v>5</v>
      </c>
      <c r="D35" s="3" t="s">
        <v>88</v>
      </c>
      <c r="E35" s="3" t="s">
        <v>88</v>
      </c>
      <c r="F35" s="3" t="s">
        <v>88</v>
      </c>
    </row>
    <row r="36" spans="1:6" ht="25.5" x14ac:dyDescent="0.25">
      <c r="A36" s="6" t="s">
        <v>7</v>
      </c>
      <c r="B36" s="7" t="s">
        <v>72</v>
      </c>
      <c r="C36" s="6" t="s">
        <v>5</v>
      </c>
      <c r="D36" s="38">
        <f>SUM(D37:D39)</f>
        <v>0</v>
      </c>
      <c r="E36" s="38">
        <f t="shared" ref="E36:F36" si="1">SUM(E37:E39)</f>
        <v>0</v>
      </c>
      <c r="F36" s="38">
        <f t="shared" si="1"/>
        <v>0</v>
      </c>
    </row>
    <row r="37" spans="1:6" x14ac:dyDescent="0.25">
      <c r="A37" s="4" t="s">
        <v>73</v>
      </c>
      <c r="B37" s="8" t="s">
        <v>63</v>
      </c>
      <c r="C37" s="4" t="s">
        <v>5</v>
      </c>
      <c r="D37" s="23" t="s">
        <v>88</v>
      </c>
      <c r="E37" s="3" t="s">
        <v>88</v>
      </c>
      <c r="F37" s="3" t="s">
        <v>88</v>
      </c>
    </row>
    <row r="38" spans="1:6" x14ac:dyDescent="0.25">
      <c r="A38" s="4" t="s">
        <v>74</v>
      </c>
      <c r="B38" s="2" t="s">
        <v>64</v>
      </c>
      <c r="C38" s="4" t="s">
        <v>5</v>
      </c>
      <c r="D38" s="23" t="s">
        <v>88</v>
      </c>
      <c r="E38" s="3" t="s">
        <v>88</v>
      </c>
      <c r="F38" s="3" t="s">
        <v>88</v>
      </c>
    </row>
    <row r="39" spans="1:6" ht="25.5" x14ac:dyDescent="0.25">
      <c r="A39" s="4" t="s">
        <v>75</v>
      </c>
      <c r="B39" s="2" t="s">
        <v>65</v>
      </c>
      <c r="C39" s="4" t="s">
        <v>5</v>
      </c>
      <c r="D39" s="23" t="s">
        <v>88</v>
      </c>
      <c r="E39" s="3" t="s">
        <v>88</v>
      </c>
      <c r="F39" s="3" t="s">
        <v>88</v>
      </c>
    </row>
    <row r="40" spans="1:6" ht="25.5" x14ac:dyDescent="0.25">
      <c r="A40" s="6" t="s">
        <v>4</v>
      </c>
      <c r="B40" s="7" t="s">
        <v>76</v>
      </c>
      <c r="C40" s="6" t="s">
        <v>5</v>
      </c>
      <c r="D40" s="3" t="s">
        <v>88</v>
      </c>
      <c r="E40" s="3" t="s">
        <v>88</v>
      </c>
      <c r="F40" s="3" t="s">
        <v>88</v>
      </c>
    </row>
    <row r="41" spans="1:6" x14ac:dyDescent="0.25">
      <c r="A41" s="4" t="s">
        <v>77</v>
      </c>
      <c r="B41" s="8" t="s">
        <v>63</v>
      </c>
      <c r="C41" s="4" t="s">
        <v>5</v>
      </c>
      <c r="D41" s="3" t="s">
        <v>88</v>
      </c>
      <c r="E41" s="3" t="s">
        <v>88</v>
      </c>
      <c r="F41" s="3" t="s">
        <v>88</v>
      </c>
    </row>
    <row r="42" spans="1:6" x14ac:dyDescent="0.25">
      <c r="A42" s="4" t="s">
        <v>78</v>
      </c>
      <c r="B42" s="2" t="s">
        <v>64</v>
      </c>
      <c r="C42" s="4" t="s">
        <v>5</v>
      </c>
      <c r="D42" s="3" t="s">
        <v>88</v>
      </c>
      <c r="E42" s="3" t="s">
        <v>88</v>
      </c>
      <c r="F42" s="3" t="s">
        <v>88</v>
      </c>
    </row>
    <row r="43" spans="1:6" ht="25.5" x14ac:dyDescent="0.25">
      <c r="A43" s="4" t="s">
        <v>79</v>
      </c>
      <c r="B43" s="2" t="s">
        <v>65</v>
      </c>
      <c r="C43" s="4" t="s">
        <v>5</v>
      </c>
      <c r="D43" s="3" t="s">
        <v>88</v>
      </c>
      <c r="E43" s="3" t="s">
        <v>88</v>
      </c>
      <c r="F43" s="3" t="s">
        <v>88</v>
      </c>
    </row>
    <row r="44" spans="1:6" x14ac:dyDescent="0.25">
      <c r="A44" s="6" t="s">
        <v>1</v>
      </c>
      <c r="B44" s="7" t="s">
        <v>6</v>
      </c>
      <c r="C44" s="6" t="s">
        <v>5</v>
      </c>
      <c r="D44" s="38"/>
      <c r="E44" s="3"/>
      <c r="F44" s="38"/>
    </row>
    <row r="45" spans="1:6" ht="38.25" x14ac:dyDescent="0.25">
      <c r="A45" s="18" t="s">
        <v>80</v>
      </c>
      <c r="B45" s="7" t="s">
        <v>3</v>
      </c>
      <c r="C45" s="19" t="s">
        <v>2</v>
      </c>
      <c r="D45" s="41"/>
      <c r="E45" s="3"/>
      <c r="F45" s="41"/>
    </row>
    <row r="46" spans="1:6" ht="96.75" customHeight="1" x14ac:dyDescent="0.25">
      <c r="A46" s="90" t="s">
        <v>81</v>
      </c>
      <c r="B46" s="92" t="s">
        <v>0</v>
      </c>
      <c r="C46" s="94"/>
      <c r="D46" s="96" t="s">
        <v>96</v>
      </c>
      <c r="E46" s="97"/>
      <c r="F46" s="98"/>
    </row>
    <row r="47" spans="1:6" ht="48" customHeight="1" x14ac:dyDescent="0.25">
      <c r="A47" s="91"/>
      <c r="B47" s="93"/>
      <c r="C47" s="95"/>
      <c r="D47" s="86" t="s">
        <v>91</v>
      </c>
      <c r="E47" s="99"/>
      <c r="F47" s="100"/>
    </row>
    <row r="48" spans="1:6" x14ac:dyDescent="0.25">
      <c r="A48" s="21"/>
      <c r="B48" s="22"/>
    </row>
    <row r="49" spans="1:6" ht="12" customHeight="1" x14ac:dyDescent="0.25">
      <c r="A49" s="21"/>
      <c r="B49" s="22" t="s">
        <v>92</v>
      </c>
    </row>
    <row r="50" spans="1:6" ht="27.75" customHeight="1" x14ac:dyDescent="0.25">
      <c r="A50" s="30" t="s">
        <v>94</v>
      </c>
      <c r="B50" s="85" t="s">
        <v>83</v>
      </c>
      <c r="C50" s="85"/>
      <c r="D50" s="85"/>
      <c r="E50" s="85"/>
      <c r="F50" s="85"/>
    </row>
    <row r="51" spans="1:6" ht="53.25" customHeight="1" x14ac:dyDescent="0.25">
      <c r="A51" s="31"/>
      <c r="B51" s="85"/>
      <c r="C51" s="85"/>
      <c r="D51" s="85"/>
      <c r="E51" s="85"/>
      <c r="F51" s="85"/>
    </row>
  </sheetData>
  <mergeCells count="12">
    <mergeCell ref="B50:F50"/>
    <mergeCell ref="B51:F51"/>
    <mergeCell ref="D1:F1"/>
    <mergeCell ref="A4:F4"/>
    <mergeCell ref="A5:F5"/>
    <mergeCell ref="A6:F6"/>
    <mergeCell ref="D2:F2"/>
    <mergeCell ref="A46:A47"/>
    <mergeCell ref="B46:B47"/>
    <mergeCell ref="C46:C47"/>
    <mergeCell ref="D46:F46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7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5" workbookViewId="0">
      <selection activeCell="D44" sqref="D44:F45"/>
    </sheetView>
  </sheetViews>
  <sheetFormatPr defaultRowHeight="15" x14ac:dyDescent="0.2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 x14ac:dyDescent="0.25">
      <c r="D1" s="83" t="s">
        <v>138</v>
      </c>
      <c r="E1" s="83"/>
      <c r="F1" s="83"/>
    </row>
    <row r="2" spans="1:6" ht="53.25" customHeight="1" x14ac:dyDescent="0.25">
      <c r="D2" s="84" t="s">
        <v>124</v>
      </c>
      <c r="E2" s="84"/>
      <c r="F2" s="84"/>
    </row>
    <row r="3" spans="1:6" ht="13.5" customHeight="1" x14ac:dyDescent="0.25">
      <c r="A3" s="16"/>
      <c r="B3" s="16"/>
      <c r="C3" s="16"/>
      <c r="D3" s="16"/>
      <c r="E3" s="15"/>
      <c r="F3" s="15"/>
    </row>
    <row r="4" spans="1:6" ht="16.5" customHeight="1" x14ac:dyDescent="0.25">
      <c r="A4" s="64" t="s">
        <v>125</v>
      </c>
      <c r="B4" s="64"/>
      <c r="C4" s="64"/>
      <c r="D4" s="64"/>
      <c r="E4" s="64"/>
      <c r="F4" s="64"/>
    </row>
    <row r="5" spans="1:6" ht="17.25" customHeight="1" x14ac:dyDescent="0.25">
      <c r="A5" s="64" t="s">
        <v>86</v>
      </c>
      <c r="B5" s="64"/>
      <c r="C5" s="64"/>
      <c r="D5" s="64"/>
      <c r="E5" s="64"/>
      <c r="F5" s="64"/>
    </row>
    <row r="6" spans="1:6" ht="17.25" customHeight="1" x14ac:dyDescent="0.25">
      <c r="A6" s="89" t="s">
        <v>95</v>
      </c>
      <c r="B6" s="89"/>
      <c r="C6" s="89"/>
      <c r="D6" s="89"/>
      <c r="E6" s="89"/>
      <c r="F6" s="89"/>
    </row>
    <row r="8" spans="1:6" ht="39" thickBot="1" x14ac:dyDescent="0.3">
      <c r="A8" s="14" t="s">
        <v>44</v>
      </c>
      <c r="B8" s="14" t="s">
        <v>43</v>
      </c>
      <c r="C8" s="14" t="s">
        <v>42</v>
      </c>
      <c r="D8" s="14" t="s">
        <v>41</v>
      </c>
      <c r="E8" s="14" t="s">
        <v>49</v>
      </c>
      <c r="F8" s="14" t="s">
        <v>45</v>
      </c>
    </row>
    <row r="9" spans="1:6" x14ac:dyDescent="0.25">
      <c r="A9" s="12" t="s">
        <v>40</v>
      </c>
      <c r="B9" s="13" t="s">
        <v>39</v>
      </c>
      <c r="C9" s="12" t="s">
        <v>36</v>
      </c>
      <c r="D9" s="24">
        <v>321</v>
      </c>
      <c r="E9" s="24"/>
      <c r="F9" s="24">
        <f>'[5]0.1'!$L$11</f>
        <v>321</v>
      </c>
    </row>
    <row r="10" spans="1:6" ht="63.75" x14ac:dyDescent="0.25">
      <c r="A10" s="4" t="s">
        <v>38</v>
      </c>
      <c r="B10" s="2" t="s">
        <v>37</v>
      </c>
      <c r="C10" s="4" t="s">
        <v>36</v>
      </c>
      <c r="D10" s="23">
        <v>194.12</v>
      </c>
      <c r="E10" s="23"/>
      <c r="F10" s="23">
        <f>'[5]0.1'!$L$12</f>
        <v>192.71883333333332</v>
      </c>
    </row>
    <row r="11" spans="1:6" x14ac:dyDescent="0.25">
      <c r="A11" s="4" t="s">
        <v>35</v>
      </c>
      <c r="B11" s="2" t="s">
        <v>34</v>
      </c>
      <c r="C11" s="4" t="s">
        <v>31</v>
      </c>
      <c r="D11" s="23">
        <v>1394.64</v>
      </c>
      <c r="E11" s="23"/>
      <c r="F11" s="23">
        <v>1252.5439999999999</v>
      </c>
    </row>
    <row r="12" spans="1:6" x14ac:dyDescent="0.25">
      <c r="A12" s="4" t="s">
        <v>33</v>
      </c>
      <c r="B12" s="2" t="s">
        <v>32</v>
      </c>
      <c r="C12" s="4" t="s">
        <v>31</v>
      </c>
      <c r="D12" s="23">
        <v>1160.0899999999999</v>
      </c>
      <c r="E12" s="23"/>
      <c r="F12" s="23">
        <v>1011.1630389999999</v>
      </c>
    </row>
    <row r="13" spans="1:6" x14ac:dyDescent="0.25">
      <c r="A13" s="4" t="s">
        <v>30</v>
      </c>
      <c r="B13" s="2" t="s">
        <v>29</v>
      </c>
      <c r="C13" s="4" t="s">
        <v>26</v>
      </c>
      <c r="D13" s="23">
        <v>3440.8220000000001</v>
      </c>
      <c r="E13" s="23"/>
      <c r="F13" s="23">
        <v>3583.0606670000002</v>
      </c>
    </row>
    <row r="14" spans="1:6" x14ac:dyDescent="0.25">
      <c r="A14" s="4" t="s">
        <v>28</v>
      </c>
      <c r="B14" s="2" t="s">
        <v>27</v>
      </c>
      <c r="C14" s="4" t="s">
        <v>26</v>
      </c>
      <c r="D14" s="23">
        <v>3425.2263000000003</v>
      </c>
      <c r="E14" s="23"/>
      <c r="F14" s="23">
        <v>3567.550667</v>
      </c>
    </row>
    <row r="15" spans="1:6" ht="21" customHeight="1" x14ac:dyDescent="0.25">
      <c r="A15" s="6" t="s">
        <v>25</v>
      </c>
      <c r="B15" s="7" t="s">
        <v>50</v>
      </c>
      <c r="C15" s="6" t="s">
        <v>5</v>
      </c>
      <c r="D15" s="38">
        <f>D16+D17+D18</f>
        <v>4265.0902019369587</v>
      </c>
      <c r="E15" s="38"/>
      <c r="F15" s="38">
        <f>F16+F17+F18</f>
        <v>4595.9233332613494</v>
      </c>
    </row>
    <row r="16" spans="1:6" x14ac:dyDescent="0.25">
      <c r="A16" s="4" t="s">
        <v>51</v>
      </c>
      <c r="B16" s="2" t="s">
        <v>52</v>
      </c>
      <c r="C16" s="4" t="s">
        <v>5</v>
      </c>
      <c r="D16" s="23">
        <f>1464626.53076542/1000</f>
        <v>1464.6265307654201</v>
      </c>
      <c r="E16" s="23"/>
      <c r="F16" s="23">
        <f>1299502.26129248/1000</f>
        <v>1299.5022612924799</v>
      </c>
    </row>
    <row r="17" spans="1:6" ht="16.5" customHeight="1" x14ac:dyDescent="0.25">
      <c r="A17" s="4" t="s">
        <v>53</v>
      </c>
      <c r="B17" s="2" t="s">
        <v>54</v>
      </c>
      <c r="C17" s="4" t="s">
        <v>5</v>
      </c>
      <c r="D17" s="23">
        <f>762291.256888439/1000</f>
        <v>762.29125688843897</v>
      </c>
      <c r="E17" s="23"/>
      <c r="F17" s="23">
        <f>709764.6318018/1000</f>
        <v>709.76463180179996</v>
      </c>
    </row>
    <row r="18" spans="1:6" ht="25.5" x14ac:dyDescent="0.25">
      <c r="A18" s="4" t="s">
        <v>55</v>
      </c>
      <c r="B18" s="2" t="s">
        <v>56</v>
      </c>
      <c r="C18" s="4" t="s">
        <v>5</v>
      </c>
      <c r="D18" s="23">
        <f>2038172.4142831/1000</f>
        <v>2038.1724142831001</v>
      </c>
      <c r="E18" s="23"/>
      <c r="F18" s="23">
        <f>2586656.44016707/1000</f>
        <v>2586.6564401670698</v>
      </c>
    </row>
    <row r="19" spans="1:6" x14ac:dyDescent="0.25">
      <c r="A19" s="4" t="s">
        <v>24</v>
      </c>
      <c r="B19" s="2" t="s">
        <v>23</v>
      </c>
      <c r="C19" s="4" t="s">
        <v>5</v>
      </c>
      <c r="D19" s="23">
        <f>1463660.93709542/1000</f>
        <v>1463.66093709542</v>
      </c>
      <c r="E19" s="23"/>
      <c r="F19" s="23">
        <f>1298422.37354638/1000</f>
        <v>1298.4223735463802</v>
      </c>
    </row>
    <row r="20" spans="1:6" ht="25.5" x14ac:dyDescent="0.25">
      <c r="A20" s="4"/>
      <c r="B20" s="2" t="s">
        <v>46</v>
      </c>
      <c r="C20" s="11" t="s">
        <v>22</v>
      </c>
      <c r="D20" s="25">
        <v>347.56099999999998</v>
      </c>
      <c r="E20" s="25">
        <v>325</v>
      </c>
      <c r="F20" s="25">
        <v>316.29866331969038</v>
      </c>
    </row>
    <row r="21" spans="1:6" x14ac:dyDescent="0.25">
      <c r="A21" s="4" t="s">
        <v>19</v>
      </c>
      <c r="B21" s="2" t="s">
        <v>21</v>
      </c>
      <c r="C21" s="4" t="s">
        <v>5</v>
      </c>
      <c r="D21" s="23">
        <f>1567359.62863857/1000</f>
        <v>1567.35962863857</v>
      </c>
      <c r="E21" s="23"/>
      <c r="F21" s="23">
        <f>1951135.85842134/1000</f>
        <v>1951.1358584213399</v>
      </c>
    </row>
    <row r="22" spans="1:6" ht="25.5" x14ac:dyDescent="0.25">
      <c r="A22" s="4"/>
      <c r="B22" s="2" t="s">
        <v>47</v>
      </c>
      <c r="C22" s="11" t="s">
        <v>20</v>
      </c>
      <c r="D22" s="25">
        <v>126.316</v>
      </c>
      <c r="E22" s="25">
        <v>129</v>
      </c>
      <c r="F22" s="25">
        <v>135.69999999999999</v>
      </c>
    </row>
    <row r="23" spans="1:6" ht="51" x14ac:dyDescent="0.25">
      <c r="A23" s="4"/>
      <c r="B23" s="2" t="s">
        <v>48</v>
      </c>
      <c r="C23" s="11"/>
      <c r="D23" s="5" t="s">
        <v>88</v>
      </c>
      <c r="E23" s="27" t="s">
        <v>89</v>
      </c>
      <c r="F23" s="5" t="s">
        <v>88</v>
      </c>
    </row>
    <row r="24" spans="1:6" x14ac:dyDescent="0.25">
      <c r="A24" s="6" t="s">
        <v>17</v>
      </c>
      <c r="B24" s="7" t="s">
        <v>18</v>
      </c>
      <c r="C24" s="6" t="s">
        <v>5</v>
      </c>
      <c r="D24" s="38">
        <f>[2]амортизация!$C$15/1000</f>
        <v>170.61699999999999</v>
      </c>
      <c r="E24" s="3"/>
      <c r="F24" s="38">
        <f>207075.070182333/1000</f>
        <v>207.07507018233301</v>
      </c>
    </row>
    <row r="25" spans="1:6" ht="38.25" x14ac:dyDescent="0.25">
      <c r="A25" s="6" t="s">
        <v>11</v>
      </c>
      <c r="B25" s="7" t="s">
        <v>16</v>
      </c>
      <c r="C25" s="4"/>
      <c r="D25" s="3"/>
      <c r="E25" s="3"/>
      <c r="F25" s="3" t="s">
        <v>88</v>
      </c>
    </row>
    <row r="26" spans="1:6" x14ac:dyDescent="0.25">
      <c r="A26" s="4" t="s">
        <v>57</v>
      </c>
      <c r="B26" s="2" t="s">
        <v>15</v>
      </c>
      <c r="C26" s="4" t="s">
        <v>14</v>
      </c>
      <c r="D26" s="23">
        <v>370.3</v>
      </c>
      <c r="E26" s="3"/>
      <c r="F26" s="23">
        <v>371.8</v>
      </c>
    </row>
    <row r="27" spans="1:6" ht="25.5" x14ac:dyDescent="0.25">
      <c r="A27" s="4" t="s">
        <v>58</v>
      </c>
      <c r="B27" s="2" t="s">
        <v>13</v>
      </c>
      <c r="C27" s="4" t="s">
        <v>12</v>
      </c>
      <c r="D27" s="23">
        <f>38056.3025538086/1000</f>
        <v>38.056302553808599</v>
      </c>
      <c r="E27" s="3"/>
      <c r="F27" s="23">
        <f>44667.6024269935/1000</f>
        <v>44.667602426993497</v>
      </c>
    </row>
    <row r="28" spans="1:6" ht="63.75" x14ac:dyDescent="0.25">
      <c r="A28" s="4" t="s">
        <v>59</v>
      </c>
      <c r="B28" s="2" t="s">
        <v>60</v>
      </c>
      <c r="C28" s="4"/>
      <c r="D28" s="27" t="s">
        <v>117</v>
      </c>
      <c r="E28" s="3"/>
      <c r="F28" s="27" t="s">
        <v>121</v>
      </c>
    </row>
    <row r="29" spans="1:6" x14ac:dyDescent="0.25">
      <c r="A29" s="6" t="s">
        <v>10</v>
      </c>
      <c r="B29" s="7" t="s">
        <v>61</v>
      </c>
      <c r="C29" s="6" t="s">
        <v>5</v>
      </c>
      <c r="D29" s="38">
        <f>D30+D31+D32</f>
        <v>4265.0902019369587</v>
      </c>
      <c r="E29" s="38"/>
      <c r="F29" s="38">
        <f>F30+F31+F32</f>
        <v>4595.9233332613494</v>
      </c>
    </row>
    <row r="30" spans="1:6" x14ac:dyDescent="0.25">
      <c r="A30" s="10" t="s">
        <v>62</v>
      </c>
      <c r="B30" s="8" t="s">
        <v>63</v>
      </c>
      <c r="C30" s="4" t="s">
        <v>5</v>
      </c>
      <c r="D30" s="23">
        <f>D16</f>
        <v>1464.6265307654201</v>
      </c>
      <c r="E30" s="23"/>
      <c r="F30" s="23">
        <f>F16</f>
        <v>1299.5022612924799</v>
      </c>
    </row>
    <row r="31" spans="1:6" x14ac:dyDescent="0.25">
      <c r="A31" s="10" t="s">
        <v>66</v>
      </c>
      <c r="B31" s="2" t="s">
        <v>64</v>
      </c>
      <c r="C31" s="4" t="s">
        <v>5</v>
      </c>
      <c r="D31" s="23">
        <f t="shared" ref="D31:D32" si="0">D17</f>
        <v>762.29125688843897</v>
      </c>
      <c r="E31" s="23"/>
      <c r="F31" s="23">
        <f t="shared" ref="F31:F32" si="1">F17</f>
        <v>709.76463180179996</v>
      </c>
    </row>
    <row r="32" spans="1:6" ht="25.5" x14ac:dyDescent="0.25">
      <c r="A32" s="10" t="s">
        <v>67</v>
      </c>
      <c r="B32" s="2" t="s">
        <v>65</v>
      </c>
      <c r="C32" s="4" t="s">
        <v>5</v>
      </c>
      <c r="D32" s="23">
        <f t="shared" si="0"/>
        <v>2038.1724142831001</v>
      </c>
      <c r="E32" s="23"/>
      <c r="F32" s="23">
        <f t="shared" si="1"/>
        <v>2586.6564401670698</v>
      </c>
    </row>
    <row r="33" spans="1:6" ht="25.5" x14ac:dyDescent="0.25">
      <c r="A33" s="9" t="s">
        <v>8</v>
      </c>
      <c r="B33" s="7" t="s">
        <v>9</v>
      </c>
      <c r="C33" s="6" t="s">
        <v>5</v>
      </c>
      <c r="D33" s="3" t="s">
        <v>88</v>
      </c>
      <c r="E33" s="3"/>
      <c r="F33" s="3" t="s">
        <v>88</v>
      </c>
    </row>
    <row r="34" spans="1:6" x14ac:dyDescent="0.25">
      <c r="A34" s="10" t="s">
        <v>70</v>
      </c>
      <c r="B34" s="17" t="s">
        <v>68</v>
      </c>
      <c r="C34" s="4" t="s">
        <v>5</v>
      </c>
      <c r="D34" s="3" t="s">
        <v>88</v>
      </c>
      <c r="E34" s="3"/>
      <c r="F34" s="3" t="s">
        <v>88</v>
      </c>
    </row>
    <row r="35" spans="1:6" x14ac:dyDescent="0.25">
      <c r="A35" s="10" t="s">
        <v>71</v>
      </c>
      <c r="B35" s="17" t="s">
        <v>69</v>
      </c>
      <c r="C35" s="4" t="s">
        <v>5</v>
      </c>
      <c r="D35" s="3" t="s">
        <v>88</v>
      </c>
      <c r="E35" s="3"/>
      <c r="F35" s="3" t="s">
        <v>88</v>
      </c>
    </row>
    <row r="36" spans="1:6" ht="25.5" x14ac:dyDescent="0.25">
      <c r="A36" s="6" t="s">
        <v>7</v>
      </c>
      <c r="B36" s="7" t="s">
        <v>72</v>
      </c>
      <c r="C36" s="6" t="s">
        <v>5</v>
      </c>
      <c r="D36" s="38">
        <f>SUM(D37:D39)</f>
        <v>0</v>
      </c>
      <c r="E36" s="38"/>
      <c r="F36" s="38">
        <f t="shared" ref="F36" si="2">SUM(F37:F39)</f>
        <v>0</v>
      </c>
    </row>
    <row r="37" spans="1:6" x14ac:dyDescent="0.25">
      <c r="A37" s="4" t="s">
        <v>73</v>
      </c>
      <c r="B37" s="8" t="s">
        <v>63</v>
      </c>
      <c r="C37" s="4" t="s">
        <v>5</v>
      </c>
      <c r="D37" s="23" t="s">
        <v>88</v>
      </c>
      <c r="E37" s="23"/>
      <c r="F37" s="23" t="s">
        <v>88</v>
      </c>
    </row>
    <row r="38" spans="1:6" x14ac:dyDescent="0.25">
      <c r="A38" s="4" t="s">
        <v>74</v>
      </c>
      <c r="B38" s="2" t="s">
        <v>64</v>
      </c>
      <c r="C38" s="4" t="s">
        <v>5</v>
      </c>
      <c r="D38" s="23" t="s">
        <v>88</v>
      </c>
      <c r="E38" s="23"/>
      <c r="F38" s="23" t="s">
        <v>88</v>
      </c>
    </row>
    <row r="39" spans="1:6" ht="25.5" x14ac:dyDescent="0.25">
      <c r="A39" s="4" t="s">
        <v>75</v>
      </c>
      <c r="B39" s="2" t="s">
        <v>65</v>
      </c>
      <c r="C39" s="4" t="s">
        <v>5</v>
      </c>
      <c r="D39" s="23" t="s">
        <v>88</v>
      </c>
      <c r="E39" s="23"/>
      <c r="F39" s="23" t="s">
        <v>88</v>
      </c>
    </row>
    <row r="40" spans="1:6" ht="25.5" x14ac:dyDescent="0.25">
      <c r="A40" s="6" t="s">
        <v>4</v>
      </c>
      <c r="B40" s="7" t="s">
        <v>76</v>
      </c>
      <c r="C40" s="6" t="s">
        <v>5</v>
      </c>
      <c r="D40" s="3" t="s">
        <v>88</v>
      </c>
      <c r="E40" s="3"/>
      <c r="F40" s="3" t="s">
        <v>88</v>
      </c>
    </row>
    <row r="41" spans="1:6" x14ac:dyDescent="0.25">
      <c r="A41" s="4" t="s">
        <v>77</v>
      </c>
      <c r="B41" s="8" t="s">
        <v>63</v>
      </c>
      <c r="C41" s="4" t="s">
        <v>5</v>
      </c>
      <c r="D41" s="3" t="s">
        <v>88</v>
      </c>
      <c r="E41" s="3"/>
      <c r="F41" s="3" t="s">
        <v>88</v>
      </c>
    </row>
    <row r="42" spans="1:6" x14ac:dyDescent="0.25">
      <c r="A42" s="4" t="s">
        <v>78</v>
      </c>
      <c r="B42" s="2" t="s">
        <v>64</v>
      </c>
      <c r="C42" s="4" t="s">
        <v>5</v>
      </c>
      <c r="D42" s="3" t="s">
        <v>88</v>
      </c>
      <c r="E42" s="3"/>
      <c r="F42" s="3" t="s">
        <v>88</v>
      </c>
    </row>
    <row r="43" spans="1:6" ht="25.5" x14ac:dyDescent="0.25">
      <c r="A43" s="4" t="s">
        <v>79</v>
      </c>
      <c r="B43" s="2" t="s">
        <v>65</v>
      </c>
      <c r="C43" s="4" t="s">
        <v>5</v>
      </c>
      <c r="D43" s="3" t="s">
        <v>88</v>
      </c>
      <c r="E43" s="3"/>
      <c r="F43" s="3" t="s">
        <v>88</v>
      </c>
    </row>
    <row r="44" spans="1:6" x14ac:dyDescent="0.25">
      <c r="A44" s="6" t="s">
        <v>1</v>
      </c>
      <c r="B44" s="7" t="s">
        <v>6</v>
      </c>
      <c r="C44" s="6" t="s">
        <v>5</v>
      </c>
      <c r="D44" s="38"/>
      <c r="E44" s="38"/>
      <c r="F44" s="38"/>
    </row>
    <row r="45" spans="1:6" ht="38.25" x14ac:dyDescent="0.25">
      <c r="A45" s="18" t="s">
        <v>80</v>
      </c>
      <c r="B45" s="7" t="s">
        <v>3</v>
      </c>
      <c r="C45" s="19" t="s">
        <v>2</v>
      </c>
      <c r="D45" s="41"/>
      <c r="E45" s="41"/>
      <c r="F45" s="41"/>
    </row>
    <row r="46" spans="1:6" ht="78.75" customHeight="1" x14ac:dyDescent="0.25">
      <c r="A46" s="90" t="s">
        <v>81</v>
      </c>
      <c r="B46" s="92" t="s">
        <v>0</v>
      </c>
      <c r="C46" s="94"/>
      <c r="D46" s="96" t="s">
        <v>93</v>
      </c>
      <c r="E46" s="97"/>
      <c r="F46" s="98"/>
    </row>
    <row r="47" spans="1:6" ht="48" customHeight="1" x14ac:dyDescent="0.25">
      <c r="A47" s="91"/>
      <c r="B47" s="93"/>
      <c r="C47" s="95"/>
      <c r="D47" s="86" t="s">
        <v>91</v>
      </c>
      <c r="E47" s="99"/>
      <c r="F47" s="100"/>
    </row>
    <row r="48" spans="1:6" x14ac:dyDescent="0.25">
      <c r="A48" s="21"/>
      <c r="B48" s="22" t="s">
        <v>82</v>
      </c>
    </row>
    <row r="49" spans="1:6" ht="30" customHeight="1" x14ac:dyDescent="0.25">
      <c r="A49" s="30" t="s">
        <v>94</v>
      </c>
      <c r="B49" s="84" t="s">
        <v>83</v>
      </c>
      <c r="C49" s="84"/>
      <c r="D49" s="84"/>
      <c r="E49" s="84"/>
      <c r="F49" s="84"/>
    </row>
    <row r="50" spans="1:6" x14ac:dyDescent="0.25">
      <c r="A50" s="21"/>
      <c r="B50" s="21"/>
    </row>
    <row r="51" spans="1:6" x14ac:dyDescent="0.25">
      <c r="A51" s="21"/>
      <c r="B51" s="21"/>
    </row>
    <row r="52" spans="1:6" x14ac:dyDescent="0.25">
      <c r="A52" s="21"/>
      <c r="B52" s="21"/>
    </row>
  </sheetData>
  <mergeCells count="11">
    <mergeCell ref="D1:F1"/>
    <mergeCell ref="A4:F4"/>
    <mergeCell ref="A5:F5"/>
    <mergeCell ref="A6:F6"/>
    <mergeCell ref="B49:F49"/>
    <mergeCell ref="A46:A47"/>
    <mergeCell ref="B46:B47"/>
    <mergeCell ref="C46:C47"/>
    <mergeCell ref="D46:F46"/>
    <mergeCell ref="D47:F47"/>
    <mergeCell ref="D2:F2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31" workbookViewId="0">
      <selection activeCell="D44" sqref="D44:F45"/>
    </sheetView>
  </sheetViews>
  <sheetFormatPr defaultRowHeight="15" x14ac:dyDescent="0.2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 x14ac:dyDescent="0.25">
      <c r="D1" s="83" t="s">
        <v>138</v>
      </c>
      <c r="E1" s="83"/>
      <c r="F1" s="83"/>
    </row>
    <row r="2" spans="1:6" ht="52.5" customHeight="1" x14ac:dyDescent="0.25">
      <c r="D2" s="84" t="s">
        <v>124</v>
      </c>
      <c r="E2" s="84"/>
      <c r="F2" s="84"/>
    </row>
    <row r="3" spans="1:6" ht="13.5" customHeight="1" x14ac:dyDescent="0.25">
      <c r="A3" s="16"/>
      <c r="B3" s="16"/>
      <c r="C3" s="16"/>
      <c r="D3" s="16"/>
      <c r="E3" s="15"/>
      <c r="F3" s="15"/>
    </row>
    <row r="4" spans="1:6" ht="16.5" customHeight="1" x14ac:dyDescent="0.25">
      <c r="A4" s="64" t="s">
        <v>139</v>
      </c>
      <c r="B4" s="64"/>
      <c r="C4" s="64"/>
      <c r="D4" s="64"/>
      <c r="E4" s="64"/>
      <c r="F4" s="64"/>
    </row>
    <row r="5" spans="1:6" ht="17.25" customHeight="1" x14ac:dyDescent="0.25">
      <c r="A5" s="64" t="s">
        <v>87</v>
      </c>
      <c r="B5" s="64"/>
      <c r="C5" s="64"/>
      <c r="D5" s="64"/>
      <c r="E5" s="64"/>
      <c r="F5" s="64"/>
    </row>
    <row r="6" spans="1:6" ht="17.25" customHeight="1" x14ac:dyDescent="0.25">
      <c r="A6" s="89" t="s">
        <v>95</v>
      </c>
      <c r="B6" s="89"/>
      <c r="C6" s="89"/>
      <c r="D6" s="89"/>
      <c r="E6" s="89"/>
      <c r="F6" s="89"/>
    </row>
    <row r="8" spans="1:6" ht="39" thickBot="1" x14ac:dyDescent="0.3">
      <c r="A8" s="14" t="s">
        <v>44</v>
      </c>
      <c r="B8" s="14" t="s">
        <v>43</v>
      </c>
      <c r="C8" s="14" t="s">
        <v>42</v>
      </c>
      <c r="D8" s="14" t="s">
        <v>41</v>
      </c>
      <c r="E8" s="14" t="s">
        <v>49</v>
      </c>
      <c r="F8" s="14" t="s">
        <v>45</v>
      </c>
    </row>
    <row r="9" spans="1:6" x14ac:dyDescent="0.25">
      <c r="A9" s="12" t="s">
        <v>40</v>
      </c>
      <c r="B9" s="13" t="s">
        <v>39</v>
      </c>
      <c r="C9" s="12" t="s">
        <v>36</v>
      </c>
      <c r="D9" s="24">
        <v>257.38</v>
      </c>
      <c r="E9" s="24"/>
      <c r="F9" s="24">
        <f>'[6]0.1'!$L$11</f>
        <v>250.5</v>
      </c>
    </row>
    <row r="10" spans="1:6" ht="63.75" x14ac:dyDescent="0.25">
      <c r="A10" s="4" t="s">
        <v>38</v>
      </c>
      <c r="B10" s="2" t="s">
        <v>37</v>
      </c>
      <c r="C10" s="4" t="s">
        <v>36</v>
      </c>
      <c r="D10" s="23">
        <v>213.23</v>
      </c>
      <c r="E10" s="23"/>
      <c r="F10" s="23">
        <v>215.17858333333334</v>
      </c>
    </row>
    <row r="11" spans="1:6" x14ac:dyDescent="0.25">
      <c r="A11" s="4" t="s">
        <v>35</v>
      </c>
      <c r="B11" s="2" t="s">
        <v>34</v>
      </c>
      <c r="C11" s="4" t="s">
        <v>31</v>
      </c>
      <c r="D11" s="23">
        <v>787.24</v>
      </c>
      <c r="E11" s="23"/>
      <c r="F11" s="23">
        <v>739.58899999999994</v>
      </c>
    </row>
    <row r="12" spans="1:6" x14ac:dyDescent="0.25">
      <c r="A12" s="4" t="s">
        <v>33</v>
      </c>
      <c r="B12" s="2" t="s">
        <v>32</v>
      </c>
      <c r="C12" s="4" t="s">
        <v>31</v>
      </c>
      <c r="D12" s="23">
        <v>684.71</v>
      </c>
      <c r="E12" s="23"/>
      <c r="F12" s="23">
        <v>635.76051899999993</v>
      </c>
    </row>
    <row r="13" spans="1:6" x14ac:dyDescent="0.25">
      <c r="A13" s="4" t="s">
        <v>30</v>
      </c>
      <c r="B13" s="2" t="s">
        <v>29</v>
      </c>
      <c r="C13" s="4" t="s">
        <v>26</v>
      </c>
      <c r="D13" s="23">
        <v>1240.42</v>
      </c>
      <c r="E13" s="23"/>
      <c r="F13" s="23">
        <v>1294.2833330000001</v>
      </c>
    </row>
    <row r="14" spans="1:6" x14ac:dyDescent="0.25">
      <c r="A14" s="4" t="s">
        <v>28</v>
      </c>
      <c r="B14" s="2" t="s">
        <v>27</v>
      </c>
      <c r="C14" s="4" t="s">
        <v>26</v>
      </c>
      <c r="D14" s="23">
        <v>1236.4302</v>
      </c>
      <c r="E14" s="23"/>
      <c r="F14" s="23">
        <v>1290.2063330000001</v>
      </c>
    </row>
    <row r="15" spans="1:6" ht="21" customHeight="1" x14ac:dyDescent="0.25">
      <c r="A15" s="6" t="s">
        <v>25</v>
      </c>
      <c r="B15" s="7" t="s">
        <v>50</v>
      </c>
      <c r="C15" s="6" t="s">
        <v>5</v>
      </c>
      <c r="D15" s="38">
        <f>D16+D17+D18</f>
        <v>2051.0222040614708</v>
      </c>
      <c r="E15" s="38"/>
      <c r="F15" s="38">
        <f>F16+F17+F18</f>
        <v>2190.5607003441683</v>
      </c>
    </row>
    <row r="16" spans="1:6" x14ac:dyDescent="0.25">
      <c r="A16" s="4" t="s">
        <v>51</v>
      </c>
      <c r="B16" s="2" t="s">
        <v>52</v>
      </c>
      <c r="C16" s="4" t="s">
        <v>5</v>
      </c>
      <c r="D16" s="23">
        <f>735326.475456977/1000</f>
        <v>735.32647545697705</v>
      </c>
      <c r="E16" s="23"/>
      <c r="F16" s="23">
        <f>712256.167818728/1000</f>
        <v>712.25616781872804</v>
      </c>
    </row>
    <row r="17" spans="1:6" ht="16.5" customHeight="1" x14ac:dyDescent="0.25">
      <c r="A17" s="4" t="s">
        <v>53</v>
      </c>
      <c r="B17" s="2" t="s">
        <v>54</v>
      </c>
      <c r="C17" s="4" t="s">
        <v>5</v>
      </c>
      <c r="D17" s="23">
        <f>480522.775535889/1000</f>
        <v>480.52277553588902</v>
      </c>
      <c r="E17" s="23"/>
      <c r="F17" s="23">
        <f>531652.184496372/1000</f>
        <v>531.652184496372</v>
      </c>
    </row>
    <row r="18" spans="1:6" ht="25.5" x14ac:dyDescent="0.25">
      <c r="A18" s="4" t="s">
        <v>55</v>
      </c>
      <c r="B18" s="2" t="s">
        <v>56</v>
      </c>
      <c r="C18" s="4" t="s">
        <v>5</v>
      </c>
      <c r="D18" s="23">
        <f>835172.953068605/1000</f>
        <v>835.17295306860501</v>
      </c>
      <c r="E18" s="23"/>
      <c r="F18" s="23">
        <f>946652.348029068/1000</f>
        <v>946.65234802906798</v>
      </c>
    </row>
    <row r="19" spans="1:6" x14ac:dyDescent="0.25">
      <c r="A19" s="4" t="s">
        <v>24</v>
      </c>
      <c r="B19" s="2" t="s">
        <v>23</v>
      </c>
      <c r="C19" s="4" t="s">
        <v>5</v>
      </c>
      <c r="D19" s="23">
        <f>734756.294116977/1000</f>
        <v>734.75629411697707</v>
      </c>
      <c r="E19" s="23"/>
      <c r="F19" s="23">
        <f>711577.197200293/1000</f>
        <v>711.57719720029297</v>
      </c>
    </row>
    <row r="20" spans="1:6" ht="25.5" x14ac:dyDescent="0.25">
      <c r="A20" s="4"/>
      <c r="B20" s="2" t="s">
        <v>46</v>
      </c>
      <c r="C20" s="11" t="s">
        <v>22</v>
      </c>
      <c r="D20" s="25">
        <v>295.22699999999998</v>
      </c>
      <c r="E20" s="25">
        <v>303</v>
      </c>
      <c r="F20" s="25">
        <v>275.70143537982528</v>
      </c>
    </row>
    <row r="21" spans="1:6" x14ac:dyDescent="0.25">
      <c r="A21" s="4" t="s">
        <v>19</v>
      </c>
      <c r="B21" s="2" t="s">
        <v>21</v>
      </c>
      <c r="C21" s="4" t="s">
        <v>5</v>
      </c>
      <c r="D21" s="23">
        <f>604090.789364942/1000</f>
        <v>604.090789364942</v>
      </c>
      <c r="E21" s="23"/>
      <c r="F21" s="23">
        <f>660807.629515439/1000</f>
        <v>660.80762951543909</v>
      </c>
    </row>
    <row r="22" spans="1:6" ht="25.5" x14ac:dyDescent="0.25">
      <c r="A22" s="4"/>
      <c r="B22" s="2" t="s">
        <v>47</v>
      </c>
      <c r="C22" s="11" t="s">
        <v>20</v>
      </c>
      <c r="D22" s="25">
        <v>134.64699999999999</v>
      </c>
      <c r="E22" s="25">
        <v>135</v>
      </c>
      <c r="F22" s="25">
        <v>127</v>
      </c>
    </row>
    <row r="23" spans="1:6" ht="51" x14ac:dyDescent="0.25">
      <c r="A23" s="4"/>
      <c r="B23" s="2" t="s">
        <v>48</v>
      </c>
      <c r="C23" s="11"/>
      <c r="D23" s="5" t="s">
        <v>88</v>
      </c>
      <c r="E23" s="27" t="s">
        <v>89</v>
      </c>
      <c r="F23" s="5" t="s">
        <v>88</v>
      </c>
    </row>
    <row r="24" spans="1:6" x14ac:dyDescent="0.25">
      <c r="A24" s="6" t="s">
        <v>17</v>
      </c>
      <c r="B24" s="7" t="s">
        <v>18</v>
      </c>
      <c r="C24" s="6" t="s">
        <v>5</v>
      </c>
      <c r="D24" s="38">
        <f>[2]амортизация!$C$16/1000</f>
        <v>113.02800000000001</v>
      </c>
      <c r="E24" s="3"/>
      <c r="F24" s="38">
        <f>165588/1000</f>
        <v>165.58799999999999</v>
      </c>
    </row>
    <row r="25" spans="1:6" ht="38.25" x14ac:dyDescent="0.25">
      <c r="A25" s="6" t="s">
        <v>11</v>
      </c>
      <c r="B25" s="7" t="s">
        <v>16</v>
      </c>
      <c r="C25" s="4"/>
      <c r="D25" s="3"/>
      <c r="E25" s="3"/>
      <c r="F25" s="3" t="s">
        <v>88</v>
      </c>
    </row>
    <row r="26" spans="1:6" x14ac:dyDescent="0.25">
      <c r="A26" s="4" t="s">
        <v>57</v>
      </c>
      <c r="B26" s="2" t="s">
        <v>15</v>
      </c>
      <c r="C26" s="4" t="s">
        <v>14</v>
      </c>
      <c r="D26" s="23">
        <v>283.8</v>
      </c>
      <c r="E26" s="3"/>
      <c r="F26" s="23">
        <v>265.2</v>
      </c>
    </row>
    <row r="27" spans="1:6" ht="25.5" x14ac:dyDescent="0.25">
      <c r="A27" s="4" t="s">
        <v>58</v>
      </c>
      <c r="B27" s="2" t="s">
        <v>13</v>
      </c>
      <c r="C27" s="4" t="s">
        <v>12</v>
      </c>
      <c r="D27" s="23">
        <f>37021.408321896/1000</f>
        <v>37.021408321895997</v>
      </c>
      <c r="E27" s="3"/>
      <c r="F27" s="23">
        <f>41766.4971565563/1000</f>
        <v>41.766497156556305</v>
      </c>
    </row>
    <row r="28" spans="1:6" ht="63.75" x14ac:dyDescent="0.25">
      <c r="A28" s="4" t="s">
        <v>59</v>
      </c>
      <c r="B28" s="2" t="s">
        <v>60</v>
      </c>
      <c r="C28" s="4"/>
      <c r="D28" s="27" t="s">
        <v>117</v>
      </c>
      <c r="E28" s="3"/>
      <c r="F28" s="27" t="s">
        <v>121</v>
      </c>
    </row>
    <row r="29" spans="1:6" x14ac:dyDescent="0.25">
      <c r="A29" s="6" t="s">
        <v>10</v>
      </c>
      <c r="B29" s="7" t="s">
        <v>61</v>
      </c>
      <c r="C29" s="6" t="s">
        <v>5</v>
      </c>
      <c r="D29" s="38">
        <f>D30+D31+D32</f>
        <v>2051.0222040614708</v>
      </c>
      <c r="E29" s="38"/>
      <c r="F29" s="38">
        <f>F30+F31+F32</f>
        <v>2190.5607003441683</v>
      </c>
    </row>
    <row r="30" spans="1:6" x14ac:dyDescent="0.25">
      <c r="A30" s="10" t="s">
        <v>62</v>
      </c>
      <c r="B30" s="8" t="s">
        <v>63</v>
      </c>
      <c r="C30" s="4" t="s">
        <v>5</v>
      </c>
      <c r="D30" s="23">
        <f>D16</f>
        <v>735.32647545697705</v>
      </c>
      <c r="E30" s="23"/>
      <c r="F30" s="23">
        <f>F16</f>
        <v>712.25616781872804</v>
      </c>
    </row>
    <row r="31" spans="1:6" x14ac:dyDescent="0.25">
      <c r="A31" s="10" t="s">
        <v>66</v>
      </c>
      <c r="B31" s="2" t="s">
        <v>64</v>
      </c>
      <c r="C31" s="4" t="s">
        <v>5</v>
      </c>
      <c r="D31" s="23">
        <f t="shared" ref="D31:D32" si="0">D17</f>
        <v>480.52277553588902</v>
      </c>
      <c r="E31" s="23"/>
      <c r="F31" s="23">
        <f t="shared" ref="F31:F32" si="1">F17</f>
        <v>531.652184496372</v>
      </c>
    </row>
    <row r="32" spans="1:6" ht="25.5" x14ac:dyDescent="0.25">
      <c r="A32" s="10" t="s">
        <v>67</v>
      </c>
      <c r="B32" s="2" t="s">
        <v>65</v>
      </c>
      <c r="C32" s="4" t="s">
        <v>5</v>
      </c>
      <c r="D32" s="23">
        <f t="shared" si="0"/>
        <v>835.17295306860501</v>
      </c>
      <c r="E32" s="23"/>
      <c r="F32" s="23">
        <f t="shared" si="1"/>
        <v>946.65234802906798</v>
      </c>
    </row>
    <row r="33" spans="1:6" ht="25.5" x14ac:dyDescent="0.25">
      <c r="A33" s="9" t="s">
        <v>8</v>
      </c>
      <c r="B33" s="7" t="s">
        <v>9</v>
      </c>
      <c r="C33" s="6" t="s">
        <v>5</v>
      </c>
      <c r="D33" s="3" t="s">
        <v>88</v>
      </c>
      <c r="E33" s="3"/>
      <c r="F33" s="3" t="s">
        <v>88</v>
      </c>
    </row>
    <row r="34" spans="1:6" x14ac:dyDescent="0.25">
      <c r="A34" s="10" t="s">
        <v>70</v>
      </c>
      <c r="B34" s="17" t="s">
        <v>68</v>
      </c>
      <c r="C34" s="4" t="s">
        <v>5</v>
      </c>
      <c r="D34" s="3" t="s">
        <v>88</v>
      </c>
      <c r="E34" s="3"/>
      <c r="F34" s="3" t="s">
        <v>88</v>
      </c>
    </row>
    <row r="35" spans="1:6" x14ac:dyDescent="0.25">
      <c r="A35" s="10" t="s">
        <v>71</v>
      </c>
      <c r="B35" s="17" t="s">
        <v>69</v>
      </c>
      <c r="C35" s="4" t="s">
        <v>5</v>
      </c>
      <c r="D35" s="3" t="s">
        <v>88</v>
      </c>
      <c r="E35" s="3"/>
      <c r="F35" s="3" t="s">
        <v>88</v>
      </c>
    </row>
    <row r="36" spans="1:6" ht="25.5" x14ac:dyDescent="0.25">
      <c r="A36" s="6" t="s">
        <v>7</v>
      </c>
      <c r="B36" s="7" t="s">
        <v>72</v>
      </c>
      <c r="C36" s="6" t="s">
        <v>5</v>
      </c>
      <c r="D36" s="38">
        <f>SUM(D37:D39)</f>
        <v>0</v>
      </c>
      <c r="E36" s="38"/>
      <c r="F36" s="38">
        <f t="shared" ref="F36" si="2">SUM(F37:F39)</f>
        <v>0</v>
      </c>
    </row>
    <row r="37" spans="1:6" x14ac:dyDescent="0.25">
      <c r="A37" s="4" t="s">
        <v>73</v>
      </c>
      <c r="B37" s="8" t="s">
        <v>63</v>
      </c>
      <c r="C37" s="4" t="s">
        <v>5</v>
      </c>
      <c r="D37" s="23" t="s">
        <v>88</v>
      </c>
      <c r="E37" s="23"/>
      <c r="F37" s="23" t="s">
        <v>88</v>
      </c>
    </row>
    <row r="38" spans="1:6" x14ac:dyDescent="0.25">
      <c r="A38" s="4" t="s">
        <v>74</v>
      </c>
      <c r="B38" s="2" t="s">
        <v>64</v>
      </c>
      <c r="C38" s="4" t="s">
        <v>5</v>
      </c>
      <c r="D38" s="23" t="s">
        <v>88</v>
      </c>
      <c r="E38" s="23"/>
      <c r="F38" s="23" t="s">
        <v>88</v>
      </c>
    </row>
    <row r="39" spans="1:6" ht="25.5" x14ac:dyDescent="0.25">
      <c r="A39" s="4" t="s">
        <v>75</v>
      </c>
      <c r="B39" s="2" t="s">
        <v>65</v>
      </c>
      <c r="C39" s="4" t="s">
        <v>5</v>
      </c>
      <c r="D39" s="23" t="s">
        <v>88</v>
      </c>
      <c r="E39" s="23"/>
      <c r="F39" s="23" t="s">
        <v>88</v>
      </c>
    </row>
    <row r="40" spans="1:6" ht="25.5" x14ac:dyDescent="0.25">
      <c r="A40" s="6" t="s">
        <v>4</v>
      </c>
      <c r="B40" s="7" t="s">
        <v>76</v>
      </c>
      <c r="C40" s="6" t="s">
        <v>5</v>
      </c>
      <c r="D40" s="3" t="s">
        <v>88</v>
      </c>
      <c r="E40" s="3"/>
      <c r="F40" s="3" t="s">
        <v>88</v>
      </c>
    </row>
    <row r="41" spans="1:6" x14ac:dyDescent="0.25">
      <c r="A41" s="4" t="s">
        <v>77</v>
      </c>
      <c r="B41" s="8" t="s">
        <v>63</v>
      </c>
      <c r="C41" s="4" t="s">
        <v>5</v>
      </c>
      <c r="D41" s="3" t="s">
        <v>88</v>
      </c>
      <c r="E41" s="3"/>
      <c r="F41" s="3" t="s">
        <v>88</v>
      </c>
    </row>
    <row r="42" spans="1:6" x14ac:dyDescent="0.25">
      <c r="A42" s="4" t="s">
        <v>78</v>
      </c>
      <c r="B42" s="2" t="s">
        <v>64</v>
      </c>
      <c r="C42" s="4" t="s">
        <v>5</v>
      </c>
      <c r="D42" s="3" t="s">
        <v>88</v>
      </c>
      <c r="E42" s="3"/>
      <c r="F42" s="3" t="s">
        <v>88</v>
      </c>
    </row>
    <row r="43" spans="1:6" ht="25.5" x14ac:dyDescent="0.25">
      <c r="A43" s="4" t="s">
        <v>79</v>
      </c>
      <c r="B43" s="2" t="s">
        <v>65</v>
      </c>
      <c r="C43" s="4" t="s">
        <v>5</v>
      </c>
      <c r="D43" s="3" t="s">
        <v>88</v>
      </c>
      <c r="E43" s="3"/>
      <c r="F43" s="3" t="s">
        <v>88</v>
      </c>
    </row>
    <row r="44" spans="1:6" x14ac:dyDescent="0.25">
      <c r="A44" s="6" t="s">
        <v>1</v>
      </c>
      <c r="B44" s="7" t="s">
        <v>6</v>
      </c>
      <c r="C44" s="6" t="s">
        <v>5</v>
      </c>
      <c r="D44" s="38"/>
      <c r="E44" s="38"/>
      <c r="F44" s="38"/>
    </row>
    <row r="45" spans="1:6" ht="38.25" x14ac:dyDescent="0.25">
      <c r="A45" s="18" t="s">
        <v>80</v>
      </c>
      <c r="B45" s="7" t="s">
        <v>3</v>
      </c>
      <c r="C45" s="19" t="s">
        <v>2</v>
      </c>
      <c r="D45" s="42"/>
      <c r="E45" s="42"/>
      <c r="F45" s="42"/>
    </row>
    <row r="46" spans="1:6" ht="78.75" customHeight="1" x14ac:dyDescent="0.25">
      <c r="A46" s="90" t="s">
        <v>81</v>
      </c>
      <c r="B46" s="92" t="s">
        <v>0</v>
      </c>
      <c r="C46" s="94"/>
      <c r="D46" s="96" t="s">
        <v>93</v>
      </c>
      <c r="E46" s="97"/>
      <c r="F46" s="98"/>
    </row>
    <row r="47" spans="1:6" ht="49.5" customHeight="1" x14ac:dyDescent="0.25">
      <c r="A47" s="91"/>
      <c r="B47" s="93"/>
      <c r="C47" s="95"/>
      <c r="D47" s="86" t="s">
        <v>91</v>
      </c>
      <c r="E47" s="99"/>
      <c r="F47" s="100"/>
    </row>
    <row r="48" spans="1:6" x14ac:dyDescent="0.25">
      <c r="A48" s="21"/>
      <c r="B48" s="22" t="s">
        <v>82</v>
      </c>
    </row>
    <row r="49" spans="1:6" ht="30" customHeight="1" x14ac:dyDescent="0.25">
      <c r="A49" s="30" t="s">
        <v>94</v>
      </c>
      <c r="B49" s="84" t="s">
        <v>83</v>
      </c>
      <c r="C49" s="84"/>
      <c r="D49" s="84"/>
      <c r="E49" s="84"/>
      <c r="F49" s="84"/>
    </row>
    <row r="50" spans="1:6" x14ac:dyDescent="0.25">
      <c r="A50" s="21"/>
      <c r="B50" s="21"/>
    </row>
    <row r="51" spans="1:6" x14ac:dyDescent="0.25">
      <c r="A51" s="21"/>
      <c r="B51" s="21"/>
    </row>
    <row r="52" spans="1:6" x14ac:dyDescent="0.25">
      <c r="A52" s="21"/>
      <c r="B52" s="21"/>
    </row>
  </sheetData>
  <mergeCells count="11">
    <mergeCell ref="D1:F1"/>
    <mergeCell ref="A4:F4"/>
    <mergeCell ref="A5:F5"/>
    <mergeCell ref="A6:F6"/>
    <mergeCell ref="B49:F49"/>
    <mergeCell ref="A46:A47"/>
    <mergeCell ref="B46:B47"/>
    <mergeCell ref="C46:C47"/>
    <mergeCell ref="D46:F46"/>
    <mergeCell ref="D47:F47"/>
    <mergeCell ref="D2:F2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pane xSplit="2" ySplit="8" topLeftCell="C9" activePane="bottomRight" state="frozen"/>
      <selection activeCell="F19" sqref="F19"/>
      <selection pane="topRight" activeCell="F19" sqref="F19"/>
      <selection pane="bottomLeft" activeCell="F19" sqref="F19"/>
      <selection pane="bottomRight" activeCell="D44" sqref="D44:F45"/>
    </sheetView>
  </sheetViews>
  <sheetFormatPr defaultRowHeight="15" x14ac:dyDescent="0.2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 x14ac:dyDescent="0.25">
      <c r="D1" s="83" t="s">
        <v>138</v>
      </c>
      <c r="E1" s="83"/>
      <c r="F1" s="83"/>
    </row>
    <row r="2" spans="1:6" ht="57" customHeight="1" x14ac:dyDescent="0.25">
      <c r="A2" s="16"/>
      <c r="B2" s="16"/>
      <c r="C2" s="16"/>
      <c r="D2" s="84" t="s">
        <v>124</v>
      </c>
      <c r="E2" s="84"/>
      <c r="F2" s="84"/>
    </row>
    <row r="3" spans="1:6" ht="15" customHeight="1" x14ac:dyDescent="0.25">
      <c r="A3" s="16"/>
      <c r="B3" s="16"/>
      <c r="C3" s="16"/>
      <c r="D3" s="49"/>
      <c r="E3" s="49"/>
      <c r="F3" s="49"/>
    </row>
    <row r="4" spans="1:6" ht="16.5" customHeight="1" x14ac:dyDescent="0.25">
      <c r="A4" s="64" t="s">
        <v>84</v>
      </c>
      <c r="B4" s="64"/>
      <c r="C4" s="64"/>
      <c r="D4" s="64"/>
      <c r="E4" s="64"/>
      <c r="F4" s="64"/>
    </row>
    <row r="5" spans="1:6" ht="17.25" customHeight="1" x14ac:dyDescent="0.25">
      <c r="A5" s="64" t="s">
        <v>126</v>
      </c>
      <c r="B5" s="64"/>
      <c r="C5" s="64"/>
      <c r="D5" s="64"/>
      <c r="E5" s="64"/>
      <c r="F5" s="64"/>
    </row>
    <row r="6" spans="1:6" ht="15.75" customHeight="1" x14ac:dyDescent="0.25">
      <c r="A6" s="64" t="s">
        <v>127</v>
      </c>
      <c r="B6" s="64"/>
      <c r="C6" s="64"/>
      <c r="D6" s="64"/>
      <c r="E6" s="64"/>
      <c r="F6" s="64"/>
    </row>
    <row r="8" spans="1:6" ht="39" thickBot="1" x14ac:dyDescent="0.3">
      <c r="A8" s="14" t="s">
        <v>44</v>
      </c>
      <c r="B8" s="14" t="s">
        <v>43</v>
      </c>
      <c r="C8" s="14" t="s">
        <v>42</v>
      </c>
      <c r="D8" s="14" t="s">
        <v>41</v>
      </c>
      <c r="E8" s="14" t="s">
        <v>49</v>
      </c>
      <c r="F8" s="14" t="s">
        <v>45</v>
      </c>
    </row>
    <row r="9" spans="1:6" x14ac:dyDescent="0.25">
      <c r="A9" s="12" t="s">
        <v>40</v>
      </c>
      <c r="B9" s="13" t="s">
        <v>39</v>
      </c>
      <c r="C9" s="12" t="s">
        <v>36</v>
      </c>
      <c r="D9" s="24">
        <v>270.83999999999997</v>
      </c>
      <c r="E9" s="24">
        <v>266</v>
      </c>
      <c r="F9" s="24">
        <f>'[7]0.1'!$L$11</f>
        <v>266</v>
      </c>
    </row>
    <row r="10" spans="1:6" ht="63.75" x14ac:dyDescent="0.25">
      <c r="A10" s="4" t="s">
        <v>38</v>
      </c>
      <c r="B10" s="2" t="s">
        <v>37</v>
      </c>
      <c r="C10" s="4" t="s">
        <v>36</v>
      </c>
      <c r="D10" s="46">
        <v>155.602</v>
      </c>
      <c r="E10" s="46">
        <v>167.67</v>
      </c>
      <c r="F10" s="46">
        <v>157.60740927419354</v>
      </c>
    </row>
    <row r="11" spans="1:6" x14ac:dyDescent="0.25">
      <c r="A11" s="4" t="s">
        <v>35</v>
      </c>
      <c r="B11" s="2" t="s">
        <v>34</v>
      </c>
      <c r="C11" s="4" t="s">
        <v>31</v>
      </c>
      <c r="D11" s="23">
        <v>372.8</v>
      </c>
      <c r="E11" s="23">
        <v>411.67</v>
      </c>
      <c r="F11" s="23">
        <v>388.23</v>
      </c>
    </row>
    <row r="12" spans="1:6" x14ac:dyDescent="0.25">
      <c r="A12" s="4" t="s">
        <v>33</v>
      </c>
      <c r="B12" s="2" t="s">
        <v>32</v>
      </c>
      <c r="C12" s="4" t="s">
        <v>31</v>
      </c>
      <c r="D12" s="23">
        <v>292.82899999999995</v>
      </c>
      <c r="E12" s="23">
        <v>318.91799999999995</v>
      </c>
      <c r="F12" s="23">
        <v>300.86</v>
      </c>
    </row>
    <row r="13" spans="1:6" x14ac:dyDescent="0.25">
      <c r="A13" s="4" t="s">
        <v>30</v>
      </c>
      <c r="B13" s="2" t="s">
        <v>29</v>
      </c>
      <c r="C13" s="4" t="s">
        <v>26</v>
      </c>
      <c r="D13" s="23">
        <v>1169.78</v>
      </c>
      <c r="E13" s="23">
        <v>1202.69</v>
      </c>
      <c r="F13" s="23">
        <v>1734.5039999999999</v>
      </c>
    </row>
    <row r="14" spans="1:6" x14ac:dyDescent="0.25">
      <c r="A14" s="4" t="s">
        <v>28</v>
      </c>
      <c r="B14" s="2" t="s">
        <v>27</v>
      </c>
      <c r="C14" s="4" t="s">
        <v>26</v>
      </c>
      <c r="D14" s="23">
        <v>1160.04</v>
      </c>
      <c r="E14" s="23">
        <v>1196.319999999999</v>
      </c>
      <c r="F14" s="23">
        <v>1727.0449999999998</v>
      </c>
    </row>
    <row r="15" spans="1:6" ht="21" customHeight="1" x14ac:dyDescent="0.25">
      <c r="A15" s="50" t="s">
        <v>25</v>
      </c>
      <c r="B15" s="7" t="s">
        <v>50</v>
      </c>
      <c r="C15" s="50" t="s">
        <v>5</v>
      </c>
      <c r="D15" s="47">
        <f>D16+D17+D18</f>
        <v>1718.7298640604358</v>
      </c>
      <c r="E15" s="47">
        <f>E16+E17+E18</f>
        <v>1565.3294099999998</v>
      </c>
      <c r="F15" s="38">
        <f>F16+F17+F18</f>
        <v>2175.612499437148</v>
      </c>
    </row>
    <row r="16" spans="1:6" x14ac:dyDescent="0.25">
      <c r="A16" s="50" t="s">
        <v>51</v>
      </c>
      <c r="B16" s="7" t="s">
        <v>52</v>
      </c>
      <c r="C16" s="4" t="s">
        <v>5</v>
      </c>
      <c r="D16" s="46">
        <f>292402.466407153/1000</f>
        <v>292.40246640715299</v>
      </c>
      <c r="E16" s="23">
        <v>310.02699999999999</v>
      </c>
      <c r="F16" s="23">
        <f>303610.390657148/1000</f>
        <v>303.610390657148</v>
      </c>
    </row>
    <row r="17" spans="1:9" ht="16.5" customHeight="1" x14ac:dyDescent="0.25">
      <c r="A17" s="50" t="s">
        <v>53</v>
      </c>
      <c r="B17" s="7" t="s">
        <v>54</v>
      </c>
      <c r="C17" s="4" t="s">
        <v>5</v>
      </c>
      <c r="D17" s="46">
        <f>444970.807653283/1000</f>
        <v>444.97080765328298</v>
      </c>
      <c r="E17" s="23">
        <v>267.60451999999998</v>
      </c>
      <c r="F17" s="23">
        <f>543532.48878/1000</f>
        <v>543.53248877999999</v>
      </c>
    </row>
    <row r="18" spans="1:9" ht="38.25" x14ac:dyDescent="0.25">
      <c r="A18" s="50" t="s">
        <v>55</v>
      </c>
      <c r="B18" s="7" t="s">
        <v>56</v>
      </c>
      <c r="C18" s="4" t="s">
        <v>5</v>
      </c>
      <c r="D18" s="46">
        <v>981.35658999999998</v>
      </c>
      <c r="E18" s="23">
        <v>987.69789000000003</v>
      </c>
      <c r="F18" s="46">
        <v>1328.4696200000001</v>
      </c>
    </row>
    <row r="19" spans="1:9" x14ac:dyDescent="0.25">
      <c r="A19" s="4" t="s">
        <v>24</v>
      </c>
      <c r="B19" s="2" t="s">
        <v>23</v>
      </c>
      <c r="C19" s="4" t="s">
        <v>5</v>
      </c>
      <c r="D19" s="23">
        <f>292162.181587153/1000</f>
        <v>292.16218158715299</v>
      </c>
      <c r="E19" s="23">
        <v>309.72063000000003</v>
      </c>
      <c r="F19" s="23">
        <f>303289.082406388/1000</f>
        <v>303.28908240638799</v>
      </c>
      <c r="I19" s="51"/>
    </row>
    <row r="20" spans="1:9" ht="25.5" x14ac:dyDescent="0.25">
      <c r="A20" s="4"/>
      <c r="B20" s="2" t="s">
        <v>46</v>
      </c>
      <c r="C20" s="11" t="s">
        <v>22</v>
      </c>
      <c r="D20" s="23">
        <f>[8]АТЭЦ!$AL$34</f>
        <v>325.93766327788569</v>
      </c>
      <c r="E20" s="23">
        <v>320.8</v>
      </c>
      <c r="F20" s="23">
        <v>333</v>
      </c>
    </row>
    <row r="21" spans="1:9" x14ac:dyDescent="0.25">
      <c r="A21" s="4" t="s">
        <v>19</v>
      </c>
      <c r="B21" s="2" t="s">
        <v>21</v>
      </c>
      <c r="C21" s="4" t="s">
        <v>5</v>
      </c>
      <c r="D21" s="23">
        <f>522383.311411847/1000</f>
        <v>522.38331141184699</v>
      </c>
      <c r="E21" s="23">
        <v>512.85438999999997</v>
      </c>
      <c r="F21" s="23">
        <f>742037.505969844/1000</f>
        <v>742.03750596984389</v>
      </c>
    </row>
    <row r="22" spans="1:9" ht="25.5" x14ac:dyDescent="0.25">
      <c r="A22" s="4"/>
      <c r="B22" s="2" t="s">
        <v>47</v>
      </c>
      <c r="C22" s="11" t="s">
        <v>20</v>
      </c>
      <c r="D22" s="23">
        <f>[9]АТЭЦ!$AD$33</f>
        <v>145.88494569054984</v>
      </c>
      <c r="E22" s="23">
        <v>143</v>
      </c>
      <c r="F22" s="23">
        <f>'[7]2'!$G$29</f>
        <v>178.9</v>
      </c>
    </row>
    <row r="23" spans="1:9" ht="51" x14ac:dyDescent="0.25">
      <c r="A23" s="4"/>
      <c r="B23" s="2" t="s">
        <v>48</v>
      </c>
      <c r="C23" s="11"/>
      <c r="D23" s="38" t="s">
        <v>88</v>
      </c>
      <c r="E23" s="27" t="s">
        <v>128</v>
      </c>
      <c r="F23" s="38" t="s">
        <v>88</v>
      </c>
    </row>
    <row r="24" spans="1:9" x14ac:dyDescent="0.25">
      <c r="A24" s="9" t="s">
        <v>17</v>
      </c>
      <c r="B24" s="7" t="s">
        <v>18</v>
      </c>
      <c r="C24" s="50" t="s">
        <v>5</v>
      </c>
      <c r="D24" s="46">
        <f>68202/1000</f>
        <v>68.201999999999998</v>
      </c>
      <c r="E24" s="23">
        <v>68.402469999999994</v>
      </c>
      <c r="F24" s="23">
        <f>103590/1000</f>
        <v>103.59</v>
      </c>
    </row>
    <row r="25" spans="1:9" ht="38.25" x14ac:dyDescent="0.25">
      <c r="A25" s="9" t="s">
        <v>11</v>
      </c>
      <c r="B25" s="7" t="s">
        <v>16</v>
      </c>
      <c r="C25" s="4"/>
      <c r="D25" s="46"/>
      <c r="E25" s="23"/>
      <c r="F25" s="23"/>
    </row>
    <row r="26" spans="1:9" x14ac:dyDescent="0.25">
      <c r="A26" s="10" t="s">
        <v>57</v>
      </c>
      <c r="B26" s="2" t="s">
        <v>15</v>
      </c>
      <c r="C26" s="4" t="s">
        <v>14</v>
      </c>
      <c r="D26" s="46">
        <v>712.8</v>
      </c>
      <c r="E26" s="23">
        <v>708</v>
      </c>
      <c r="F26" s="23">
        <v>718</v>
      </c>
    </row>
    <row r="27" spans="1:9" ht="25.5" x14ac:dyDescent="0.25">
      <c r="A27" s="10" t="s">
        <v>58</v>
      </c>
      <c r="B27" s="2" t="s">
        <v>13</v>
      </c>
      <c r="C27" s="4" t="s">
        <v>12</v>
      </c>
      <c r="D27" s="46">
        <v>45.302909999999997</v>
      </c>
      <c r="E27" s="23">
        <v>43.781959999999998</v>
      </c>
      <c r="F27" s="23">
        <v>49.41572</v>
      </c>
    </row>
    <row r="28" spans="1:9" ht="63.75" x14ac:dyDescent="0.25">
      <c r="A28" s="10" t="s">
        <v>59</v>
      </c>
      <c r="B28" s="2" t="s">
        <v>60</v>
      </c>
      <c r="C28" s="4"/>
      <c r="D28" s="27" t="s">
        <v>117</v>
      </c>
      <c r="E28" s="27" t="s">
        <v>117</v>
      </c>
      <c r="F28" s="27" t="s">
        <v>121</v>
      </c>
    </row>
    <row r="29" spans="1:9" x14ac:dyDescent="0.25">
      <c r="A29" s="9" t="s">
        <v>10</v>
      </c>
      <c r="B29" s="7" t="s">
        <v>61</v>
      </c>
      <c r="C29" s="50" t="s">
        <v>5</v>
      </c>
      <c r="D29" s="38">
        <f>D30+D31+D32</f>
        <v>1718.7298640604358</v>
      </c>
      <c r="E29" s="38">
        <f>E30+E31+E32</f>
        <v>1565.3294099999998</v>
      </c>
      <c r="F29" s="38">
        <f t="shared" ref="F29" si="0">F30+F31+F32</f>
        <v>2175.612499437148</v>
      </c>
      <c r="G29" s="101"/>
      <c r="H29" s="101"/>
    </row>
    <row r="30" spans="1:9" x14ac:dyDescent="0.25">
      <c r="A30" s="10" t="s">
        <v>62</v>
      </c>
      <c r="B30" s="8" t="s">
        <v>63</v>
      </c>
      <c r="C30" s="4" t="s">
        <v>5</v>
      </c>
      <c r="D30" s="23">
        <f>D16</f>
        <v>292.40246640715299</v>
      </c>
      <c r="E30" s="23">
        <f>E16</f>
        <v>310.02699999999999</v>
      </c>
      <c r="F30" s="23">
        <f>F16</f>
        <v>303.610390657148</v>
      </c>
    </row>
    <row r="31" spans="1:9" x14ac:dyDescent="0.25">
      <c r="A31" s="10" t="s">
        <v>66</v>
      </c>
      <c r="B31" s="2" t="s">
        <v>64</v>
      </c>
      <c r="C31" s="4" t="s">
        <v>5</v>
      </c>
      <c r="D31" s="23">
        <f t="shared" ref="D31:D32" si="1">D17</f>
        <v>444.97080765328298</v>
      </c>
      <c r="E31" s="23">
        <f>E17</f>
        <v>267.60451999999998</v>
      </c>
      <c r="F31" s="23">
        <f t="shared" ref="F31:F32" si="2">F17</f>
        <v>543.53248877999999</v>
      </c>
    </row>
    <row r="32" spans="1:9" ht="25.5" x14ac:dyDescent="0.25">
      <c r="A32" s="10" t="s">
        <v>67</v>
      </c>
      <c r="B32" s="2" t="s">
        <v>65</v>
      </c>
      <c r="C32" s="4" t="s">
        <v>5</v>
      </c>
      <c r="D32" s="23">
        <f t="shared" si="1"/>
        <v>981.35658999999998</v>
      </c>
      <c r="E32" s="23">
        <f>E18</f>
        <v>987.69789000000003</v>
      </c>
      <c r="F32" s="23">
        <f t="shared" si="2"/>
        <v>1328.4696200000001</v>
      </c>
    </row>
    <row r="33" spans="1:6" ht="25.5" x14ac:dyDescent="0.25">
      <c r="A33" s="9" t="s">
        <v>8</v>
      </c>
      <c r="B33" s="7" t="s">
        <v>9</v>
      </c>
      <c r="C33" s="50" t="s">
        <v>5</v>
      </c>
      <c r="D33" s="23" t="s">
        <v>88</v>
      </c>
      <c r="E33" s="23" t="s">
        <v>88</v>
      </c>
      <c r="F33" s="23" t="s">
        <v>88</v>
      </c>
    </row>
    <row r="34" spans="1:6" x14ac:dyDescent="0.25">
      <c r="A34" s="10" t="s">
        <v>70</v>
      </c>
      <c r="B34" s="17" t="s">
        <v>68</v>
      </c>
      <c r="C34" s="4" t="s">
        <v>5</v>
      </c>
      <c r="D34" s="23" t="s">
        <v>88</v>
      </c>
      <c r="E34" s="23" t="s">
        <v>88</v>
      </c>
      <c r="F34" s="23" t="s">
        <v>88</v>
      </c>
    </row>
    <row r="35" spans="1:6" x14ac:dyDescent="0.25">
      <c r="A35" s="10" t="s">
        <v>71</v>
      </c>
      <c r="B35" s="17" t="s">
        <v>69</v>
      </c>
      <c r="C35" s="4" t="s">
        <v>5</v>
      </c>
      <c r="D35" s="23" t="s">
        <v>88</v>
      </c>
      <c r="E35" s="23" t="s">
        <v>88</v>
      </c>
      <c r="F35" s="23" t="s">
        <v>88</v>
      </c>
    </row>
    <row r="36" spans="1:6" ht="25.5" x14ac:dyDescent="0.25">
      <c r="A36" s="9" t="s">
        <v>7</v>
      </c>
      <c r="B36" s="7" t="s">
        <v>72</v>
      </c>
      <c r="C36" s="50" t="s">
        <v>5</v>
      </c>
      <c r="D36" s="47">
        <f>SUM(D37:D39)</f>
        <v>0</v>
      </c>
      <c r="E36" s="47">
        <f>SUM(E37:E39)</f>
        <v>0</v>
      </c>
      <c r="F36" s="47">
        <f t="shared" ref="F36" si="3">SUM(F37:F39)</f>
        <v>0</v>
      </c>
    </row>
    <row r="37" spans="1:6" x14ac:dyDescent="0.25">
      <c r="A37" s="10" t="s">
        <v>73</v>
      </c>
      <c r="B37" s="8" t="s">
        <v>63</v>
      </c>
      <c r="C37" s="4" t="s">
        <v>5</v>
      </c>
      <c r="D37" s="46" t="s">
        <v>88</v>
      </c>
      <c r="E37" s="46" t="s">
        <v>88</v>
      </c>
      <c r="F37" s="46" t="s">
        <v>88</v>
      </c>
    </row>
    <row r="38" spans="1:6" x14ac:dyDescent="0.25">
      <c r="A38" s="10" t="s">
        <v>74</v>
      </c>
      <c r="B38" s="2" t="s">
        <v>64</v>
      </c>
      <c r="C38" s="4" t="s">
        <v>5</v>
      </c>
      <c r="D38" s="46" t="s">
        <v>88</v>
      </c>
      <c r="E38" s="46" t="s">
        <v>88</v>
      </c>
      <c r="F38" s="46" t="s">
        <v>88</v>
      </c>
    </row>
    <row r="39" spans="1:6" ht="25.5" x14ac:dyDescent="0.25">
      <c r="A39" s="10" t="s">
        <v>75</v>
      </c>
      <c r="B39" s="2" t="s">
        <v>65</v>
      </c>
      <c r="C39" s="4" t="s">
        <v>5</v>
      </c>
      <c r="D39" s="46" t="s">
        <v>88</v>
      </c>
      <c r="E39" s="23"/>
      <c r="F39" s="46" t="s">
        <v>88</v>
      </c>
    </row>
    <row r="40" spans="1:6" ht="25.5" x14ac:dyDescent="0.25">
      <c r="A40" s="9" t="s">
        <v>4</v>
      </c>
      <c r="B40" s="7" t="s">
        <v>76</v>
      </c>
      <c r="C40" s="50" t="s">
        <v>5</v>
      </c>
      <c r="D40" s="47" t="s">
        <v>88</v>
      </c>
      <c r="E40" s="47" t="s">
        <v>88</v>
      </c>
      <c r="F40" s="47" t="s">
        <v>88</v>
      </c>
    </row>
    <row r="41" spans="1:6" x14ac:dyDescent="0.25">
      <c r="A41" s="4" t="s">
        <v>77</v>
      </c>
      <c r="B41" s="8" t="s">
        <v>63</v>
      </c>
      <c r="C41" s="4" t="s">
        <v>5</v>
      </c>
      <c r="D41" s="47" t="s">
        <v>88</v>
      </c>
      <c r="E41" s="47" t="s">
        <v>88</v>
      </c>
      <c r="F41" s="47" t="s">
        <v>88</v>
      </c>
    </row>
    <row r="42" spans="1:6" x14ac:dyDescent="0.25">
      <c r="A42" s="4" t="s">
        <v>78</v>
      </c>
      <c r="B42" s="2" t="s">
        <v>64</v>
      </c>
      <c r="C42" s="4" t="s">
        <v>5</v>
      </c>
      <c r="D42" s="47" t="s">
        <v>88</v>
      </c>
      <c r="E42" s="47" t="s">
        <v>88</v>
      </c>
      <c r="F42" s="47" t="s">
        <v>88</v>
      </c>
    </row>
    <row r="43" spans="1:6" ht="25.5" x14ac:dyDescent="0.25">
      <c r="A43" s="4" t="s">
        <v>79</v>
      </c>
      <c r="B43" s="2" t="s">
        <v>65</v>
      </c>
      <c r="C43" s="4" t="s">
        <v>5</v>
      </c>
      <c r="D43" s="47" t="s">
        <v>88</v>
      </c>
      <c r="E43" s="47" t="s">
        <v>88</v>
      </c>
      <c r="F43" s="47" t="s">
        <v>88</v>
      </c>
    </row>
    <row r="44" spans="1:6" x14ac:dyDescent="0.25">
      <c r="A44" s="50" t="s">
        <v>1</v>
      </c>
      <c r="B44" s="7" t="s">
        <v>6</v>
      </c>
      <c r="C44" s="50" t="s">
        <v>5</v>
      </c>
      <c r="D44" s="38"/>
      <c r="E44" s="38"/>
      <c r="F44" s="38"/>
    </row>
    <row r="45" spans="1:6" ht="38.25" x14ac:dyDescent="0.25">
      <c r="A45" s="18" t="s">
        <v>80</v>
      </c>
      <c r="B45" s="7" t="s">
        <v>3</v>
      </c>
      <c r="C45" s="19" t="s">
        <v>2</v>
      </c>
      <c r="D45" s="42"/>
      <c r="E45" s="42"/>
      <c r="F45" s="42"/>
    </row>
    <row r="46" spans="1:6" ht="63.75" x14ac:dyDescent="0.25">
      <c r="A46" s="18" t="s">
        <v>81</v>
      </c>
      <c r="B46" s="20" t="s">
        <v>0</v>
      </c>
      <c r="C46" s="1"/>
      <c r="D46" s="1"/>
      <c r="E46" s="1"/>
      <c r="F46" s="1"/>
    </row>
    <row r="48" spans="1:6" x14ac:dyDescent="0.25">
      <c r="A48" s="21"/>
      <c r="B48" s="22" t="s">
        <v>82</v>
      </c>
    </row>
    <row r="49" spans="1:6" ht="30" customHeight="1" x14ac:dyDescent="0.25">
      <c r="A49" s="30" t="s">
        <v>94</v>
      </c>
      <c r="B49" s="84" t="s">
        <v>83</v>
      </c>
      <c r="C49" s="84"/>
      <c r="D49" s="84"/>
      <c r="E49" s="84"/>
      <c r="F49" s="84"/>
    </row>
    <row r="50" spans="1:6" ht="51.75" customHeight="1" x14ac:dyDescent="0.25">
      <c r="A50" s="30"/>
      <c r="B50" s="85"/>
      <c r="C50" s="85"/>
      <c r="D50" s="85"/>
      <c r="E50" s="85"/>
      <c r="F50" s="85"/>
    </row>
    <row r="51" spans="1:6" x14ac:dyDescent="0.25">
      <c r="A51" s="21"/>
      <c r="B51" s="21"/>
    </row>
    <row r="52" spans="1:6" x14ac:dyDescent="0.25">
      <c r="A52" s="21"/>
      <c r="B52" s="21"/>
    </row>
  </sheetData>
  <mergeCells count="8">
    <mergeCell ref="G29:H29"/>
    <mergeCell ref="B49:F49"/>
    <mergeCell ref="B50:F50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титул</vt:lpstr>
      <vt:lpstr>тарифы</vt:lpstr>
      <vt:lpstr>ЦТЭЦ</vt:lpstr>
      <vt:lpstr>ТЭЦ-8</vt:lpstr>
      <vt:lpstr>ТЭЦ-15</vt:lpstr>
      <vt:lpstr>ТЭЦ-17</vt:lpstr>
      <vt:lpstr>Апатитская ТЭЦ</vt:lpstr>
      <vt:lpstr>'Апатитская ТЭЦ'!Заголовки_для_печати</vt:lpstr>
      <vt:lpstr>'ТЭЦ-15'!Заголовки_для_печати</vt:lpstr>
      <vt:lpstr>'ТЭЦ-17'!Заголовки_для_печати</vt:lpstr>
      <vt:lpstr>'ТЭЦ-8'!Заголовки_для_печати</vt:lpstr>
      <vt:lpstr>ЦТЭЦ!Заголовки_для_печати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Чунина Александра Сергеевна</cp:lastModifiedBy>
  <cp:lastPrinted>2014-08-22T07:53:05Z</cp:lastPrinted>
  <dcterms:created xsi:type="dcterms:W3CDTF">2014-04-07T05:06:56Z</dcterms:created>
  <dcterms:modified xsi:type="dcterms:W3CDTF">2014-08-27T15:00:00Z</dcterms:modified>
</cp:coreProperties>
</file>