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gc1.local\MainFS\bdef\DE\Общая\диск R\ТГК\ИНВЕСТИЦИИ\Стандарты раскрытия ИП\2025\ОТПРАВЛЕНО НА САЙТ\"/>
    </mc:Choice>
  </mc:AlternateContent>
  <bookViews>
    <workbookView xWindow="0" yWindow="0" windowWidth="28800" windowHeight="11610" tabRatio="852" activeTab="58"/>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Детализация'!$14:$588</definedName>
    <definedName name="IP_DETAILED_IST_FIN_FACT_COLUMN_MARKER">'ИП. Детализация'!$AD$7</definedName>
    <definedName name="IP_DETAILED_LIST_IP_ID">'ИП. Детализация'!$A$589:$A$589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TEHSHEET!$D$5</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Детализация'!$F$589</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Детализация'!$AH$589</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M100" i="63"/>
  <c r="K100" i="63"/>
  <c r="N100" i="63" s="1"/>
  <c r="J100" i="63"/>
  <c r="I100" i="63"/>
  <c r="L100" i="63" s="1"/>
  <c r="L99" i="63"/>
  <c r="K99" i="63"/>
  <c r="N99" i="63" s="1"/>
  <c r="J99" i="63"/>
  <c r="M99" i="63" s="1"/>
  <c r="I99" i="63"/>
  <c r="M98" i="63"/>
  <c r="L98" i="63"/>
  <c r="K98" i="63"/>
  <c r="N98" i="63" s="1"/>
  <c r="J98" i="63"/>
  <c r="I98" i="63"/>
  <c r="N97" i="63"/>
  <c r="L97" i="63"/>
  <c r="K97" i="63"/>
  <c r="J97" i="63"/>
  <c r="M97" i="63" s="1"/>
  <c r="F126" i="33" s="1"/>
  <c r="I97" i="63"/>
  <c r="L96" i="63"/>
  <c r="K96" i="63"/>
  <c r="N96" i="63" s="1"/>
  <c r="J96" i="63"/>
  <c r="M96" i="63" s="1"/>
  <c r="F123" i="3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F69" i="3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E12" i="52"/>
  <c r="D6" i="52"/>
  <c r="BA115" i="51"/>
  <c r="BA114" i="51"/>
  <c r="BA113" i="51"/>
  <c r="BA102" i="51"/>
  <c r="BA100" i="51"/>
  <c r="BA99" i="51"/>
  <c r="I53" i="51"/>
  <c r="H53" i="51"/>
  <c r="G53" i="51"/>
  <c r="I52" i="51"/>
  <c r="G52" i="51"/>
  <c r="I51" i="51"/>
  <c r="G51" i="51"/>
  <c r="I50" i="51"/>
  <c r="H50" i="51"/>
  <c r="F32" i="51" s="1"/>
  <c r="G50" i="51"/>
  <c r="E29" i="51" s="1"/>
  <c r="I49" i="51"/>
  <c r="H49" i="51"/>
  <c r="G49" i="51"/>
  <c r="I48" i="51"/>
  <c r="H48" i="51"/>
  <c r="G48" i="51"/>
  <c r="I47" i="51"/>
  <c r="H47" i="51"/>
  <c r="G47" i="51"/>
  <c r="I46" i="51"/>
  <c r="K45" i="51"/>
  <c r="I45" i="51"/>
  <c r="G44" i="51"/>
  <c r="H52" i="51" s="1"/>
  <c r="G36" i="51"/>
  <c r="F36" i="51"/>
  <c r="J52" i="51" s="1"/>
  <c r="E32" i="51"/>
  <c r="F29" i="51"/>
  <c r="L5" i="51"/>
  <c r="L4" i="51"/>
  <c r="L3" i="51"/>
  <c r="I14" i="50"/>
  <c r="G14" i="50"/>
  <c r="G11" i="50"/>
  <c r="G10" i="50"/>
  <c r="G9" i="50"/>
  <c r="D6" i="50"/>
  <c r="E13" i="49"/>
  <c r="H12" i="49"/>
  <c r="E12" i="49"/>
  <c r="E11" i="49"/>
  <c r="E10" i="49"/>
  <c r="D6" i="49"/>
  <c r="D5" i="49"/>
  <c r="F269" i="48"/>
  <c r="F208" i="48"/>
  <c r="F147" i="48"/>
  <c r="G17" i="48"/>
  <c r="F17" i="48"/>
  <c r="G16" i="48"/>
  <c r="F16" i="48"/>
  <c r="N7" i="48"/>
  <c r="N4" i="48"/>
  <c r="N1" i="48"/>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K57" i="43"/>
  <c r="H57" i="43"/>
  <c r="K56" i="43"/>
  <c r="H56" i="43"/>
  <c r="K55" i="43"/>
  <c r="H55" i="43"/>
  <c r="P54" i="43"/>
  <c r="O54" i="43"/>
  <c r="N54" i="43"/>
  <c r="M54" i="43"/>
  <c r="L54" i="43"/>
  <c r="K54" i="43"/>
  <c r="I54" i="43"/>
  <c r="H54" i="43"/>
  <c r="K53" i="43"/>
  <c r="H53" i="43"/>
  <c r="K52" i="43"/>
  <c r="H52" i="43"/>
  <c r="K51" i="43"/>
  <c r="H51" i="43"/>
  <c r="K50" i="43"/>
  <c r="H50" i="43"/>
  <c r="P49" i="43"/>
  <c r="O49" i="43"/>
  <c r="N49" i="43"/>
  <c r="M49" i="43"/>
  <c r="L49" i="43"/>
  <c r="K49" i="43"/>
  <c r="I49" i="43"/>
  <c r="H49" i="43"/>
  <c r="P48" i="43"/>
  <c r="O48" i="43"/>
  <c r="N48" i="43"/>
  <c r="M48" i="43"/>
  <c r="L48" i="43"/>
  <c r="K48" i="43"/>
  <c r="I48" i="43"/>
  <c r="H48" i="43"/>
  <c r="K47" i="43"/>
  <c r="H47" i="43"/>
  <c r="K46" i="43"/>
  <c r="H46" i="43"/>
  <c r="K45" i="43"/>
  <c r="H45" i="43"/>
  <c r="P44" i="43"/>
  <c r="O44" i="43"/>
  <c r="N44" i="43"/>
  <c r="M44" i="43"/>
  <c r="K44" i="43" s="1"/>
  <c r="L44" i="43"/>
  <c r="I44" i="43"/>
  <c r="H44" i="43"/>
  <c r="K43" i="43"/>
  <c r="H43" i="43"/>
  <c r="K42" i="43"/>
  <c r="H42" i="43"/>
  <c r="K41" i="43"/>
  <c r="H41" i="43"/>
  <c r="K40" i="43"/>
  <c r="H40" i="43"/>
  <c r="P39" i="43"/>
  <c r="O39" i="43"/>
  <c r="N39" i="43"/>
  <c r="M39" i="43"/>
  <c r="K39" i="43" s="1"/>
  <c r="L39" i="43"/>
  <c r="I39" i="43"/>
  <c r="H39" i="43"/>
  <c r="P38" i="43"/>
  <c r="P58" i="43" s="1"/>
  <c r="O38" i="43"/>
  <c r="O58" i="43" s="1"/>
  <c r="N38" i="43"/>
  <c r="N58" i="43" s="1"/>
  <c r="M38" i="43"/>
  <c r="K38" i="43" s="1"/>
  <c r="L38" i="43"/>
  <c r="L58" i="43" s="1"/>
  <c r="I38" i="43"/>
  <c r="I58" i="43" s="1"/>
  <c r="H58" i="43" s="1"/>
  <c r="H38" i="43"/>
  <c r="H36" i="43"/>
  <c r="K35" i="43"/>
  <c r="H35" i="43"/>
  <c r="K34" i="43"/>
  <c r="H34" i="43"/>
  <c r="K33" i="43"/>
  <c r="H33" i="43"/>
  <c r="P32" i="43"/>
  <c r="O32" i="43"/>
  <c r="N32" i="43"/>
  <c r="M32" i="43"/>
  <c r="L32" i="43"/>
  <c r="K32" i="43"/>
  <c r="I32" i="43"/>
  <c r="H32" i="43"/>
  <c r="K31" i="43"/>
  <c r="H31" i="43"/>
  <c r="K30" i="43"/>
  <c r="H30" i="43"/>
  <c r="K29" i="43"/>
  <c r="H29" i="43"/>
  <c r="P28" i="43"/>
  <c r="O28" i="43"/>
  <c r="N28" i="43"/>
  <c r="M28" i="43"/>
  <c r="K28"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P36" i="43" s="1"/>
  <c r="O15" i="43"/>
  <c r="N15" i="43"/>
  <c r="N36" i="43" s="1"/>
  <c r="M15" i="43"/>
  <c r="K15" i="43" s="1"/>
  <c r="L15" i="43"/>
  <c r="L36" i="43" s="1"/>
  <c r="I15" i="43"/>
  <c r="I36" i="43" s="1"/>
  <c r="H15" i="43"/>
  <c r="K11" i="43"/>
  <c r="H11" i="43"/>
  <c r="F6" i="43"/>
  <c r="F5" i="43"/>
  <c r="AD585" i="42"/>
  <c r="AD580" i="42"/>
  <c r="AD579" i="42"/>
  <c r="AD574" i="42"/>
  <c r="AD573" i="42"/>
  <c r="AD568" i="42"/>
  <c r="AD563" i="42"/>
  <c r="AD558" i="42"/>
  <c r="AD557" i="42"/>
  <c r="AD552" i="42"/>
  <c r="AD547" i="42"/>
  <c r="AD542" i="42"/>
  <c r="AD541" i="42"/>
  <c r="AD536" i="42"/>
  <c r="AD531" i="42"/>
  <c r="AD530" i="42"/>
  <c r="AD525" i="42"/>
  <c r="AD524" i="42"/>
  <c r="AD519" i="42"/>
  <c r="AD518" i="42"/>
  <c r="AD513" i="42"/>
  <c r="AD512" i="42"/>
  <c r="AD507" i="42"/>
  <c r="AD506" i="42"/>
  <c r="AD501" i="42"/>
  <c r="AD500" i="42"/>
  <c r="AD495" i="42"/>
  <c r="AD484" i="42"/>
  <c r="AD483" i="42"/>
  <c r="AD478" i="42"/>
  <c r="AD477" i="42"/>
  <c r="AD472" i="42"/>
  <c r="AD467" i="42"/>
  <c r="AD466" i="42"/>
  <c r="AD461" i="42"/>
  <c r="AD456" i="42"/>
  <c r="AD451" i="42"/>
  <c r="AD450" i="42"/>
  <c r="AD445" i="42"/>
  <c r="AD440" i="42"/>
  <c r="AD435" i="42"/>
  <c r="AD434" i="42"/>
  <c r="AD429" i="42"/>
  <c r="AD424" i="42"/>
  <c r="AD423" i="42"/>
  <c r="AD418" i="42"/>
  <c r="AD417" i="42"/>
  <c r="AD412" i="42"/>
  <c r="AD407" i="42"/>
  <c r="AD406" i="42"/>
  <c r="AD401" i="42"/>
  <c r="AD396" i="42"/>
  <c r="AD385" i="42"/>
  <c r="AD380" i="42"/>
  <c r="AD375" i="42"/>
  <c r="AD370" i="42"/>
  <c r="AD365" i="42"/>
  <c r="AD364" i="42"/>
  <c r="AD359" i="42"/>
  <c r="AD358" i="42"/>
  <c r="AD353" i="42"/>
  <c r="AD352" i="42"/>
  <c r="AD347" i="42"/>
  <c r="AD346" i="42"/>
  <c r="AD341" i="42"/>
  <c r="AD340" i="42"/>
  <c r="AD335" i="42"/>
  <c r="AD330" i="42"/>
  <c r="AD325" i="42"/>
  <c r="AD324" i="42"/>
  <c r="AD323" i="42"/>
  <c r="AD322" i="42"/>
  <c r="AD317" i="42"/>
  <c r="AD312" i="42"/>
  <c r="AD307" i="42"/>
  <c r="AD306" i="42"/>
  <c r="AD301" i="42"/>
  <c r="AD300" i="42"/>
  <c r="AD295" i="42"/>
  <c r="AD294" i="42"/>
  <c r="AD289" i="42"/>
  <c r="AD284" i="42"/>
  <c r="AD279" i="42"/>
  <c r="AD278" i="42"/>
  <c r="AD273" i="42"/>
  <c r="AD272" i="42"/>
  <c r="AD267" i="42"/>
  <c r="AD262" i="42"/>
  <c r="AD261" i="42"/>
  <c r="AD260" i="42"/>
  <c r="AD255" i="42"/>
  <c r="AD244" i="42"/>
  <c r="AD243" i="42"/>
  <c r="AD242" i="42"/>
  <c r="AD237" i="42"/>
  <c r="AD236" i="42"/>
  <c r="AD235" i="42"/>
  <c r="AD230" i="42"/>
  <c r="AD229" i="42"/>
  <c r="AD228" i="42"/>
  <c r="AD223" i="42"/>
  <c r="AD218" i="42"/>
  <c r="AD213" i="42"/>
  <c r="AD212" i="42"/>
  <c r="AD207" i="42"/>
  <c r="AD206" i="42"/>
  <c r="AD201" i="42"/>
  <c r="AD196" i="42"/>
  <c r="AD195" i="42"/>
  <c r="AD190" i="42"/>
  <c r="AD189" i="42"/>
  <c r="AD184" i="42"/>
  <c r="AD183" i="42"/>
  <c r="AD178" i="42"/>
  <c r="AD177" i="42"/>
  <c r="AD172" i="42"/>
  <c r="AD171" i="42"/>
  <c r="AD166" i="42"/>
  <c r="AD165" i="42"/>
  <c r="AD160" i="42"/>
  <c r="AD155" i="42"/>
  <c r="AD150" i="42"/>
  <c r="AD149" i="42"/>
  <c r="AD144" i="42"/>
  <c r="AD139" i="42"/>
  <c r="AD138" i="42"/>
  <c r="AD133" i="42"/>
  <c r="AD132" i="42"/>
  <c r="AD131" i="42"/>
  <c r="AD126" i="42"/>
  <c r="AD115" i="42"/>
  <c r="AD110" i="42"/>
  <c r="AD109" i="42"/>
  <c r="AD104" i="42"/>
  <c r="AD103" i="42"/>
  <c r="AD98" i="42"/>
  <c r="AD97" i="42"/>
  <c r="AD92" i="42"/>
  <c r="AD91" i="42"/>
  <c r="AD86" i="42"/>
  <c r="AD81" i="42"/>
  <c r="AD76" i="42"/>
  <c r="AD71" i="42"/>
  <c r="AD66" i="42"/>
  <c r="AD61" i="42"/>
  <c r="AD60" i="42"/>
  <c r="AD55" i="42"/>
  <c r="AD50" i="42"/>
  <c r="AD45" i="42"/>
  <c r="AD44" i="42"/>
  <c r="AD39" i="42"/>
  <c r="AD34" i="42"/>
  <c r="AD33" i="42"/>
  <c r="AD32" i="42"/>
  <c r="AD27"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E126" i="33"/>
  <c r="E124" i="33"/>
  <c r="J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Q41" i="31"/>
  <c r="AR41" i="31" s="1"/>
  <c r="AS41" i="31" s="1"/>
  <c r="AN41" i="31"/>
  <c r="AO41" i="31" s="1"/>
  <c r="AM41" i="31"/>
  <c r="AD41" i="31"/>
  <c r="AF41" i="31" s="1"/>
  <c r="AG41" i="31" s="1"/>
  <c r="AB41" i="31"/>
  <c r="AC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W45" i="29"/>
  <c r="AX45" i="29" s="1"/>
  <c r="X45" i="29"/>
  <c r="Y45" i="29" s="1"/>
  <c r="Z45" i="29" s="1"/>
  <c r="AA45" i="29" s="1"/>
  <c r="AC45" i="29" s="1"/>
  <c r="AD45" i="29" s="1"/>
  <c r="V45" i="29"/>
  <c r="W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W40" i="28"/>
  <c r="X40" i="28" s="1"/>
  <c r="Y40" i="28" s="1"/>
  <c r="Z40" i="28" s="1"/>
  <c r="AB40" i="28" s="1"/>
  <c r="AC40" i="28" s="1"/>
  <c r="AD40" i="28" s="1"/>
  <c r="AE40" i="28" s="1"/>
  <c r="AF40" i="28" s="1"/>
  <c r="AG40" i="28" s="1"/>
  <c r="AI40" i="28" s="1"/>
  <c r="AJ40" i="28" s="1"/>
  <c r="AK40" i="28" s="1"/>
  <c r="U40" i="28"/>
  <c r="V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0" i="27"/>
  <c r="AD40" i="27" s="1"/>
  <c r="AE40" i="27" s="1"/>
  <c r="AF40" i="27" s="1"/>
  <c r="AG40" i="27" s="1"/>
  <c r="AI40" i="27" s="1"/>
  <c r="AJ40" i="27" s="1"/>
  <c r="AK40" i="27" s="1"/>
  <c r="V40" i="27"/>
  <c r="W40" i="27" s="1"/>
  <c r="X40" i="27" s="1"/>
  <c r="Y40" i="27" s="1"/>
  <c r="Z40" i="27" s="1"/>
  <c r="AB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AD48" i="26"/>
  <c r="BF47" i="26"/>
  <c r="BF46" i="26"/>
  <c r="BC46" i="26"/>
  <c r="AW45" i="26"/>
  <c r="AX45" i="26" s="1"/>
  <c r="AY45" i="26" s="1"/>
  <c r="BA45" i="26" s="1"/>
  <c r="BB45" i="26" s="1"/>
  <c r="BC45" i="26" s="1"/>
  <c r="AC45" i="26"/>
  <c r="AD45" i="26" s="1"/>
  <c r="V45" i="26"/>
  <c r="W45" i="26" s="1"/>
  <c r="X45" i="26" s="1"/>
  <c r="Y45" i="26" s="1"/>
  <c r="Z45" i="26" s="1"/>
  <c r="AA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S44" i="23"/>
  <c r="AN43" i="23"/>
  <c r="AN42" i="23"/>
  <c r="AN41" i="23"/>
  <c r="AK41" i="23"/>
  <c r="Y40" i="23"/>
  <c r="Z40" i="23" s="1"/>
  <c r="AB40" i="23" s="1"/>
  <c r="AC40" i="23" s="1"/>
  <c r="AD40" i="23" s="1"/>
  <c r="AE40" i="23" s="1"/>
  <c r="AF40" i="23" s="1"/>
  <c r="AG40" i="23" s="1"/>
  <c r="AI40" i="23" s="1"/>
  <c r="AJ40" i="23" s="1"/>
  <c r="AK40" i="23" s="1"/>
  <c r="W40" i="23"/>
  <c r="X40" i="23" s="1"/>
  <c r="U40" i="23"/>
  <c r="V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S44" i="21"/>
  <c r="AN43" i="21"/>
  <c r="AN42" i="21"/>
  <c r="AN41" i="21"/>
  <c r="AK41" i="21"/>
  <c r="Y40" i="21"/>
  <c r="Z40" i="21" s="1"/>
  <c r="AB40" i="21" s="1"/>
  <c r="AC40" i="21" s="1"/>
  <c r="AD40" i="21" s="1"/>
  <c r="AE40" i="21" s="1"/>
  <c r="AF40" i="21" s="1"/>
  <c r="AG40" i="21" s="1"/>
  <c r="AI40" i="21" s="1"/>
  <c r="AJ40" i="21" s="1"/>
  <c r="AK40" i="21" s="1"/>
  <c r="W40" i="21"/>
  <c r="X40" i="21" s="1"/>
  <c r="U40" i="21"/>
  <c r="V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P44" i="20"/>
  <c r="AQ44" i="20" s="1"/>
  <c r="AS44" i="20" s="1"/>
  <c r="AT44" i="20" s="1"/>
  <c r="AU44" i="20" s="1"/>
  <c r="AO44" i="20"/>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C48" i="19"/>
  <c r="AD48" i="19" s="1"/>
  <c r="AF48" i="19" s="1"/>
  <c r="AG48" i="19" s="1"/>
  <c r="AA48" i="19"/>
  <c r="AB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U8" i="19" s="1"/>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D44" i="18"/>
  <c r="AP43" i="18"/>
  <c r="AM43" i="18"/>
  <c r="AD43" i="18"/>
  <c r="AK42" i="18"/>
  <c r="AL42" i="18" s="1"/>
  <c r="AM42" i="18" s="1"/>
  <c r="AI42" i="18"/>
  <c r="AH42" i="18"/>
  <c r="AF42" i="18"/>
  <c r="AG42" i="18" s="1"/>
  <c r="AD42" i="18"/>
  <c r="AC42" i="18"/>
  <c r="X42" i="18"/>
  <c r="Y42" i="18" s="1"/>
  <c r="Z42" i="18" s="1"/>
  <c r="AA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J48" i="17"/>
  <c r="AP47" i="17"/>
  <c r="AP46" i="17"/>
  <c r="AP45" i="17"/>
  <c r="AP44" i="17"/>
  <c r="AP43" i="17"/>
  <c r="AM43" i="17"/>
  <c r="AK42" i="17"/>
  <c r="AL42" i="17" s="1"/>
  <c r="AM42" i="17" s="1"/>
  <c r="AI42" i="17"/>
  <c r="AH42" i="17"/>
  <c r="AF42" i="17"/>
  <c r="AG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I42" i="16"/>
  <c r="AK42" i="16" s="1"/>
  <c r="AL42" i="16" s="1"/>
  <c r="AM42" i="16" s="1"/>
  <c r="AH42" i="16"/>
  <c r="AF42" i="16"/>
  <c r="AG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AA42" i="15"/>
  <c r="AC42" i="15" s="1"/>
  <c r="AD42" i="15" s="1"/>
  <c r="Z42" i="15"/>
  <c r="Y42" i="15"/>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H42" i="14"/>
  <c r="AI42" i="14" s="1"/>
  <c r="AK42" i="14" s="1"/>
  <c r="AL42" i="14" s="1"/>
  <c r="AM42" i="14" s="1"/>
  <c r="AG42" i="14"/>
  <c r="AF42" i="14"/>
  <c r="AC42" i="14"/>
  <c r="AD42" i="14" s="1"/>
  <c r="Y42" i="14"/>
  <c r="Z42" i="14" s="1"/>
  <c r="AA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AP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D45" i="12"/>
  <c r="S45" i="12"/>
  <c r="AP44" i="12"/>
  <c r="AP43" i="12"/>
  <c r="AM43" i="12"/>
  <c r="AF42" i="12"/>
  <c r="AG42" i="12" s="1"/>
  <c r="AH42" i="12" s="1"/>
  <c r="AI42" i="12" s="1"/>
  <c r="AK42" i="12" s="1"/>
  <c r="AL42" i="12" s="1"/>
  <c r="AM42" i="12" s="1"/>
  <c r="Z42" i="12"/>
  <c r="AA42" i="12" s="1"/>
  <c r="AC42" i="12" s="1"/>
  <c r="AD42" i="12" s="1"/>
  <c r="Y42" i="12"/>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S44" i="11"/>
  <c r="AP43" i="11"/>
  <c r="AM43" i="11"/>
  <c r="S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J45" i="21" s="1"/>
  <c r="AO79" i="5"/>
  <c r="S42" i="21" s="1"/>
  <c r="AN79" i="5"/>
  <c r="S41" i="21" s="1"/>
  <c r="AM79" i="5"/>
  <c r="AL79" i="5"/>
  <c r="AC43" i="21" s="1"/>
  <c r="AK79" i="5"/>
  <c r="AC42" i="21" s="1"/>
  <c r="AJ79" i="5"/>
  <c r="AI79" i="5"/>
  <c r="AH79" i="5"/>
  <c r="AQ63" i="5"/>
  <c r="S46" i="14" s="1"/>
  <c r="I47" i="14" s="1"/>
  <c r="S47" i="14" s="1"/>
  <c r="AP63" i="5"/>
  <c r="S45" i="13" s="1"/>
  <c r="AO63" i="5"/>
  <c r="S44" i="14" s="1"/>
  <c r="AN63" i="5"/>
  <c r="S43" i="14" s="1"/>
  <c r="AM63" i="5"/>
  <c r="AD46" i="13" s="1"/>
  <c r="AL63" i="5"/>
  <c r="AD45" i="13" s="1"/>
  <c r="AK63" i="5"/>
  <c r="AD44" i="14" s="1"/>
  <c r="AJ63" i="5"/>
  <c r="AD43" i="14" s="1"/>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D43" i="15" s="1"/>
  <c r="AI48" i="5"/>
  <c r="AH48" i="5"/>
  <c r="AQ43" i="5"/>
  <c r="S46" i="18" s="1"/>
  <c r="I47" i="18" s="1"/>
  <c r="AP43" i="5"/>
  <c r="S45" i="18" s="1"/>
  <c r="AO43" i="5"/>
  <c r="S44" i="18" s="1"/>
  <c r="AN43" i="5"/>
  <c r="S43" i="18" s="1"/>
  <c r="AM43" i="5"/>
  <c r="AD46" i="18" s="1"/>
  <c r="AL43" i="5"/>
  <c r="AD45" i="18" s="1"/>
  <c r="AK43" i="5"/>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AO18" i="5"/>
  <c r="S44" i="12" s="1"/>
  <c r="AN18" i="5"/>
  <c r="S43" i="12" s="1"/>
  <c r="AM18" i="5"/>
  <c r="AL18" i="5"/>
  <c r="AK18" i="5"/>
  <c r="AD44" i="12" s="1"/>
  <c r="AJ18" i="5"/>
  <c r="AI18" i="5"/>
  <c r="AH18" i="5"/>
  <c r="AQ13" i="5"/>
  <c r="S46" i="11" s="1"/>
  <c r="I47" i="11" s="1"/>
  <c r="AP13" i="5"/>
  <c r="S45" i="11" s="1"/>
  <c r="AO13" i="5"/>
  <c r="AN13" i="5"/>
  <c r="AM13" i="5"/>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M10" i="55"/>
  <c r="M2" i="55"/>
  <c r="M2" i="54"/>
  <c r="Y25" i="64"/>
  <c r="M10" i="54"/>
  <c r="AL46" i="27"/>
  <c r="AL46" i="24"/>
  <c r="AL7" i="23"/>
  <c r="AR56" i="19"/>
  <c r="AR55" i="19"/>
  <c r="AT7" i="31"/>
  <c r="AT47" i="30"/>
  <c r="AL7" i="28"/>
  <c r="AL48" i="25"/>
  <c r="AL46" i="22"/>
  <c r="AT47" i="31"/>
  <c r="AL7" i="27"/>
  <c r="AL8" i="25"/>
  <c r="AL46" i="23"/>
  <c r="AL46" i="21"/>
  <c r="AV51" i="20"/>
  <c r="AL7" i="24"/>
  <c r="AL7" i="22"/>
  <c r="AV8" i="20"/>
  <c r="AR8" i="19"/>
  <c r="AN8" i="18"/>
  <c r="AN8" i="17"/>
  <c r="AN8" i="16"/>
  <c r="AN8" i="15"/>
  <c r="AN49" i="14"/>
  <c r="AN8" i="13"/>
  <c r="AN49" i="12"/>
  <c r="AL46" i="28"/>
  <c r="AN49" i="16"/>
  <c r="J13" i="3"/>
  <c r="AN49" i="18"/>
  <c r="AN49" i="17"/>
  <c r="AN49" i="15"/>
  <c r="AN8" i="14"/>
  <c r="AN8" i="12"/>
  <c r="AN49" i="11"/>
  <c r="AT7" i="30"/>
  <c r="AL7" i="21"/>
  <c r="AN49" i="13"/>
  <c r="AN8" i="11"/>
  <c r="S47" i="12" l="1"/>
  <c r="J48" i="12"/>
  <c r="J48" i="15"/>
  <c r="S47" i="15"/>
  <c r="J46" i="30"/>
  <c r="S45" i="30"/>
  <c r="S7" i="16"/>
  <c r="K8" i="16"/>
  <c r="S8" i="16" s="1"/>
  <c r="S47" i="11"/>
  <c r="J48" i="11"/>
  <c r="U54" i="19"/>
  <c r="K55" i="19"/>
  <c r="K51" i="20"/>
  <c r="S51" i="20" s="1"/>
  <c r="I49" i="20"/>
  <c r="J50" i="20"/>
  <c r="K8" i="11"/>
  <c r="S8" i="11" s="1"/>
  <c r="S7" i="11"/>
  <c r="S6" i="12"/>
  <c r="J7" i="12"/>
  <c r="S44" i="28"/>
  <c r="J45" i="28"/>
  <c r="F270" i="48"/>
  <c r="F209" i="48"/>
  <c r="F87" i="48"/>
  <c r="F148" i="48"/>
  <c r="F24" i="48"/>
  <c r="G273" i="48"/>
  <c r="G212" i="48"/>
  <c r="G90" i="48"/>
  <c r="G151" i="48"/>
  <c r="G27" i="48"/>
  <c r="AD43" i="12"/>
  <c r="F279" i="48"/>
  <c r="F218" i="48"/>
  <c r="F96" i="48"/>
  <c r="F157" i="48"/>
  <c r="F33" i="48"/>
  <c r="G160" i="48"/>
  <c r="G36" i="48"/>
  <c r="G221" i="48"/>
  <c r="G99" i="48"/>
  <c r="G282" i="48"/>
  <c r="F230" i="48"/>
  <c r="F108" i="48"/>
  <c r="F291" i="48"/>
  <c r="F169" i="48"/>
  <c r="F45" i="48"/>
  <c r="G172" i="48"/>
  <c r="G48" i="48"/>
  <c r="G294" i="48"/>
  <c r="G233" i="48"/>
  <c r="G111" i="48"/>
  <c r="AC42" i="25"/>
  <c r="F178" i="48"/>
  <c r="F54" i="48"/>
  <c r="F300" i="48"/>
  <c r="F239" i="48"/>
  <c r="F117" i="48"/>
  <c r="F306" i="48"/>
  <c r="F184" i="48"/>
  <c r="F60" i="48"/>
  <c r="F245" i="48"/>
  <c r="F123" i="48"/>
  <c r="G309" i="48"/>
  <c r="G126" i="48"/>
  <c r="G248" i="48"/>
  <c r="G187" i="48"/>
  <c r="G63" i="48"/>
  <c r="AD46" i="26"/>
  <c r="F251" i="48"/>
  <c r="F312" i="48"/>
  <c r="F190" i="48"/>
  <c r="F66" i="48"/>
  <c r="F129" i="48"/>
  <c r="G315" i="48"/>
  <c r="G132" i="48"/>
  <c r="G254" i="48"/>
  <c r="G193" i="48"/>
  <c r="G69" i="48"/>
  <c r="AG42" i="31"/>
  <c r="F257" i="48"/>
  <c r="F196" i="48"/>
  <c r="F72" i="48"/>
  <c r="F318" i="48"/>
  <c r="F135" i="48"/>
  <c r="G327" i="48"/>
  <c r="G266" i="48"/>
  <c r="G144" i="48"/>
  <c r="G205" i="48"/>
  <c r="G81" i="48"/>
  <c r="AD46" i="29"/>
  <c r="S45" i="14"/>
  <c r="AD43" i="17"/>
  <c r="J6" i="28"/>
  <c r="S5" i="28"/>
  <c r="S6" i="11"/>
  <c r="AD45" i="14"/>
  <c r="J6" i="31"/>
  <c r="S5" i="31"/>
  <c r="G2" i="48"/>
  <c r="G148" i="48"/>
  <c r="G24" i="48"/>
  <c r="G270" i="48"/>
  <c r="G5" i="48"/>
  <c r="G87" i="48"/>
  <c r="G209" i="48"/>
  <c r="F273" i="48"/>
  <c r="F212" i="48"/>
  <c r="F90" i="48"/>
  <c r="F151" i="48"/>
  <c r="F27" i="48"/>
  <c r="F154" i="48"/>
  <c r="F30" i="48"/>
  <c r="F276" i="48"/>
  <c r="F215" i="48"/>
  <c r="F93" i="48"/>
  <c r="O21" i="64"/>
  <c r="AD45" i="16"/>
  <c r="L21" i="64"/>
  <c r="S45" i="16"/>
  <c r="G279" i="48"/>
  <c r="G218" i="48"/>
  <c r="G96" i="48"/>
  <c r="G157" i="48"/>
  <c r="G33" i="48"/>
  <c r="F282" i="48"/>
  <c r="F160" i="48"/>
  <c r="F36" i="48"/>
  <c r="F221" i="48"/>
  <c r="F99" i="48"/>
  <c r="G285" i="48"/>
  <c r="G224" i="48"/>
  <c r="G102" i="48"/>
  <c r="G163" i="48"/>
  <c r="G39" i="48"/>
  <c r="F288" i="48"/>
  <c r="F166" i="48"/>
  <c r="F42" i="48"/>
  <c r="F105" i="48"/>
  <c r="F227" i="48"/>
  <c r="G291" i="48"/>
  <c r="G230" i="48"/>
  <c r="G108" i="48"/>
  <c r="G169" i="48"/>
  <c r="G45" i="48"/>
  <c r="AB45" i="20"/>
  <c r="F172" i="48"/>
  <c r="F48" i="48"/>
  <c r="F294" i="48"/>
  <c r="F111" i="48"/>
  <c r="F233" i="48"/>
  <c r="F297" i="48"/>
  <c r="F236" i="48"/>
  <c r="F114" i="48"/>
  <c r="F175" i="48"/>
  <c r="F51" i="48"/>
  <c r="S45" i="21"/>
  <c r="K46" i="21"/>
  <c r="S46" i="21" s="1"/>
  <c r="G178" i="48"/>
  <c r="G54" i="48"/>
  <c r="G300" i="48"/>
  <c r="G239" i="48"/>
  <c r="G117" i="48"/>
  <c r="AC41" i="22"/>
  <c r="F303" i="48"/>
  <c r="F242" i="48"/>
  <c r="F120" i="48"/>
  <c r="F181" i="48"/>
  <c r="F57" i="48"/>
  <c r="K46" i="23"/>
  <c r="S46" i="23" s="1"/>
  <c r="S45" i="23"/>
  <c r="G245" i="48"/>
  <c r="G184" i="48"/>
  <c r="G60" i="48"/>
  <c r="G123" i="48"/>
  <c r="G306" i="48"/>
  <c r="AC41" i="24"/>
  <c r="F126" i="48"/>
  <c r="F309" i="48"/>
  <c r="F248" i="48"/>
  <c r="F63" i="48"/>
  <c r="F187" i="48"/>
  <c r="G251" i="48"/>
  <c r="G312" i="48"/>
  <c r="G190" i="48"/>
  <c r="G66" i="48"/>
  <c r="G129" i="48"/>
  <c r="AG42" i="30"/>
  <c r="F132" i="48"/>
  <c r="F193" i="48"/>
  <c r="F315" i="48"/>
  <c r="F254" i="48"/>
  <c r="F69" i="48"/>
  <c r="K47" i="31"/>
  <c r="S47" i="31" s="1"/>
  <c r="S46" i="31"/>
  <c r="G257" i="48"/>
  <c r="G196" i="48"/>
  <c r="G72" i="48"/>
  <c r="G318" i="48"/>
  <c r="G135" i="48"/>
  <c r="AD46" i="32"/>
  <c r="F321" i="48"/>
  <c r="F260" i="48"/>
  <c r="F138" i="48"/>
  <c r="F199" i="48"/>
  <c r="F75" i="48"/>
  <c r="S44" i="27"/>
  <c r="J45" i="27"/>
  <c r="G263" i="48"/>
  <c r="G202" i="48"/>
  <c r="G78" i="48"/>
  <c r="G324" i="48"/>
  <c r="G141" i="48"/>
  <c r="AC41" i="28"/>
  <c r="F327" i="48"/>
  <c r="F266" i="48"/>
  <c r="F144" i="48"/>
  <c r="F205" i="48"/>
  <c r="F81" i="48"/>
  <c r="D37" i="7"/>
  <c r="D38" i="7" s="1"/>
  <c r="D39" i="7" s="1"/>
  <c r="AD43" i="11"/>
  <c r="S43" i="13"/>
  <c r="S44" i="13"/>
  <c r="S46" i="13"/>
  <c r="I47" i="13" s="1"/>
  <c r="S6" i="14"/>
  <c r="J48" i="14"/>
  <c r="J7" i="15"/>
  <c r="AD44" i="16"/>
  <c r="K8" i="17"/>
  <c r="S8" i="17" s="1"/>
  <c r="J48" i="18"/>
  <c r="L9" i="19"/>
  <c r="U9" i="19" s="1"/>
  <c r="J6" i="21"/>
  <c r="S5" i="21"/>
  <c r="S5" i="22"/>
  <c r="S6" i="27"/>
  <c r="K7" i="27"/>
  <c r="S7" i="27" s="1"/>
  <c r="J6" i="30"/>
  <c r="I10" i="50"/>
  <c r="I27" i="40"/>
  <c r="M11" i="35"/>
  <c r="H10" i="45"/>
  <c r="I8" i="39"/>
  <c r="H15" i="34"/>
  <c r="I11" i="38"/>
  <c r="I26" i="33"/>
  <c r="I11" i="37"/>
  <c r="O19" i="64"/>
  <c r="G154" i="48"/>
  <c r="G30" i="48"/>
  <c r="G276" i="48"/>
  <c r="G215" i="48"/>
  <c r="G93" i="48"/>
  <c r="L19" i="64"/>
  <c r="S43" i="16"/>
  <c r="F224" i="48"/>
  <c r="F102" i="48"/>
  <c r="F285" i="48"/>
  <c r="F39" i="48"/>
  <c r="F163" i="48"/>
  <c r="G288" i="48"/>
  <c r="G166" i="48"/>
  <c r="G42" i="48"/>
  <c r="G227" i="48"/>
  <c r="G105" i="48"/>
  <c r="G297" i="48"/>
  <c r="G236" i="48"/>
  <c r="G114" i="48"/>
  <c r="G175" i="48"/>
  <c r="G51" i="48"/>
  <c r="AC41" i="21"/>
  <c r="J45" i="22"/>
  <c r="S44" i="22"/>
  <c r="G303" i="48"/>
  <c r="G242" i="48"/>
  <c r="G120" i="48"/>
  <c r="G181" i="48"/>
  <c r="G57" i="48"/>
  <c r="AC41" i="23"/>
  <c r="S44" i="24"/>
  <c r="J45" i="24"/>
  <c r="G321" i="48"/>
  <c r="G138" i="48"/>
  <c r="G199" i="48"/>
  <c r="G75" i="48"/>
  <c r="G260" i="48"/>
  <c r="AC41" i="27"/>
  <c r="F202" i="48"/>
  <c r="F78" i="48"/>
  <c r="F263" i="48"/>
  <c r="F324" i="48"/>
  <c r="F141" i="48"/>
  <c r="I11" i="50"/>
  <c r="H11" i="45"/>
  <c r="I12" i="38"/>
  <c r="I12" i="37"/>
  <c r="H16" i="34"/>
  <c r="I28" i="40"/>
  <c r="I9" i="39"/>
  <c r="M12" i="35"/>
  <c r="I27" i="33"/>
  <c r="L20" i="64"/>
  <c r="S44" i="16"/>
  <c r="J7" i="13"/>
  <c r="K49" i="17"/>
  <c r="S49" i="17" s="1"/>
  <c r="S48" i="17"/>
  <c r="S5" i="23"/>
  <c r="J6" i="23"/>
  <c r="H9" i="45"/>
  <c r="I10" i="38"/>
  <c r="I10" i="37"/>
  <c r="I9" i="50"/>
  <c r="M10" i="35"/>
  <c r="I26" i="40"/>
  <c r="I7" i="39"/>
  <c r="H14" i="34"/>
  <c r="I25" i="33"/>
  <c r="L22" i="64"/>
  <c r="F23" i="64" s="1"/>
  <c r="S46" i="16"/>
  <c r="K48" i="25"/>
  <c r="S48" i="25" s="1"/>
  <c r="I46" i="25"/>
  <c r="J47" i="25"/>
  <c r="AD43" i="13"/>
  <c r="AD44" i="13"/>
  <c r="AD46" i="14"/>
  <c r="AD43" i="16"/>
  <c r="K8" i="18"/>
  <c r="S8" i="18" s="1"/>
  <c r="AG49" i="19"/>
  <c r="K7" i="22"/>
  <c r="S7" i="22" s="1"/>
  <c r="S6" i="22"/>
  <c r="S6" i="24"/>
  <c r="K7" i="24"/>
  <c r="S7" i="24" s="1"/>
  <c r="S45" i="31"/>
  <c r="B34" i="33"/>
  <c r="O36" i="43"/>
  <c r="E38" i="47"/>
  <c r="F23" i="48"/>
  <c r="F10" i="54"/>
  <c r="F10" i="55"/>
  <c r="F2" i="55"/>
  <c r="F2" i="54"/>
  <c r="K58" i="43"/>
  <c r="M58" i="43"/>
  <c r="U148" i="63"/>
  <c r="AA16" i="63"/>
  <c r="AA12" i="63"/>
  <c r="E32" i="62"/>
  <c r="E30" i="62"/>
  <c r="E5" i="55"/>
  <c r="E5" i="54"/>
  <c r="D5" i="52"/>
  <c r="AA13" i="63"/>
  <c r="E5" i="62"/>
  <c r="E3" i="62"/>
  <c r="AA15" i="63"/>
  <c r="U14" i="63"/>
  <c r="E29" i="62"/>
  <c r="E6" i="62"/>
  <c r="U15" i="63"/>
  <c r="AA11" i="63"/>
  <c r="E24" i="52"/>
  <c r="J47" i="51"/>
  <c r="J46" i="51"/>
  <c r="M148" i="48"/>
  <c r="M24" i="48"/>
  <c r="E14" i="48"/>
  <c r="E35" i="47"/>
  <c r="E25" i="47"/>
  <c r="G17" i="46"/>
  <c r="J50" i="51"/>
  <c r="J45" i="51" s="1"/>
  <c r="E5" i="2" s="1"/>
  <c r="J49" i="51"/>
  <c r="M270" i="48"/>
  <c r="F84" i="48"/>
  <c r="E32" i="47"/>
  <c r="E24" i="47"/>
  <c r="E16" i="46"/>
  <c r="J51" i="51"/>
  <c r="M209" i="48"/>
  <c r="M87" i="48"/>
  <c r="E42" i="47"/>
  <c r="E31" i="47"/>
  <c r="E70" i="33"/>
  <c r="K70" i="33" s="1"/>
  <c r="I31" i="33" s="1"/>
  <c r="I136" i="33" s="1"/>
  <c r="M36" i="43"/>
  <c r="K36" i="43" s="1"/>
  <c r="E28" i="47"/>
  <c r="E31" i="62"/>
  <c r="E4" i="62"/>
  <c r="L6" i="51"/>
  <c r="H46" i="51"/>
  <c r="G46" i="51"/>
  <c r="H51" i="51"/>
  <c r="K46" i="22" l="1"/>
  <c r="S46" i="22" s="1"/>
  <c r="S45" i="22"/>
  <c r="S7" i="15"/>
  <c r="K8" i="15"/>
  <c r="S8" i="15" s="1"/>
  <c r="K8" i="12"/>
  <c r="S8" i="12" s="1"/>
  <c r="S7" i="12"/>
  <c r="I47" i="16"/>
  <c r="J48" i="16"/>
  <c r="K49" i="18"/>
  <c r="S49" i="18" s="1"/>
  <c r="S48" i="18"/>
  <c r="S48" i="14"/>
  <c r="K49" i="14"/>
  <c r="S49" i="14" s="1"/>
  <c r="S6" i="31"/>
  <c r="K7" i="31"/>
  <c r="S7" i="31" s="1"/>
  <c r="S6" i="28"/>
  <c r="K7" i="28"/>
  <c r="S7" i="28" s="1"/>
  <c r="S48" i="11"/>
  <c r="K49" i="11"/>
  <c r="S49" i="11" s="1"/>
  <c r="K49" i="15"/>
  <c r="S49" i="15" s="1"/>
  <c r="S48" i="15"/>
  <c r="S7" i="13"/>
  <c r="K8" i="13"/>
  <c r="S8" i="13" s="1"/>
  <c r="S6" i="30"/>
  <c r="K7" i="30"/>
  <c r="S7" i="30" s="1"/>
  <c r="S45" i="28"/>
  <c r="K46" i="28"/>
  <c r="S46" i="28" s="1"/>
  <c r="S48" i="12"/>
  <c r="K49" i="12"/>
  <c r="S49" i="12" s="1"/>
  <c r="D4" i="4"/>
  <c r="B5" i="1"/>
  <c r="S6" i="23"/>
  <c r="K7" i="23"/>
  <c r="S7" i="23" s="1"/>
  <c r="H31" i="33"/>
  <c r="H136" i="33" s="1"/>
  <c r="L23" i="64"/>
  <c r="G24" i="64"/>
  <c r="K46" i="24"/>
  <c r="S46" i="24" s="1"/>
  <c r="S45" i="24"/>
  <c r="K7" i="21"/>
  <c r="S7" i="21" s="1"/>
  <c r="S6" i="21"/>
  <c r="J48" i="13"/>
  <c r="S47" i="13"/>
  <c r="D43" i="7"/>
  <c r="D44" i="7" s="1"/>
  <c r="D45" i="7" s="1"/>
  <c r="D40" i="7"/>
  <c r="D41" i="7"/>
  <c r="K46" i="27"/>
  <c r="S46" i="27" s="1"/>
  <c r="S45" i="27"/>
  <c r="L56" i="19"/>
  <c r="U56" i="19" s="1"/>
  <c r="U55" i="19"/>
  <c r="S46" i="30"/>
  <c r="K47" i="30"/>
  <c r="S47" i="30" s="1"/>
  <c r="K49" i="13" l="1"/>
  <c r="S49" i="13" s="1"/>
  <c r="S48" i="13"/>
  <c r="K49" i="16"/>
  <c r="S49" i="16" s="1"/>
  <c r="S48" i="16"/>
  <c r="L24" i="64"/>
  <c r="H25" i="64"/>
  <c r="L25" i="64" s="1"/>
  <c r="D51" i="7"/>
  <c r="D48" i="7"/>
  <c r="D49" i="7"/>
  <c r="D46"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<sst xmlns="http://schemas.openxmlformats.org/spreadsheetml/2006/main" count="17694" uniqueCount="4812">
  <si>
    <t xml:space="preserve"> (требуется обновление)</t>
  </si>
  <si>
    <t>Код отчёта: PP110.OPEN.INFO.INVEST.HEAT.EIAS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</si>
  <si>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</si>
  <si>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</si>
  <si>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</si>
  <si>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</si>
  <si>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</si>
  <si>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</si>
  <si>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</si>
  <si>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</si>
  <si>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</si>
  <si>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</si>
  <si>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</si>
  <si>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26539356</t>
  </si>
  <si>
    <t>Flag_Row_Size</t>
  </si>
  <si>
    <t>Субъект РФ</t>
  </si>
  <si>
    <t>г.Санкт-Петербург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</si>
  <si>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</si>
  <si>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</si>
  <si>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</si>
  <si>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</si>
  <si>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</si>
  <si>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</si>
  <si>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</si>
  <si>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</si>
  <si>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</si>
  <si>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</si>
  <si>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</si>
  <si>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</si>
  <si>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</si>
  <si>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</si>
  <si>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</si>
  <si>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</si>
  <si>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</si>
  <si>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</si>
  <si>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</si>
  <si>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</si>
  <si>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по регулируемым и нерегулируемым ценам</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</si>
  <si>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</si>
  <si>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</si>
  <si>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</si>
  <si>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</si>
  <si>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</si>
  <si>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</si>
  <si>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</si>
  <si>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</si>
  <si>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</si>
  <si>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</si>
  <si>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</si>
  <si>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</si>
  <si>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</si>
  <si>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</si>
  <si>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</si>
  <si>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</si>
  <si>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</si>
  <si>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</si>
  <si>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</si>
  <si>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</si>
  <si>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</si>
  <si>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</si>
  <si>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</si>
  <si>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</si>
  <si>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</si>
  <si>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</si>
  <si>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</si>
  <si>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</si>
  <si>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</si>
  <si>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</si>
  <si>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</si>
  <si>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</si>
  <si>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</si>
  <si>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</si>
  <si>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Санкт-Петербург, пр. Добролюбова, д.16, корпус 2,  литера А</t>
  </si>
  <si>
    <t>Фамилия, имя, отчество руководителя</t>
  </si>
  <si>
    <t>Информация скрыта на основании Указа Президента РФ от 27.10.2023 №903 и Приказа ПАО "ТГК-1" от 26.12.2024 №200</t>
  </si>
  <si>
    <t>Ответственный за заполнение формы</t>
  </si>
  <si>
    <t>Фамилия, имя, отчество</t>
  </si>
  <si>
    <t>Клементьева Наталья Александровна</t>
  </si>
  <si>
    <t>Должность</t>
  </si>
  <si>
    <t>главный специалист</t>
  </si>
  <si>
    <t>Контактный телефон</t>
  </si>
  <si>
    <t>8 (812) 688-33-21</t>
  </si>
  <si>
    <t>E-mail</t>
  </si>
  <si>
    <t>Klementeva.NA@tgc1.ru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</si>
  <si>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</si>
  <si>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</si>
  <si>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</si>
  <si>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</si>
  <si>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</si>
  <si>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</si>
  <si>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</si>
  <si>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</si>
  <si>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</si>
  <si>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</si>
  <si>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</si>
  <si>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</si>
  <si>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</si>
  <si>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</si>
  <si>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</si>
  <si>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</si>
  <si>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</si>
  <si>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</si>
  <si>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</si>
  <si>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</si>
  <si>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</si>
  <si>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</si>
  <si>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</si>
  <si>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</si>
  <si>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</si>
  <si>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</si>
  <si>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</si>
  <si>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</si>
  <si>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</si>
  <si>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</si>
  <si>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</si>
  <si>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</si>
  <si>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</si>
  <si>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</si>
  <si>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</si>
  <si>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</si>
  <si>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</si>
  <si>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</si>
  <si>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</si>
  <si>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</si>
  <si>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</si>
  <si>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</si>
  <si>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</si>
  <si>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</si>
  <si>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</si>
  <si>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</si>
  <si>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</si>
  <si>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</si>
  <si>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</si>
  <si>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</si>
  <si>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</si>
  <si>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</si>
  <si>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</si>
  <si>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</si>
  <si>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</si>
  <si>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</si>
  <si>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</si>
  <si>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</si>
  <si>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</si>
  <si>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</si>
  <si>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</si>
  <si>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</si>
  <si>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</si>
  <si>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</si>
  <si>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</si>
  <si>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</si>
  <si>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</si>
  <si>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</si>
  <si>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</si>
  <si>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</si>
  <si>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</si>
  <si>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</si>
  <si>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</si>
  <si>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</si>
  <si>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</si>
  <si>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</si>
  <si>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</si>
  <si>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</si>
  <si>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</si>
  <si>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</si>
  <si>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</si>
  <si>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</si>
  <si>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</si>
  <si>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</si>
  <si>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</si>
  <si>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</si>
  <si>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</si>
  <si>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</si>
  <si>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</si>
  <si>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</si>
  <si>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</si>
  <si>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</si>
  <si>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</si>
  <si>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</si>
  <si>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</si>
  <si>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</si>
  <si>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</si>
  <si>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</si>
  <si>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</si>
  <si>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</si>
  <si>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</si>
  <si>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</si>
  <si>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</si>
  <si>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</si>
  <si>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</si>
  <si>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</si>
  <si>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</si>
  <si>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</si>
  <si>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</si>
  <si>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</si>
  <si>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</si>
  <si>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</si>
  <si>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</si>
  <si>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</si>
  <si>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</si>
  <si>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</si>
  <si>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</si>
  <si>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</si>
  <si>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</si>
  <si>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</si>
  <si>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</si>
  <si>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</si>
  <si>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</si>
  <si>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</si>
  <si>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</si>
  <si>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</si>
  <si>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</si>
  <si>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</si>
  <si>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</si>
  <si>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</si>
  <si>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</si>
  <si>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</si>
  <si>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</si>
  <si>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</si>
  <si>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</si>
  <si>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</si>
  <si>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</si>
  <si>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</si>
  <si>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</si>
  <si>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</si>
  <si>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</si>
  <si>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</si>
  <si>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</si>
  <si>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</si>
  <si>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</si>
  <si>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</si>
  <si>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</si>
  <si>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</si>
  <si>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</si>
  <si>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</si>
  <si>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</si>
  <si>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</si>
  <si>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</si>
  <si>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</si>
  <si>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</si>
  <si>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</si>
  <si>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</si>
  <si>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</si>
  <si>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</si>
  <si>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</si>
  <si>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</si>
  <si>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</si>
  <si>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</si>
  <si>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</si>
  <si>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</si>
  <si>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</si>
  <si>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</si>
  <si>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</si>
  <si>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</si>
  <si>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</si>
  <si>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</si>
  <si>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</si>
  <si>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</si>
  <si>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</si>
  <si>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</si>
  <si>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</si>
  <si>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</si>
  <si>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</si>
  <si>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</si>
  <si>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</si>
  <si>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</si>
  <si>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</si>
  <si>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</si>
  <si>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</si>
  <si>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</si>
  <si>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</si>
  <si>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</si>
  <si>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</si>
  <si>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</si>
  <si>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</si>
  <si>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</si>
  <si>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</si>
  <si>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</si>
  <si>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</si>
  <si>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</si>
  <si>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</si>
  <si>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</si>
  <si>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</si>
  <si>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</si>
  <si>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</si>
  <si>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</si>
  <si>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</si>
  <si>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</si>
  <si>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</si>
  <si>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</si>
  <si>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</si>
  <si>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</si>
  <si>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</si>
  <si>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</si>
  <si>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</si>
  <si>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</si>
  <si>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</si>
  <si>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</si>
  <si>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</si>
  <si>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</si>
  <si>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</si>
  <si>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</si>
  <si>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</si>
  <si>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</si>
  <si>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</si>
  <si>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</si>
  <si>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</si>
  <si>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</si>
  <si>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</si>
  <si>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</si>
  <si>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</si>
  <si>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</si>
  <si>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</si>
  <si>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</si>
  <si>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</si>
  <si>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</si>
  <si>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</si>
  <si>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</si>
  <si>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</si>
  <si>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</si>
  <si>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</si>
  <si>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</si>
  <si>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</si>
  <si>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</si>
  <si>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</si>
  <si>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</si>
  <si>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</si>
  <si>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</si>
  <si>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</si>
  <si>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</si>
  <si>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</si>
  <si>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</si>
  <si>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</si>
  <si>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</si>
  <si>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</si>
  <si>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</si>
  <si>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</si>
  <si>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</si>
  <si>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</si>
  <si>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</si>
  <si>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</si>
  <si>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</si>
  <si>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</si>
  <si>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</si>
  <si>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</si>
  <si>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</si>
  <si>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</si>
  <si>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</si>
  <si>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</si>
  <si>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</si>
  <si>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</si>
  <si>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</si>
  <si>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</si>
  <si>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</si>
  <si>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</si>
  <si>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</si>
  <si>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</si>
  <si>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</si>
  <si>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</si>
  <si>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</si>
  <si>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</si>
  <si>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</si>
  <si>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</si>
  <si>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</si>
  <si>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</si>
  <si>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</si>
  <si>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</si>
  <si>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</si>
  <si>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</si>
  <si>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</si>
  <si>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</si>
  <si>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</si>
  <si>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</si>
  <si>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</si>
  <si>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</si>
  <si>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</si>
  <si>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</si>
  <si>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</si>
  <si>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</si>
  <si>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</si>
  <si>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</si>
  <si>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</si>
  <si>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</si>
  <si>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</si>
  <si>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</si>
  <si>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</si>
  <si>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</si>
  <si>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</si>
  <si>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</si>
  <si>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</si>
  <si>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</si>
  <si>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</si>
  <si>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</si>
  <si>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</si>
  <si>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</si>
  <si>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</si>
  <si>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</si>
  <si>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</si>
  <si>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</si>
  <si>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</si>
  <si>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</si>
  <si>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</si>
  <si>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</si>
  <si>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</si>
  <si>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</si>
  <si>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</si>
  <si>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</si>
  <si>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</si>
  <si>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</si>
  <si>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</si>
  <si>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</si>
  <si>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</si>
  <si>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</si>
  <si>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</si>
  <si>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</si>
  <si>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</si>
  <si>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</si>
  <si>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</si>
  <si>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</si>
  <si>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</si>
  <si>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</si>
  <si>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</si>
  <si>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</si>
  <si>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</si>
  <si>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</si>
  <si>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</si>
  <si>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</si>
  <si>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</si>
  <si>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</si>
  <si>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</si>
  <si>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</si>
  <si>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</si>
  <si>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</si>
  <si>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</si>
  <si>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</si>
  <si>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</si>
  <si>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</si>
  <si>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</si>
  <si>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</si>
  <si>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</si>
  <si>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</si>
  <si>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</si>
  <si>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</si>
  <si>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</si>
  <si>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</si>
  <si>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</si>
  <si>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</si>
  <si>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</si>
  <si>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</si>
  <si>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</si>
  <si>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</si>
  <si>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</si>
  <si>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</si>
  <si>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</si>
  <si>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</si>
  <si>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</si>
  <si>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</si>
  <si>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</si>
  <si>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</si>
  <si>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</si>
  <si>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</si>
  <si>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</si>
  <si>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</si>
  <si>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</si>
  <si>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</si>
  <si>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</si>
  <si>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</si>
  <si>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</si>
  <si>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</si>
  <si>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</si>
  <si>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</si>
  <si>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</si>
  <si>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</si>
  <si>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</si>
  <si>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</si>
  <si>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</si>
  <si>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</si>
  <si>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</si>
  <si>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</si>
  <si>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</si>
  <si>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</si>
  <si>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</si>
  <si>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</si>
  <si>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</si>
  <si>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</si>
  <si>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</si>
  <si>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</si>
  <si>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</si>
  <si>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</si>
  <si>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</si>
  <si>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</si>
  <si>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</si>
  <si>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</si>
  <si>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</si>
  <si>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</si>
  <si>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</si>
  <si>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</si>
  <si>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</si>
  <si>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</si>
  <si>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</si>
  <si>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</si>
  <si>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</si>
  <si>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</si>
  <si>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</si>
  <si>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</si>
  <si>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</si>
  <si>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</si>
  <si>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</si>
  <si>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</si>
  <si>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</si>
  <si>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</si>
  <si>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</si>
  <si>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</si>
  <si>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</si>
  <si>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</si>
  <si>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</si>
  <si>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</si>
  <si>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</si>
  <si>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</si>
  <si>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</si>
  <si>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</si>
  <si>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</si>
  <si>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</si>
  <si>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</si>
  <si>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</si>
  <si>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</si>
  <si>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</si>
  <si>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</si>
  <si>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</si>
  <si>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</si>
  <si>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</si>
  <si>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</si>
  <si>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</si>
  <si>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</si>
  <si>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</si>
  <si>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</si>
  <si>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</si>
  <si>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</si>
  <si>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</si>
  <si>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</si>
  <si>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</si>
  <si>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</si>
  <si>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</si>
  <si>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</si>
  <si>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</si>
  <si>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</si>
  <si>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</si>
  <si>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</si>
  <si>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</si>
  <si>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</si>
  <si>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</si>
  <si>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</si>
  <si>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</si>
  <si>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</si>
  <si>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</si>
  <si>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</si>
  <si>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</si>
  <si>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</si>
  <si>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</si>
  <si>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</si>
  <si>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</si>
  <si>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</si>
  <si>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</si>
  <si>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</si>
  <si>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</si>
  <si>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</si>
  <si>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</si>
  <si>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</si>
  <si>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</si>
  <si>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</si>
  <si>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</si>
  <si>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</si>
  <si>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</si>
  <si>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</si>
  <si>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</si>
  <si>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</si>
  <si>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</si>
  <si>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</si>
  <si>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</si>
  <si>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</si>
  <si>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</si>
  <si>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</si>
  <si>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</si>
  <si>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</si>
  <si>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</si>
  <si>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</si>
  <si>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</si>
  <si>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</si>
  <si>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</si>
  <si>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</si>
  <si>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</si>
  <si>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</si>
  <si>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</si>
  <si>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</si>
  <si>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</si>
  <si>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</si>
  <si>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</si>
  <si>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</si>
  <si>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</si>
  <si>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</si>
  <si>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</si>
  <si>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</si>
  <si>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</si>
  <si>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</si>
  <si>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</si>
  <si>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</si>
  <si>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</si>
  <si>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</si>
  <si>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</si>
  <si>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</si>
  <si>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</si>
  <si>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</si>
  <si>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</si>
  <si>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</si>
  <si>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</si>
  <si>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</si>
  <si>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</si>
  <si>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</si>
  <si>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</si>
  <si>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</si>
  <si>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</si>
  <si>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</si>
  <si>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</si>
  <si>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</si>
  <si>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</si>
  <si>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</si>
  <si>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</si>
  <si>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</si>
  <si>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</si>
  <si>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</si>
  <si>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</si>
  <si>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</si>
  <si>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</si>
  <si>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</si>
  <si>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</si>
  <si>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</si>
  <si>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</si>
  <si>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</si>
  <si>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</si>
  <si>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</si>
  <si>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</si>
  <si>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</si>
  <si>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</si>
  <si>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</si>
  <si>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</si>
  <si>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</si>
  <si>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</si>
  <si>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</si>
  <si>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</si>
  <si>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</si>
  <si>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</si>
  <si>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</si>
  <si>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</si>
  <si>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</si>
  <si>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</si>
  <si>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</si>
  <si>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</si>
  <si>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</si>
  <si>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</si>
  <si>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</si>
  <si>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</si>
  <si>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</si>
  <si>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</si>
  <si>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</si>
  <si>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</si>
  <si>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</si>
  <si>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</si>
  <si>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</si>
  <si>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</si>
  <si>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</si>
  <si>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</si>
  <si>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</si>
  <si>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</si>
  <si>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</si>
  <si>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</si>
  <si>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</si>
  <si>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</si>
  <si>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</si>
  <si>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</si>
  <si>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</si>
  <si>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</si>
  <si>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</si>
  <si>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</si>
  <si>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</si>
  <si>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</si>
  <si>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</si>
  <si>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</si>
  <si>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</si>
  <si>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</si>
  <si>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</si>
  <si>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</si>
  <si>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</si>
  <si>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</si>
  <si>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</si>
  <si>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</si>
  <si>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</si>
  <si>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</si>
  <si>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</si>
  <si>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</si>
  <si>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</si>
  <si>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</si>
  <si>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</si>
  <si>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</si>
  <si>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</si>
  <si>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</si>
  <si>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</si>
  <si>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</si>
  <si>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</si>
  <si>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</si>
  <si>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</si>
  <si>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</si>
  <si>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</si>
  <si>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</si>
  <si>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</si>
  <si>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</si>
  <si>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</si>
  <si>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</si>
  <si>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</si>
  <si>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</si>
  <si>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</si>
  <si>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</si>
  <si>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</si>
  <si>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</si>
  <si>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</si>
  <si>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</si>
  <si>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</si>
  <si>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</si>
  <si>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</si>
  <si>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</si>
  <si>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</si>
  <si>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</si>
  <si>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</si>
  <si>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</si>
  <si>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</si>
  <si>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</si>
  <si>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</si>
  <si>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</si>
  <si>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</si>
  <si>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</si>
  <si>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</si>
  <si>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</si>
  <si>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</si>
  <si>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</si>
  <si>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</si>
  <si>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</si>
  <si>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</si>
  <si>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</si>
  <si>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</si>
  <si>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</si>
  <si>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</si>
  <si>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</si>
  <si>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</si>
  <si>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</si>
  <si>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</si>
  <si>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</si>
  <si>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</si>
  <si>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</si>
  <si>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</si>
  <si>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</si>
  <si>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</si>
  <si>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</si>
  <si>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</si>
  <si>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</si>
  <si>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</si>
  <si>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</si>
  <si>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</si>
  <si>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</si>
  <si>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</si>
  <si>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</si>
  <si>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</si>
  <si>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</si>
  <si>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</si>
  <si>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</si>
  <si>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</si>
  <si>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</si>
  <si>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</si>
  <si>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</si>
  <si>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</si>
  <si>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</si>
  <si>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</si>
  <si>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</si>
  <si>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</si>
  <si>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</si>
  <si>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</si>
  <si>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</si>
  <si>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</si>
  <si>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</si>
  <si>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</si>
  <si>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</si>
  <si>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</si>
  <si>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</si>
  <si>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</si>
  <si>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</si>
  <si>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</si>
  <si>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</si>
  <si>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</si>
  <si>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</si>
  <si>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</si>
  <si>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</si>
  <si>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</si>
  <si>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</si>
  <si>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</si>
  <si>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</si>
  <si>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</si>
  <si>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</si>
  <si>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</si>
  <si>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</si>
  <si>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</si>
  <si>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</si>
  <si>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</si>
  <si>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</si>
  <si>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</si>
  <si>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</si>
  <si>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</si>
  <si>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</si>
  <si>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</si>
  <si>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</si>
  <si>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</si>
  <si>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</si>
  <si>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</si>
  <si>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</si>
  <si>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</si>
  <si>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</si>
  <si>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</si>
  <si>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</si>
  <si>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</si>
  <si>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</si>
  <si>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</si>
  <si>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</si>
  <si>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</si>
  <si>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</si>
  <si>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</si>
  <si>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</si>
  <si>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</si>
  <si>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</si>
  <si>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</si>
  <si>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</si>
  <si>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</si>
  <si>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</si>
  <si>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</si>
  <si>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</si>
  <si>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</si>
  <si>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</si>
  <si>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</si>
  <si>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</si>
  <si>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</si>
  <si>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</si>
  <si>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</si>
  <si>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</si>
  <si>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</si>
  <si>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</si>
  <si>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</si>
  <si>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</si>
  <si>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</si>
  <si>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</si>
  <si>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</si>
  <si>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</si>
  <si>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</si>
  <si>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</si>
  <si>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</si>
  <si>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</si>
  <si>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</si>
  <si>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</si>
  <si>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</si>
  <si>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</si>
  <si>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</si>
  <si>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</si>
  <si>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</si>
  <si>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</si>
  <si>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</si>
  <si>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</si>
  <si>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</si>
  <si>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</si>
  <si>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</si>
  <si>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</si>
  <si>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</si>
  <si>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</si>
  <si>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</si>
  <si>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</si>
  <si>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</si>
  <si>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</si>
  <si>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</si>
  <si>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</si>
  <si>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</si>
  <si>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</si>
  <si>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</si>
  <si>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</si>
  <si>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</si>
  <si>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</si>
  <si>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</si>
  <si>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</si>
  <si>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</si>
  <si>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</si>
  <si>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</si>
  <si>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</si>
  <si>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</si>
  <si>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</si>
  <si>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</si>
  <si>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</si>
  <si>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</si>
  <si>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</si>
  <si>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</si>
  <si>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</si>
  <si>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</si>
  <si>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</si>
  <si>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</si>
  <si>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</si>
  <si>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</si>
  <si>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</si>
  <si>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</si>
  <si>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</si>
  <si>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</si>
  <si>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</si>
  <si>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</si>
  <si>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</si>
  <si>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</si>
  <si>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</si>
  <si>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</si>
  <si>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</si>
  <si>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</si>
  <si>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</si>
  <si>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</si>
  <si>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</si>
  <si>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</si>
  <si>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</si>
  <si>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</si>
  <si>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</si>
  <si>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</si>
  <si>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</si>
  <si>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</si>
  <si>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</si>
  <si>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</si>
  <si>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</si>
  <si>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</si>
  <si>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</si>
  <si>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</si>
  <si>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</si>
  <si>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</si>
  <si>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</si>
  <si>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</si>
  <si>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</si>
  <si>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</si>
  <si>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</si>
  <si>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</si>
  <si>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</si>
  <si>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</si>
  <si>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</si>
  <si>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</si>
  <si>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</si>
  <si>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</si>
  <si>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</si>
  <si>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</si>
  <si>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</si>
  <si>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</si>
  <si>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</si>
  <si>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</si>
  <si>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</si>
  <si>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</si>
  <si>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</si>
  <si>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</si>
  <si>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</si>
  <si>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</si>
  <si>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</si>
  <si>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</si>
  <si>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</si>
  <si>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</si>
  <si>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</si>
  <si>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</si>
  <si>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</si>
  <si>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</si>
  <si>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</si>
  <si>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</si>
  <si>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</si>
  <si>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</si>
  <si>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</si>
  <si>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</si>
  <si>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</si>
  <si>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</si>
  <si>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</si>
  <si>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</si>
  <si>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</si>
  <si>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</si>
  <si>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</si>
  <si>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30.10.2023 ПАО "ТГК-1" филиал "Невский" в сфере теплоснабжения по комплексному развитию систем теплоснабжения на 2024-2028 годы</t>
  </si>
  <si>
    <t>снижение аварийности; улучшение качества; повышение надёжности и энергетической эффективности</t>
  </si>
  <si>
    <t>Комитет по тарифам Санкт-Петербурга</t>
  </si>
  <si>
    <t>01.01.2024</t>
  </si>
  <si>
    <t>31.12.2028</t>
  </si>
  <si>
    <t>Об утверждении инвестиционной программы публичного акционерного общества «Территориальная генерирующая компания № 1» филиал «Невский» на 2024-2028 годы и изменений, вносимых в Инвестиционную программу публичного акционерного общества «Территориальная генерирующая компания № 1» филиал «Невский», утвержденную распоряжением Комитета по тарифам Санкт-Петербурга от 14.12.2018 № 230-р, с изменениями, внесенными распоряжением Комитета по тарифам Санкт-Петербурга от 18.11.2022 № 177-р</t>
  </si>
  <si>
    <t>Распоряжение</t>
  </si>
  <si>
    <t>108-р</t>
  </si>
  <si>
    <t>Об утверждении изменений, вносимых в инвестиционную программу публичного акционерного общества "Территориальная генерирующая компания №1" филиал "Невский", утвержденную распоряжением Комитета по тарифам Санкт-Петербурга от 30.10.2023 №108-р, с изменениями, внесенными распоряжением Комитета по тарифам Санкт-Петербурга от 20.11.2024 №177-р</t>
  </si>
  <si>
    <t>172-р</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</si>
  <si>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</si>
  <si>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</si>
  <si>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</si>
  <si>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</si>
  <si>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</si>
  <si>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</si>
  <si>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</si>
  <si>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</si>
  <si>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</si>
  <si>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</si>
  <si>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</si>
  <si>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</si>
  <si>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</si>
  <si>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</si>
  <si>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</si>
  <si>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</si>
  <si>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</si>
  <si>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</si>
  <si>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</si>
  <si>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</si>
  <si>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</si>
  <si>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</si>
  <si>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</si>
  <si>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</si>
  <si>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</si>
  <si>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</si>
  <si>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</si>
  <si>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</si>
  <si>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</si>
  <si>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</si>
  <si>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</si>
  <si>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</si>
  <si>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</si>
  <si>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насосно-перекачивающей станции на ЭС-3 с учетом  выноса трубопроводов сетевой воды и насосного оборудования из Главного корпуса, строительства  РУ-6 кВ и перезаводки кабельных линий 6 кВ из Главного корпуса на новое РУ-6 кВ</t>
  </si>
  <si>
    <t>Декабрь</t>
  </si>
  <si>
    <t>2027</t>
  </si>
  <si>
    <t xml:space="preserve">  Прочие</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</si>
  <si>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</si>
  <si>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</si>
  <si>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</si>
  <si>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</si>
  <si>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</si>
  <si>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Реконструкция Автовской ТЭЦ </t>
  </si>
  <si>
    <t>2028</t>
  </si>
  <si>
    <t xml:space="preserve">      Прочие амортизационные отчисления</t>
  </si>
  <si>
    <t>Реконструкция ЭС-2 Центральной ТЭЦ филиала "Невский" ПАО "ТГК-1" со строительством новой водогрейной котельной</t>
  </si>
  <si>
    <t>2026</t>
  </si>
  <si>
    <t xml:space="preserve">  Прочие собственные средства</t>
  </si>
  <si>
    <t xml:space="preserve">Техническое перевооружение теплофикационной установки и водогрейного котлоагрегата ст. №16 с увеличением тепловой мощности водогрейного котлоагрегата (с 100 Гкал/ч до 120 Гкал/час) энергоблоков №1 и № 2 на Правобережной ТЭЦ </t>
  </si>
  <si>
    <t>Техническое перевооружение теплофикационной установки Выборгской ТЭЦ с заменой участка трубопровода сетевой воды (Ду 900) и увеличением его диаметра до Ду1000, выносом трубопровода на поверхность, реконструкцией узла учёта</t>
  </si>
  <si>
    <t>Техническое перевооружение оборудования теплофикационной установки Выборгской ТЭЦ в части установки оборудования для регулирования параметров теплосети, защитных предохранительных устройств и систем управления</t>
  </si>
  <si>
    <t>Техническое перевооружение теплофикационной установки Южной ТЭЦ с установкой дополнительной запорно-регулирующей арматуры, заменой  трубопроводов сетевой воды (Ду=800 мм), заменой насосов рециркуляции</t>
  </si>
  <si>
    <t>Техническое перевооружение турбоагрегата (ТА)  ст. № 2 на  Северной ТЭЦ в части комплексной замены паровой турбины мощностью 100 МВт на аналогичную с доработкой фундамента и выполнением ряда  технических мероприятий по интеграции вспомогательного оборудования и систем паровой турбины в существующие станционные</t>
  </si>
  <si>
    <t>Техническое перевооружение турбогенератора (ТГ) ст. № 4 на Василеостровской ТЭЦ в части комплексной замены паровой турбины мощностью 25 МВт на аналогичную с доработкой фундамента и выполнением ряда сопутствующих технических мероприятий по интеграции вспомогательного оборудования и систем паровой турбины в существующие станционные</t>
  </si>
  <si>
    <t>Техническое перевооружение турбоагрегата (ст. № 4) (ПТ-25/30-8,8) на Василеостровской ТЭЦ в части замены главного паропровода (ГПП), замены общестанционного трансфера, модернизации паропровода теплофикационного отбора паровой турбины ст. № 4 с увеличением диаметра, частичной замены вспомогательных паропроводов, технического перевооружения электротехнического оборудования в части секций № 3 и № 4 собственных нужд с переводом на типовой класс напряжения 0,4 кВ с существующего 0,5 кВ, создания единой комплексной АСУ ТП турбоагрегата</t>
  </si>
  <si>
    <t>Модернизация системы управления энергоблока ст. № 4 Южной ТЭЦ</t>
  </si>
  <si>
    <t>2025</t>
  </si>
  <si>
    <t>Модернизация системы управления ГТУ ст.№1,2 ЭС-1 Центральной ТЭЦ</t>
  </si>
  <si>
    <t>Мероприятия, направленные на повышение экологической эффективности</t>
  </si>
  <si>
    <t>Реконструкция сетей канализации на ТЭЦ-7 со строительством очистных сооружений сточных вод</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</si>
  <si>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</si>
  <si>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Реконструкция Правобережной ТЭЦ в части создания комплекса инженерно-технических средств охраны (КИТСО)</t>
  </si>
  <si>
    <t>15</t>
  </si>
  <si>
    <t>Реконструкция ЭС-2 Центральной ТЭЦ в части создания комплекса инженерно-технических средств охраны (КИТСО)</t>
  </si>
  <si>
    <t>16</t>
  </si>
  <si>
    <t>Реконструкция Автовской ТЭЦ  в части создания комплекса инженерно-технических средств охраны (КИТСО)</t>
  </si>
  <si>
    <t>2024</t>
  </si>
  <si>
    <t>17</t>
  </si>
  <si>
    <t>Реконструкция Первомайской ТЭЦ  в части создания комплекса инженерно-технических средств охраны (КИТСО)</t>
  </si>
  <si>
    <t>18</t>
  </si>
  <si>
    <t>Организация антитеррористической защиты объектов  теплоснабжения</t>
  </si>
  <si>
    <t>Добавить мероприятие</t>
  </si>
  <si>
    <t xml:space="preserve">  Прибыль направляемая на инвестиции</t>
  </si>
  <si>
    <t xml:space="preserve">Техническое перевооружение водогрейных котлов КВГМ-100 
ст. № 7 и КВГМ-100 ст. № 8 с увеличением установленной мощности каждого котлоагрегата ЭС-1 Центральной ТЭЦ </t>
  </si>
  <si>
    <t>Техническое перевооружение теплофикационной установки на Северной ТЭЦ c установкой новой насосной группы для регулирования параметров тепломагистралей в районе оси 19 между рядами Б-В</t>
  </si>
  <si>
    <t>Модернизация газотурбинных установок (ГТУ) ст. № 41 и ст.№ 42 на Южной ТЭЦ с заменой рабочих лопаток 1-й, 2-й и 3-й ступеней и направляющих лопаток 1-й и 2 ступеней</t>
  </si>
  <si>
    <t>Реконструкция системы технического водоснабжения со строительством башенной градирни каркасно-обшивного типа и установкой 2-х насосных агрегатов в существующей циркуляционной насосной Северной ТЭЦ</t>
  </si>
  <si>
    <t>Модернизация системы канализации на ЭС-1 Центральной ТЭЦ со строительством  очистных сооружений  и установкой коммерческих узлов учета сточных вод</t>
  </si>
  <si>
    <t>19</t>
  </si>
  <si>
    <t>20</t>
  </si>
  <si>
    <t>21</t>
  </si>
  <si>
    <t>22</t>
  </si>
  <si>
    <t>Модернизация газотурбинных установок (ГТУ) ст. № 21 и ст. № 22 на Правобережной ТЭЦ с заменой рабочих лопаток 1-й, 2-й и 3-й ступеней и направляющих лопаток 1-й и 2-й ступеней</t>
  </si>
  <si>
    <t>Модернизация системы управления энергоблока ст. №2 Правобережной ТЭЦ</t>
  </si>
  <si>
    <t>Модернизация системы резервного топливоснабжения ЭС-2 Центральной ТЭЦ</t>
  </si>
  <si>
    <t>Модернизация градирен № 1, 2 Южной ТЭЦ</t>
  </si>
  <si>
    <t xml:space="preserve">Техническое перевооружение ПВК ст. №15 на Правобережной ТЭЦ </t>
  </si>
  <si>
    <t>Техническое перевооружение ПВК ст. №14 на Правобережной ТЭЦ</t>
  </si>
  <si>
    <t>23</t>
  </si>
  <si>
    <t>24</t>
  </si>
  <si>
    <t>Реконструкция участка магистральной тепловой сети "Западная 1" с заменой трубопровода (Ду 720х8) от здания ТЭЦ  (задвижка №1271/1) до перемычки с  "Западная 2" (задвижка №1271/III)</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</si>
  <si>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</si>
  <si>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</si>
  <si>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</si>
  <si>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</si>
  <si>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</si>
  <si>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</si>
  <si>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</si>
  <si>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</si>
  <si>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</si>
  <si>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</si>
  <si>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</si>
  <si>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</si>
  <si>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</si>
  <si>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</si>
  <si>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</si>
  <si>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</si>
  <si>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</si>
  <si>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</si>
  <si>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</si>
  <si>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</si>
  <si>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</si>
  <si>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</si>
  <si>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</si>
  <si>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</si>
  <si>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</si>
  <si>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</si>
  <si>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</si>
  <si>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</si>
  <si>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</si>
  <si>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</si>
  <si>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</si>
  <si>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</si>
  <si>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</si>
  <si>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</si>
  <si>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</si>
  <si>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</si>
  <si>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</si>
  <si>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</si>
  <si>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</si>
  <si>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</si>
  <si>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</si>
  <si>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</si>
  <si>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</si>
  <si>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</si>
  <si>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</si>
  <si>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</si>
  <si>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</si>
  <si>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</si>
  <si>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</si>
  <si>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</si>
  <si>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</si>
  <si>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</si>
  <si>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</si>
  <si>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</si>
  <si>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</si>
  <si>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</si>
  <si>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</si>
  <si>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</si>
  <si>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</si>
  <si>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</si>
  <si>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</si>
  <si>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</si>
  <si>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</si>
  <si>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</si>
  <si>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</si>
  <si>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</si>
  <si>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</si>
  <si>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</si>
  <si>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</si>
  <si>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</si>
  <si>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</si>
  <si>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</si>
  <si>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</si>
  <si>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</si>
  <si>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</si>
  <si>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</si>
  <si>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</si>
  <si>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</si>
  <si>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</si>
  <si>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</si>
  <si>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</si>
  <si>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</si>
  <si>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</si>
  <si>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</si>
  <si>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</si>
  <si>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</si>
  <si>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</si>
  <si>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</si>
  <si>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</si>
  <si>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</si>
  <si>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</si>
  <si>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</si>
  <si>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</si>
  <si>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</si>
  <si>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</si>
  <si>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</si>
  <si>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</si>
  <si>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</si>
  <si>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</si>
  <si>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</si>
  <si>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</si>
  <si>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</si>
  <si>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</si>
  <si>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</si>
  <si>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</si>
  <si>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</si>
  <si>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</si>
  <si>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</si>
  <si>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</si>
  <si>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</si>
  <si>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</si>
  <si>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</si>
  <si>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</si>
  <si>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</si>
  <si>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</si>
  <si>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</si>
  <si>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</si>
  <si>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</si>
  <si>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</si>
  <si>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</si>
  <si>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</si>
  <si>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</si>
  <si>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</si>
  <si>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</si>
  <si>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</si>
  <si>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</si>
  <si>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</si>
  <si>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</si>
  <si>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</si>
  <si>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</si>
  <si>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</si>
  <si>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</si>
  <si>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</si>
  <si>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</si>
  <si>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</si>
  <si>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</si>
  <si>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</si>
  <si>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</si>
  <si>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</si>
  <si>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</si>
  <si>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</si>
  <si>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</si>
  <si>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</si>
  <si>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</si>
  <si>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</si>
  <si>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</si>
  <si>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</si>
  <si>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</si>
  <si>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</si>
  <si>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</si>
  <si>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</si>
  <si>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</si>
  <si>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</si>
  <si>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</si>
  <si>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</si>
  <si>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</si>
  <si>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</si>
  <si>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</si>
  <si>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</si>
  <si>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</si>
  <si>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</si>
  <si>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</si>
  <si>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</si>
  <si>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</si>
  <si>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</si>
  <si>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</si>
  <si>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</si>
  <si>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</si>
  <si>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</si>
  <si>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</si>
  <si>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</si>
  <si>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</si>
  <si>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</si>
  <si>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</si>
  <si>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</si>
  <si>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</si>
  <si>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</si>
  <si>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</si>
  <si>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</si>
  <si>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</si>
  <si>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</si>
  <si>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</si>
  <si>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</si>
  <si>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</si>
  <si>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</si>
  <si>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</si>
  <si>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</si>
  <si>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</si>
  <si>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</si>
  <si>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</si>
  <si>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</si>
  <si>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</si>
  <si>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</si>
  <si>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</si>
  <si>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</si>
  <si>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</si>
  <si>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</si>
  <si>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</si>
  <si>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</si>
  <si>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</si>
  <si>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</si>
  <si>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</si>
  <si>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</si>
  <si>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</si>
  <si>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</si>
  <si>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</si>
  <si>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</si>
  <si>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</si>
  <si>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</si>
  <si>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</si>
  <si>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</si>
  <si>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</si>
  <si>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</si>
  <si>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</si>
  <si>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</si>
  <si>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</si>
  <si>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</si>
  <si>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</si>
  <si>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</si>
  <si>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</si>
  <si>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</si>
  <si>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</si>
  <si>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</si>
  <si>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</si>
  <si>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</si>
  <si>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</si>
  <si>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</si>
  <si>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</si>
  <si>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</si>
  <si>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</si>
  <si>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</si>
  <si>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</si>
  <si>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</si>
  <si>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</si>
  <si>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</si>
  <si>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</si>
  <si>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</si>
  <si>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</si>
  <si>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</si>
  <si>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</si>
  <si>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</si>
  <si>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</si>
  <si>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</si>
  <si>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</si>
  <si>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</si>
  <si>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</si>
  <si>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</si>
  <si>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</si>
  <si>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</si>
  <si>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</si>
  <si>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</si>
  <si>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</si>
  <si>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</si>
  <si>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</si>
  <si>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</si>
  <si>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</si>
  <si>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</si>
  <si>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</si>
  <si>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</si>
  <si>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</si>
  <si>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</si>
  <si>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</si>
  <si>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</si>
  <si>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</si>
  <si>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</si>
  <si>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</si>
  <si>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</si>
  <si>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</si>
  <si>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</si>
  <si>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</si>
  <si>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</si>
  <si>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</si>
  <si>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</si>
  <si>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</si>
  <si>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</si>
  <si>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</si>
  <si>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</si>
  <si>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</si>
  <si>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</si>
  <si>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</si>
  <si>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</si>
  <si>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</si>
  <si>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</si>
  <si>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</si>
  <si>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</si>
  <si>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</si>
  <si>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</si>
  <si>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</si>
  <si>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</si>
  <si>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</si>
  <si>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</si>
  <si>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</si>
  <si>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</si>
  <si>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</si>
  <si>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</si>
  <si>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</si>
  <si>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</si>
  <si>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</si>
  <si>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</si>
  <si>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</si>
  <si>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</si>
  <si>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</si>
  <si>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</si>
  <si>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</si>
  <si>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</si>
  <si>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</si>
  <si>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</si>
  <si>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</si>
  <si>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</si>
  <si>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</si>
  <si>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</si>
  <si>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</si>
  <si>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</si>
  <si>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</si>
  <si>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</si>
  <si>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</si>
  <si>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</si>
  <si>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</si>
  <si>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</si>
  <si>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</si>
  <si>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</si>
  <si>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</si>
  <si>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</si>
  <si>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</si>
  <si>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</si>
  <si>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</si>
  <si>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</si>
  <si>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</si>
  <si>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</si>
  <si>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</si>
  <si>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</si>
  <si>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</si>
  <si>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</si>
  <si>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</si>
  <si>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</si>
  <si>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</si>
  <si>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</si>
  <si>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</si>
  <si>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</si>
  <si>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</si>
  <si>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</si>
  <si>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</si>
  <si>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</si>
  <si>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</si>
  <si>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</si>
  <si>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</si>
  <si>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</si>
  <si>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</si>
  <si>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</si>
  <si>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</si>
  <si>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</si>
  <si>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</si>
  <si>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</si>
  <si>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</si>
  <si>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</si>
  <si>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</si>
  <si>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</si>
  <si>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</si>
  <si>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</si>
  <si>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</si>
  <si>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</si>
  <si>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</si>
  <si>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</si>
  <si>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</si>
  <si>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</si>
  <si>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</si>
  <si>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</si>
  <si>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</si>
  <si>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</si>
  <si>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</si>
  <si>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</si>
  <si>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</si>
  <si>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</si>
  <si>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</si>
  <si>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</si>
  <si>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</si>
  <si>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</si>
  <si>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</si>
  <si>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</si>
  <si>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</si>
  <si>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</si>
  <si>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</si>
  <si>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</si>
  <si>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</si>
  <si>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</si>
  <si>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</si>
  <si>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</si>
  <si>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</si>
  <si>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</si>
  <si>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</si>
  <si>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</si>
  <si>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</si>
  <si>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</si>
  <si>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</si>
  <si>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</si>
  <si>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</si>
  <si>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</si>
  <si>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</si>
  <si>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</si>
  <si>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</si>
  <si>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</si>
  <si>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</si>
  <si>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</si>
  <si>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</si>
  <si>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</si>
  <si>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</si>
  <si>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</si>
  <si>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</si>
  <si>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</si>
  <si>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</si>
  <si>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</si>
  <si>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</si>
  <si>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</si>
  <si>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</si>
  <si>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</si>
  <si>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</si>
  <si>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</si>
  <si>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</si>
  <si>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</si>
  <si>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</si>
  <si>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</si>
  <si>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</si>
  <si>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</si>
  <si>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</si>
  <si>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</si>
  <si>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</si>
  <si>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</si>
  <si>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</si>
  <si>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</si>
  <si>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</si>
  <si>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</si>
  <si>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</si>
  <si>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</si>
  <si>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</si>
  <si>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</si>
  <si>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</si>
  <si>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</si>
  <si>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</si>
  <si>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</si>
  <si>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</si>
  <si>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</si>
  <si>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</si>
  <si>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</si>
  <si>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</si>
  <si>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</si>
  <si>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</si>
  <si>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</si>
  <si>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</si>
  <si>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</si>
  <si>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</si>
  <si>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</si>
  <si>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</si>
  <si>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</si>
  <si>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</si>
  <si>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</si>
  <si>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</si>
  <si>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</si>
  <si>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</si>
  <si>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</si>
  <si>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</si>
  <si>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</si>
  <si>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</si>
  <si>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</si>
  <si>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</si>
  <si>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</si>
  <si>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</si>
  <si>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</si>
  <si>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</si>
  <si>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</si>
  <si>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</si>
  <si>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</si>
  <si>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</si>
  <si>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</si>
  <si>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</si>
  <si>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</si>
  <si>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</si>
  <si>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</si>
  <si>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</si>
  <si>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</si>
  <si>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</si>
  <si>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</si>
  <si>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</si>
  <si>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</si>
  <si>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</si>
  <si>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</si>
  <si>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</si>
  <si>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</si>
  <si>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</si>
  <si>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</si>
  <si>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</si>
  <si>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</si>
  <si>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</si>
  <si>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</si>
  <si>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</si>
  <si>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</si>
  <si>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</si>
  <si>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</si>
  <si>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</si>
  <si>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</si>
  <si>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</si>
  <si>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</si>
  <si>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</si>
  <si>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</si>
  <si>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</si>
  <si>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</si>
  <si>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</si>
  <si>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</si>
  <si>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</si>
  <si>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</si>
  <si>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</si>
  <si>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</si>
  <si>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</si>
  <si>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</si>
  <si>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</si>
  <si>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</si>
  <si>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</si>
  <si>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</si>
  <si>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</si>
  <si>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</si>
  <si>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</si>
  <si>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</si>
  <si>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</si>
  <si>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</si>
  <si>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</si>
  <si>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</si>
  <si>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</si>
  <si>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</si>
  <si>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</si>
  <si>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</si>
  <si>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</si>
  <si>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</si>
  <si>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</si>
  <si>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</si>
  <si>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</si>
  <si>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</si>
  <si>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</si>
  <si>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</si>
  <si>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</si>
  <si>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</si>
  <si>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</si>
  <si>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</si>
  <si>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</si>
  <si>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</si>
  <si>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</si>
  <si>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</si>
  <si>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</si>
  <si>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</si>
  <si>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</si>
  <si>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</si>
  <si>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</si>
  <si>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</si>
  <si>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</si>
  <si>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</si>
  <si>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</si>
  <si>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</si>
  <si>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</si>
  <si>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</si>
  <si>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</si>
  <si>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</si>
  <si>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</si>
  <si>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</si>
  <si>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</si>
  <si>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</si>
  <si>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</si>
  <si>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</si>
  <si>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</si>
  <si>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</si>
  <si>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</si>
  <si>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</si>
  <si>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</si>
  <si>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</si>
  <si>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</si>
  <si>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</si>
  <si>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</si>
  <si>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</si>
  <si>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</si>
  <si>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</si>
  <si>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</si>
  <si>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</si>
  <si>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</si>
  <si>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</si>
  <si>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</si>
  <si>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</si>
  <si>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</si>
  <si>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</si>
  <si>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</si>
  <si>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</si>
  <si>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</si>
  <si>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</si>
  <si>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</si>
  <si>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</si>
  <si>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</si>
  <si>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</si>
  <si>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</si>
  <si>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</si>
  <si>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</si>
  <si>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</si>
  <si>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</si>
  <si>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</si>
  <si>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</si>
  <si>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</si>
  <si>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</si>
  <si>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</si>
  <si>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</si>
  <si>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</si>
  <si>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</si>
  <si>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</si>
  <si>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</si>
  <si>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</si>
  <si>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</si>
  <si>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</si>
  <si>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</si>
  <si>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</si>
  <si>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</si>
  <si>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</si>
  <si>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</si>
  <si>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</si>
  <si>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</si>
  <si>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</si>
  <si>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</si>
  <si>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</si>
  <si>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</si>
  <si>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</si>
  <si>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</si>
  <si>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</si>
  <si>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</si>
  <si>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</si>
  <si>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</si>
  <si>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</si>
  <si>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</si>
  <si>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</si>
  <si>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</si>
  <si>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</si>
  <si>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</si>
  <si>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</si>
  <si>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</si>
  <si>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</si>
  <si>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</si>
  <si>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</si>
  <si>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</si>
  <si>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</si>
  <si>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</si>
  <si>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</si>
  <si>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</si>
  <si>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</si>
  <si>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</si>
  <si>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</si>
  <si>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</si>
  <si>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</si>
  <si>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</si>
  <si>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</si>
  <si>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</si>
  <si>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</si>
  <si>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</si>
  <si>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</si>
  <si>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</si>
  <si>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</si>
  <si>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</si>
  <si>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</si>
  <si>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</si>
  <si>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</si>
  <si>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</si>
  <si>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</si>
  <si>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</si>
  <si>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</si>
  <si>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</si>
  <si>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</si>
  <si>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</si>
  <si>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</si>
  <si>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</si>
  <si>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</si>
  <si>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</si>
  <si>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</si>
  <si>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</si>
  <si>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</si>
  <si>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</si>
  <si>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</si>
  <si>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</si>
  <si>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</si>
  <si>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</si>
  <si>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</si>
  <si>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</si>
  <si>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</si>
  <si>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</si>
  <si>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</si>
  <si>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</si>
  <si>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</si>
  <si>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</si>
  <si>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</si>
  <si>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</si>
  <si>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</si>
  <si>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</si>
  <si>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</si>
  <si>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</si>
  <si>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</si>
  <si>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</si>
  <si>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</si>
  <si>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</si>
  <si>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</si>
  <si>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</si>
  <si>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</si>
  <si>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</si>
  <si>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</si>
  <si>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</si>
  <si>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</si>
  <si>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</si>
  <si>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</si>
  <si>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</si>
  <si>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</si>
  <si>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</si>
  <si>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</si>
  <si>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</si>
  <si>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</si>
  <si>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</si>
  <si>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</si>
  <si>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</si>
  <si>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</si>
  <si>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</si>
  <si>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</si>
  <si>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</si>
  <si>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</si>
  <si>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</si>
  <si>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</si>
  <si>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</si>
  <si>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</si>
  <si>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</si>
  <si>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</si>
  <si>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</si>
  <si>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</si>
  <si>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</si>
  <si>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</si>
  <si>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</si>
  <si>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</si>
  <si>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</si>
  <si>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</si>
  <si>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</si>
  <si>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</si>
  <si>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</si>
  <si>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</si>
  <si>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</si>
  <si>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</si>
  <si>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</si>
  <si>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</si>
  <si>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</si>
  <si>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</si>
  <si>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</si>
  <si>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</si>
  <si>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</si>
  <si>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</si>
  <si>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</si>
  <si>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</si>
  <si>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</si>
  <si>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</si>
  <si>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</si>
  <si>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</si>
  <si>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</si>
  <si>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</si>
  <si>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</si>
  <si>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</si>
  <si>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</si>
  <si>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</si>
  <si>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</si>
  <si>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</si>
  <si>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</si>
  <si>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</si>
  <si>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</si>
  <si>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</si>
  <si>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</si>
  <si>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</si>
  <si>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</si>
  <si>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</si>
  <si>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</si>
  <si>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</si>
  <si>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</si>
  <si>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</si>
  <si>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</si>
  <si>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</si>
  <si>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</si>
  <si>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</si>
  <si>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</si>
  <si>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</si>
  <si>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</si>
  <si>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</si>
  <si>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</si>
  <si>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</si>
  <si>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</si>
  <si>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</si>
  <si>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</si>
  <si>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</si>
  <si>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</si>
  <si>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</si>
  <si>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</si>
  <si>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</si>
  <si>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</si>
  <si>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</si>
  <si>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</si>
  <si>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</si>
  <si>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</si>
  <si>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</si>
  <si>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</si>
  <si>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</si>
  <si>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</si>
  <si>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</si>
  <si>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</si>
  <si>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</si>
  <si>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</si>
  <si>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</si>
  <si>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</si>
  <si>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</si>
  <si>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</si>
  <si>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</si>
  <si>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</si>
  <si>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</si>
  <si>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</si>
  <si>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</si>
  <si>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</si>
  <si>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</si>
  <si>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</si>
  <si>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</si>
  <si>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</si>
  <si>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</si>
  <si>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</si>
  <si>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</si>
  <si>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</si>
  <si>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</si>
  <si>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</si>
  <si>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</si>
  <si>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</si>
  <si>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</si>
  <si>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</si>
  <si>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</si>
  <si>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</si>
  <si>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</si>
  <si>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</si>
  <si>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</si>
  <si>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</si>
  <si>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</si>
  <si>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</si>
  <si>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</si>
  <si>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</si>
  <si>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</si>
  <si>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</si>
  <si>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</si>
  <si>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</si>
  <si>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</si>
  <si>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</si>
  <si>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</si>
  <si>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</si>
  <si>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</si>
  <si>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</si>
  <si>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</si>
  <si>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</si>
  <si>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</si>
  <si>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</si>
  <si>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</si>
  <si>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</si>
  <si>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</si>
  <si>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</si>
  <si>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</si>
  <si>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</si>
  <si>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</si>
  <si>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</si>
  <si>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</si>
  <si>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</si>
  <si>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</si>
  <si>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Распоряжение Комитета по тарифам Санкт-Петербурга от 19.11.2025 №172-р Об утверждении изменений, вносимых в инвестиционную программу публичного акционерного общества "Территориальная генерирующая компания №1" филиал "Невский", утвержденную распоряжением Комитета по тарифам Санкт-Петербурга от 30.10.2023 №108-р, с изменениями, внесенными распоряжением Комитета по тарифам Санкт-Петербурга от 20.11.2024 №177-р</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</si>
  <si>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</si>
  <si>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</si>
  <si>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</si>
  <si>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2024 году источник прочие финансирования "Прочие собственные средства" - это недоиспользованная амортизация прошлых лет</t>
  </si>
  <si>
    <t>В 2025 году источник финансирования "Прочие собственные средства" - это предпринимательская прибыль, учтенная в тарифе на тепловую энергию на 2025 год</t>
  </si>
  <si>
    <t>В 2026 году источник финансирования "Прочие собственные средства" - это недоиспользованная амортизация прошлых лет (25540,61 тыс.руб.) и предпринимательская прибыль, учтенная в тарифе на тепловую энергию на 2026 год</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</si>
  <si>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</si>
  <si>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</si>
  <si>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</si>
  <si>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</si>
  <si>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</si>
  <si>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</si>
  <si>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</si>
  <si>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</si>
  <si>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</si>
  <si>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</si>
  <si>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</si>
  <si>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</si>
  <si>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</si>
  <si>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</si>
  <si>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</si>
  <si>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</si>
  <si>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</si>
  <si>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</si>
  <si>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</si>
  <si>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</si>
  <si>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</si>
  <si>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</si>
  <si>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</si>
  <si>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</si>
  <si>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</si>
  <si>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</si>
  <si>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</si>
  <si>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</si>
  <si>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</si>
  <si>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</si>
  <si>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</si>
  <si>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</si>
  <si>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</si>
  <si>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</si>
  <si>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</si>
  <si>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</si>
  <si>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</si>
  <si>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</si>
  <si>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</si>
  <si>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</si>
  <si>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</si>
  <si>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</si>
  <si>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</si>
  <si>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</si>
  <si>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</si>
  <si>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</si>
  <si>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</si>
  <si>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</si>
  <si>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</si>
  <si>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</si>
  <si>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</si>
  <si>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</si>
  <si>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</si>
  <si>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</si>
  <si>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</si>
  <si>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</si>
  <si>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</si>
  <si>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</si>
  <si>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</si>
  <si>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</si>
  <si>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</si>
  <si>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</si>
  <si>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</si>
  <si>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</si>
  <si>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</si>
  <si>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</si>
  <si>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</si>
  <si>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</si>
  <si>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</si>
  <si>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</si>
  <si>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</si>
  <si>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</si>
  <si>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</si>
  <si>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</si>
  <si>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</si>
  <si>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</si>
  <si>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</si>
  <si>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</si>
  <si>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</si>
  <si>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</si>
  <si>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</si>
  <si>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</si>
  <si>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</si>
  <si>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</si>
  <si>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</si>
  <si>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</si>
  <si>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</si>
  <si>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</si>
  <si>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</si>
  <si>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</si>
  <si>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</si>
  <si>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</si>
  <si>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</si>
  <si>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</si>
  <si>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</si>
  <si>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</si>
  <si>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</si>
  <si>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</si>
  <si>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</si>
  <si>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</si>
  <si>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</si>
  <si>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</si>
  <si>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</si>
  <si>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</si>
  <si>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</si>
  <si>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</si>
  <si>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</si>
  <si>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</si>
  <si>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</si>
  <si>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</si>
  <si>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</si>
  <si>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</si>
  <si>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</si>
  <si>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</si>
  <si>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</si>
  <si>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</si>
  <si>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</si>
  <si>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</si>
  <si>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</si>
  <si>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</si>
  <si>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</si>
  <si>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</si>
  <si>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</si>
  <si>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</si>
  <si>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</si>
  <si>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</si>
  <si>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</si>
  <si>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</si>
  <si>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</si>
  <si>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</si>
  <si>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</si>
  <si>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</si>
  <si>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</si>
  <si>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</si>
  <si>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</si>
  <si>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</si>
  <si>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</si>
  <si>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</si>
  <si>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</si>
  <si>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</si>
  <si>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</si>
  <si>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</si>
  <si>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</si>
  <si>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</si>
  <si>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</si>
  <si>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</si>
  <si>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</si>
  <si>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</si>
  <si>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</si>
  <si>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</si>
  <si>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</si>
  <si>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</si>
  <si>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</si>
  <si>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</si>
  <si>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</si>
  <si>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</si>
  <si>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</si>
  <si>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</si>
  <si>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</si>
  <si>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</si>
  <si>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</si>
  <si>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</si>
  <si>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</si>
  <si>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</si>
  <si>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</si>
  <si>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</si>
  <si>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</si>
  <si>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</si>
  <si>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</si>
  <si>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</si>
  <si>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</si>
  <si>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</si>
  <si>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</si>
  <si>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</si>
  <si>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</si>
  <si>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</si>
  <si>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</si>
  <si>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</si>
  <si>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</si>
  <si>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</si>
  <si>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</si>
  <si>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</si>
  <si>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</si>
  <si>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</si>
  <si>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</si>
  <si>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</si>
  <si>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</si>
  <si>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</si>
  <si>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</si>
  <si>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</si>
  <si>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</si>
  <si>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</si>
  <si>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</si>
  <si>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</si>
  <si>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</si>
  <si>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</si>
  <si>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</si>
  <si>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</si>
  <si>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</si>
  <si>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</si>
  <si>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</si>
  <si>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</si>
  <si>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</si>
  <si>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</si>
  <si>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</si>
  <si>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</si>
  <si>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</si>
  <si>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</si>
  <si>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</si>
  <si>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</si>
  <si>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</si>
  <si>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</si>
  <si>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</si>
  <si>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</si>
  <si>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</si>
  <si>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</si>
  <si>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</si>
  <si>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</si>
  <si>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</si>
  <si>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</si>
  <si>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</si>
  <si>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</si>
  <si>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</si>
  <si>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</si>
  <si>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</si>
  <si>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</si>
  <si>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</si>
  <si>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</si>
  <si>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</si>
  <si>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</si>
  <si>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</si>
  <si>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</si>
  <si>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</si>
  <si>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</si>
  <si>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</si>
  <si>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</si>
  <si>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</si>
  <si>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</si>
  <si>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</si>
  <si>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</si>
  <si>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</si>
  <si>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</si>
  <si>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</si>
  <si>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</si>
  <si>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</si>
  <si>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</si>
  <si>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</si>
  <si>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</si>
  <si>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</si>
  <si>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</si>
  <si>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</si>
  <si>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</si>
  <si>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</si>
  <si>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</si>
  <si>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</si>
  <si>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</si>
  <si>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</si>
  <si>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</si>
  <si>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</si>
  <si>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</si>
  <si>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</si>
  <si>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</si>
  <si>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</si>
  <si>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</si>
  <si>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</si>
  <si>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</si>
  <si>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</si>
  <si>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</si>
  <si>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</si>
  <si>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</si>
  <si>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</si>
  <si>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</si>
  <si>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</si>
  <si>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</si>
  <si>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</si>
  <si>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</si>
  <si>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</si>
  <si>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</si>
  <si>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</si>
  <si>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</si>
  <si>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</si>
  <si>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</si>
  <si>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</si>
  <si>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</si>
  <si>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</si>
  <si>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</si>
  <si>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</si>
  <si>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</si>
  <si>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</si>
  <si>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</si>
  <si>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</si>
  <si>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</si>
  <si>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</si>
  <si>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</si>
  <si>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</si>
  <si>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</si>
  <si>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</si>
  <si>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</si>
  <si>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</si>
  <si>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</si>
  <si>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</si>
  <si>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</si>
  <si>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</si>
  <si>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</si>
  <si>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</si>
  <si>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</si>
  <si>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</si>
  <si>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</si>
  <si>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</si>
  <si>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</si>
  <si>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</si>
  <si>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</si>
  <si>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</si>
  <si>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</si>
  <si>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</si>
  <si>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</si>
  <si>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</si>
  <si>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</si>
  <si>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</si>
  <si>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</si>
  <si>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</si>
  <si>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</si>
  <si>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</si>
  <si>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</si>
  <si>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</si>
  <si>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</si>
  <si>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</si>
  <si>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</si>
  <si>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</si>
  <si>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</si>
  <si>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</si>
  <si>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</si>
  <si>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</si>
  <si>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</si>
  <si>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</si>
  <si>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</si>
  <si>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</si>
  <si>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</si>
  <si>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</si>
  <si>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</si>
  <si>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</si>
  <si>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</si>
  <si>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</si>
  <si>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28072594</t>
  </si>
  <si>
    <t>АКЦИОНЕРНОЕ ОБЩЕСТВО "РУСТ-95"</t>
  </si>
  <si>
    <t>7728120384</t>
  </si>
  <si>
    <t>781701001</t>
  </si>
  <si>
    <t>28453728</t>
  </si>
  <si>
    <t>АО "61 БТРЗ"</t>
  </si>
  <si>
    <t>7819310752</t>
  </si>
  <si>
    <t>781901001</t>
  </si>
  <si>
    <t>26641633</t>
  </si>
  <si>
    <t>АО "АТЭК"</t>
  </si>
  <si>
    <t>7826135558</t>
  </si>
  <si>
    <t>780501001</t>
  </si>
  <si>
    <t>26422350</t>
  </si>
  <si>
    <t>АО "Аккумуляторная компания "Ригель"</t>
  </si>
  <si>
    <t>7813054118</t>
  </si>
  <si>
    <t>26420583</t>
  </si>
  <si>
    <t>АО "Аэропорт "Пулково"</t>
  </si>
  <si>
    <t>7810091320</t>
  </si>
  <si>
    <t>781001001</t>
  </si>
  <si>
    <t>26422149</t>
  </si>
  <si>
    <t>АО "БЦ "АКВИЛОН"</t>
  </si>
  <si>
    <t>7802067080</t>
  </si>
  <si>
    <t>780201001</t>
  </si>
  <si>
    <t>31203865</t>
  </si>
  <si>
    <t>АО "Балтийский завод"</t>
  </si>
  <si>
    <t>7830001910</t>
  </si>
  <si>
    <t>780101001</t>
  </si>
  <si>
    <t>26847594</t>
  </si>
  <si>
    <t>АО "Водтрансприбор"</t>
  </si>
  <si>
    <t>7814010307</t>
  </si>
  <si>
    <t>781401001</t>
  </si>
  <si>
    <t>26361120</t>
  </si>
  <si>
    <t>АО "ГСР ТЭЦ"</t>
  </si>
  <si>
    <t>7817312063</t>
  </si>
  <si>
    <t>26560525</t>
  </si>
  <si>
    <t>АО "ГУ ЖКХ"</t>
  </si>
  <si>
    <t>5116000922</t>
  </si>
  <si>
    <t>511601001</t>
  </si>
  <si>
    <t>13-05-2009 00:00:00</t>
  </si>
  <si>
    <t>30335229</t>
  </si>
  <si>
    <t>770401001</t>
  </si>
  <si>
    <t>28491236</t>
  </si>
  <si>
    <t>АО "Гостиница "Туррис"</t>
  </si>
  <si>
    <t>7830002575</t>
  </si>
  <si>
    <t>28450115</t>
  </si>
  <si>
    <t>АО "Группа Прайм"</t>
  </si>
  <si>
    <t>7825696286</t>
  </si>
  <si>
    <t>29-04-2025 00:00:00</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</si>
  <si>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</si>
  <si>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</si>
  <si>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</si>
  <si>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</si>
  <si>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</si>
  <si>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</si>
  <si>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</si>
  <si>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</si>
  <si>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</si>
  <si>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</si>
  <si>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27997479</t>
  </si>
  <si>
    <t>АО "Иван Федоров"</t>
  </si>
  <si>
    <t>7816067965</t>
  </si>
  <si>
    <t>01-08-2013 00:00:00</t>
  </si>
  <si>
    <t>26361104</t>
  </si>
  <si>
    <t>АО "КировТЭК"</t>
  </si>
  <si>
    <t>7805060502</t>
  </si>
  <si>
    <t>26361095</t>
  </si>
  <si>
    <t>АО "Компонент"</t>
  </si>
  <si>
    <t>7804046015</t>
  </si>
  <si>
    <t>780401001</t>
  </si>
  <si>
    <t>28505234</t>
  </si>
  <si>
    <t>АО "Кронштадтский морской завод"</t>
  </si>
  <si>
    <t>7843003128</t>
  </si>
  <si>
    <t>784301001</t>
  </si>
  <si>
    <t>28812728</t>
  </si>
  <si>
    <t>АО "ЛЕНФИЛЬМ"</t>
  </si>
  <si>
    <t>7813200545</t>
  </si>
  <si>
    <t>28453717</t>
  </si>
  <si>
    <t>АО "ЛКХП Кирова"</t>
  </si>
  <si>
    <t>7830002303</t>
  </si>
  <si>
    <t>783450001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</si>
  <si>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</si>
  <si>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</si>
  <si>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</si>
  <si>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</si>
  <si>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</si>
  <si>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</si>
  <si>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</si>
  <si>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</si>
  <si>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</si>
  <si>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</si>
  <si>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</si>
  <si>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</si>
  <si>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</si>
  <si>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</si>
  <si>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</si>
  <si>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</si>
  <si>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</si>
  <si>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</si>
  <si>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</si>
  <si>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</si>
  <si>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</si>
  <si>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</si>
  <si>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</si>
  <si>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</si>
  <si>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31206594</t>
  </si>
  <si>
    <t>АО "Особая экономическая зона "Санкт-Петербург"</t>
  </si>
  <si>
    <t>7819036901</t>
  </si>
  <si>
    <t>26422368</t>
  </si>
  <si>
    <t>АО "Пансионат "Буревестник"</t>
  </si>
  <si>
    <t>7827012742</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</si>
  <si>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</si>
  <si>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</si>
  <si>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</si>
  <si>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</si>
  <si>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</si>
  <si>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</si>
  <si>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</si>
  <si>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</si>
  <si>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</si>
  <si>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</si>
  <si>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</si>
  <si>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</si>
  <si>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</si>
  <si>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</si>
  <si>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</si>
  <si>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</si>
  <si>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</si>
  <si>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</si>
  <si>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"СК"ОСК"</t>
  </si>
  <si>
    <t>7805735152</t>
  </si>
  <si>
    <t>29-10-2018 00:00:00</t>
  </si>
  <si>
    <t>26590970</t>
  </si>
  <si>
    <t>АО "Совавто-С.Петербург"</t>
  </si>
  <si>
    <t>7810216498</t>
  </si>
  <si>
    <t>31824726</t>
  </si>
  <si>
    <t>АО "ТЭК СПБ"</t>
  </si>
  <si>
    <t>7838129301</t>
  </si>
  <si>
    <t>783801001</t>
  </si>
  <si>
    <t>03-03-2025 00:00:00</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</si>
  <si>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</si>
  <si>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</si>
  <si>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</si>
  <si>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</si>
  <si>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</si>
  <si>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</si>
  <si>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</si>
  <si>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</si>
  <si>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</si>
  <si>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</si>
  <si>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</si>
  <si>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</si>
  <si>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</si>
  <si>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</si>
  <si>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</si>
  <si>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</si>
  <si>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</si>
  <si>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</si>
  <si>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</si>
  <si>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</si>
  <si>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</si>
  <si>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</si>
  <si>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</si>
  <si>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</si>
  <si>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</si>
  <si>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</si>
  <si>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</si>
  <si>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</si>
  <si>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</si>
  <si>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</si>
  <si>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</si>
  <si>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</si>
  <si>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</si>
  <si>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781101001</t>
  </si>
  <si>
    <t>28867621</t>
  </si>
  <si>
    <t>ЗАО "ЗМК-ИК"</t>
  </si>
  <si>
    <t>7811500159</t>
  </si>
  <si>
    <t>26361096</t>
  </si>
  <si>
    <t>ЗАО "Завод Красная Заря. Системы цифровой связи"</t>
  </si>
  <si>
    <t>7804080383</t>
  </si>
  <si>
    <t>28794896</t>
  </si>
  <si>
    <t>ЗАО "Невский завод"</t>
  </si>
  <si>
    <t>7806369727</t>
  </si>
  <si>
    <t>28493183</t>
  </si>
  <si>
    <t>ЗАО "Пансионат "Балтиец"</t>
  </si>
  <si>
    <t>7805093610</t>
  </si>
  <si>
    <t>28042468</t>
  </si>
  <si>
    <t>ЗАО "Петроспирт"</t>
  </si>
  <si>
    <t>7805002518</t>
  </si>
  <si>
    <t>26533889</t>
  </si>
  <si>
    <t>ЗАО "Ресурс-Экономия"</t>
  </si>
  <si>
    <t>7820039657</t>
  </si>
  <si>
    <t>782001001</t>
  </si>
  <si>
    <t>27997575</t>
  </si>
  <si>
    <t>ЗАО "СВ-Сити"</t>
  </si>
  <si>
    <t>7816206305</t>
  </si>
  <si>
    <t>781601001</t>
  </si>
  <si>
    <t>26361116</t>
  </si>
  <si>
    <t>ЗАО "Тепломагистраль"</t>
  </si>
  <si>
    <t>7814302758</t>
  </si>
  <si>
    <t>28943782</t>
  </si>
  <si>
    <t>ЗАО "ЭКСИ-Банк"</t>
  </si>
  <si>
    <t>7831000940</t>
  </si>
  <si>
    <t>783501001</t>
  </si>
  <si>
    <t>КОМИТЕТ ПО ТАРИФАМ САНКТ-ПЕТЕРБУРГА</t>
  </si>
  <si>
    <t>7826692894</t>
  </si>
  <si>
    <t>28284366</t>
  </si>
  <si>
    <t>МРФ "Северо-Запад" ПАО "Ростелеком"</t>
  </si>
  <si>
    <t>7707049388</t>
  </si>
  <si>
    <t>784243001</t>
  </si>
  <si>
    <t>26773425</t>
  </si>
  <si>
    <t>МУП УЖКХ МО ВИЛЛОЗСКОЕ СП</t>
  </si>
  <si>
    <t>4720024228</t>
  </si>
  <si>
    <t>472501001</t>
  </si>
  <si>
    <t>28816484</t>
  </si>
  <si>
    <t>НАО "СВЕЗА Усть-Ижора"</t>
  </si>
  <si>
    <t>7817015769</t>
  </si>
  <si>
    <t>28453706</t>
  </si>
  <si>
    <t>ОАО "20 АРЗ"</t>
  </si>
  <si>
    <t>7820309254</t>
  </si>
  <si>
    <t>28091987</t>
  </si>
  <si>
    <t>ОАО "ГОИ им. С. И. Вавилова"</t>
  </si>
  <si>
    <t>7801591397</t>
  </si>
  <si>
    <t>26647768</t>
  </si>
  <si>
    <t>ОАО "ДОЗ-2"</t>
  </si>
  <si>
    <t>7830000271</t>
  </si>
  <si>
    <t>780601001</t>
  </si>
  <si>
    <t>28544720</t>
  </si>
  <si>
    <t>ОАО "Завод ЭЛЕКТРОПУЛЬТ"</t>
  </si>
  <si>
    <t>7806008569</t>
  </si>
  <si>
    <t>27956327</t>
  </si>
  <si>
    <t>ОАО "Завод слоистых пластиков"</t>
  </si>
  <si>
    <t>7806005590</t>
  </si>
  <si>
    <t>26361091</t>
  </si>
  <si>
    <t>ОАО "Компрессор"</t>
  </si>
  <si>
    <t>7802071707</t>
  </si>
  <si>
    <t>26647775</t>
  </si>
  <si>
    <t>ОАО "Концерн "Гранит-Электрон"</t>
  </si>
  <si>
    <t>7842335610</t>
  </si>
  <si>
    <t>28042181</t>
  </si>
  <si>
    <t>ОАО "ЛЕНПОЛИГРАФМАШ"</t>
  </si>
  <si>
    <t>7813045025</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</si>
  <si>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</si>
  <si>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</si>
  <si>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</si>
  <si>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</si>
  <si>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</si>
  <si>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</si>
  <si>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</si>
  <si>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</si>
  <si>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</si>
  <si>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</si>
  <si>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</si>
  <si>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</si>
  <si>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</si>
  <si>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</si>
  <si>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</si>
  <si>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</si>
  <si>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</si>
  <si>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</si>
  <si>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</si>
  <si>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</si>
  <si>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</si>
  <si>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</si>
  <si>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</si>
  <si>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</si>
  <si>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</si>
  <si>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</si>
  <si>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</si>
  <si>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</si>
  <si>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</si>
  <si>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</si>
  <si>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</si>
  <si>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</si>
  <si>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</si>
  <si>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</si>
  <si>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</si>
  <si>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</si>
  <si>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</si>
  <si>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</si>
  <si>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</si>
  <si>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31762829</t>
  </si>
  <si>
    <t>ООО "АБС Теплоэнерго"</t>
  </si>
  <si>
    <t>7842134424</t>
  </si>
  <si>
    <t>11-05-2017 00:00:00</t>
  </si>
  <si>
    <t>28427914</t>
  </si>
  <si>
    <t>ООО "АЛЬТЕРНАТИВА"</t>
  </si>
  <si>
    <t>7804509545</t>
  </si>
  <si>
    <t>31475145</t>
  </si>
  <si>
    <t>ООО "АНМ" (Александро-Невская мануфактура)</t>
  </si>
  <si>
    <t>7811185789</t>
  </si>
  <si>
    <t>26421969</t>
  </si>
  <si>
    <t>ООО "Адамант"</t>
  </si>
  <si>
    <t>7826101774</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</si>
  <si>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</si>
  <si>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</si>
  <si>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</si>
  <si>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</si>
  <si>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</si>
  <si>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</si>
  <si>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</si>
  <si>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</si>
  <si>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</si>
  <si>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</si>
  <si>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</si>
  <si>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</si>
  <si>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</si>
  <si>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</si>
  <si>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</si>
  <si>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</si>
  <si>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</si>
  <si>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</si>
  <si>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</si>
  <si>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</si>
  <si>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</si>
  <si>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</si>
  <si>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</si>
  <si>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</si>
  <si>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</si>
  <si>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</si>
  <si>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</si>
  <si>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</si>
  <si>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</si>
  <si>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</si>
  <si>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</si>
  <si>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</si>
  <si>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</si>
  <si>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</si>
  <si>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</si>
  <si>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</si>
  <si>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</si>
  <si>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</si>
  <si>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</si>
  <si>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31598749</t>
  </si>
  <si>
    <t>ООО "ИТЭ"</t>
  </si>
  <si>
    <t>7447297114</t>
  </si>
  <si>
    <t>745301001</t>
  </si>
  <si>
    <t>09-10-2020 00:00:00</t>
  </si>
  <si>
    <t>28122490</t>
  </si>
  <si>
    <t>ООО "Институт Гипроникель"</t>
  </si>
  <si>
    <t>7804349796</t>
  </si>
  <si>
    <t>26421911</t>
  </si>
  <si>
    <t>ООО "КОСМ "Энерго"</t>
  </si>
  <si>
    <t>7805065476</t>
  </si>
  <si>
    <t>31718234</t>
  </si>
  <si>
    <t>ООО "КТК"</t>
  </si>
  <si>
    <t>7817051911</t>
  </si>
  <si>
    <t>26361093</t>
  </si>
  <si>
    <t>ООО "Квартальная котельная"</t>
  </si>
  <si>
    <t>7802310698</t>
  </si>
  <si>
    <t>31586314</t>
  </si>
  <si>
    <t>ООО "Кожа СПб"</t>
  </si>
  <si>
    <t>7801706143</t>
  </si>
  <si>
    <t>09-11-2021 00:00:00</t>
  </si>
  <si>
    <t>28965696</t>
  </si>
  <si>
    <t>ООО "ЛПМ Скиф"</t>
  </si>
  <si>
    <t>7813142702</t>
  </si>
  <si>
    <t>31517680</t>
  </si>
  <si>
    <t>ООО "ЛСР.Энерго"</t>
  </si>
  <si>
    <t>4706041951</t>
  </si>
  <si>
    <t>470601001</t>
  </si>
  <si>
    <t>27546308</t>
  </si>
  <si>
    <t>ООО "МегаСтрой"</t>
  </si>
  <si>
    <t>7801185204</t>
  </si>
  <si>
    <t>31779881</t>
  </si>
  <si>
    <t>ООО "Мыза Парголово"</t>
  </si>
  <si>
    <t>7802892051</t>
  </si>
  <si>
    <t>31-03-2021 00:00:00</t>
  </si>
  <si>
    <t>31452002</t>
  </si>
  <si>
    <t>ООО "ОРИЕНТ БРИДЖ"</t>
  </si>
  <si>
    <t>9729095825</t>
  </si>
  <si>
    <t>772901001</t>
  </si>
  <si>
    <t>15-06-2017 00:00:00</t>
  </si>
  <si>
    <t>31819362</t>
  </si>
  <si>
    <t>ООО "ОХТАПРОМ"</t>
  </si>
  <si>
    <t>7806592718</t>
  </si>
  <si>
    <t>08-11-2021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</si>
  <si>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</si>
  <si>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</si>
  <si>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</si>
  <si>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</si>
  <si>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</si>
  <si>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</si>
  <si>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</si>
  <si>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</si>
  <si>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</si>
  <si>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</si>
  <si>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26421926</t>
  </si>
  <si>
    <t>ООО "Проектно-производственная компания "Регион"</t>
  </si>
  <si>
    <t>7802431406</t>
  </si>
  <si>
    <t>26322164</t>
  </si>
  <si>
    <t>ООО "Производственное объединение "Пекар"</t>
  </si>
  <si>
    <t>7801374265</t>
  </si>
  <si>
    <t>26647770</t>
  </si>
  <si>
    <t>ООО "Рассвет"</t>
  </si>
  <si>
    <t>7810191726</t>
  </si>
  <si>
    <t>31754370</t>
  </si>
  <si>
    <t>ООО "СЗТК"</t>
  </si>
  <si>
    <t>2901303540</t>
  </si>
  <si>
    <t>25-11-2020 00:00:00</t>
  </si>
  <si>
    <t>28042486</t>
  </si>
  <si>
    <t>ООО "СЗУК"</t>
  </si>
  <si>
    <t>7810509293</t>
  </si>
  <si>
    <t>31817804</t>
  </si>
  <si>
    <t>ООО "СУАР-ГРУПП"</t>
  </si>
  <si>
    <t>7802270195</t>
  </si>
  <si>
    <t>18-02-2015 00:00:00</t>
  </si>
  <si>
    <t>26422761</t>
  </si>
  <si>
    <t>ООО "Самсон"</t>
  </si>
  <si>
    <t>7810015329</t>
  </si>
  <si>
    <t>28255011</t>
  </si>
  <si>
    <t>ООО "Светлана-Эстейт"</t>
  </si>
  <si>
    <t>7802385950</t>
  </si>
  <si>
    <t>27831333</t>
  </si>
  <si>
    <t>ООО "Системы Безопасности Северо-Запад"</t>
  </si>
  <si>
    <t>7802338277</t>
  </si>
  <si>
    <t>31772904</t>
  </si>
  <si>
    <t>ООО "Специализированный Застройщик "Александровский Квартал"</t>
  </si>
  <si>
    <t>7820050650</t>
  </si>
  <si>
    <t>28509704</t>
  </si>
  <si>
    <t>ООО "Степан Разин Девелопмент"</t>
  </si>
  <si>
    <t>7805614870</t>
  </si>
  <si>
    <t>783901001</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</si>
  <si>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</si>
  <si>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</si>
  <si>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</si>
  <si>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</si>
  <si>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</si>
  <si>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</si>
  <si>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</si>
  <si>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</si>
  <si>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</si>
  <si>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</si>
  <si>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</si>
  <si>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</si>
  <si>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</si>
  <si>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</si>
  <si>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</si>
  <si>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</si>
  <si>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</si>
  <si>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</si>
  <si>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</si>
  <si>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</si>
  <si>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</si>
  <si>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</si>
  <si>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</si>
  <si>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</si>
  <si>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</si>
  <si>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</si>
  <si>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</si>
  <si>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</si>
  <si>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</si>
  <si>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</si>
  <si>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</si>
  <si>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</si>
  <si>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</si>
  <si>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</si>
  <si>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</si>
  <si>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</si>
  <si>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</si>
  <si>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</si>
  <si>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</si>
  <si>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</si>
  <si>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</si>
  <si>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</si>
  <si>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31604737</t>
  </si>
  <si>
    <t>ООО "УК "АСК"</t>
  </si>
  <si>
    <t>7801673850</t>
  </si>
  <si>
    <t>05-11-2019 00:00:00</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</si>
  <si>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</si>
  <si>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</si>
  <si>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</si>
  <si>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</si>
  <si>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</si>
  <si>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</si>
  <si>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</si>
  <si>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</si>
  <si>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</si>
  <si>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</si>
  <si>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</si>
  <si>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</si>
  <si>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</si>
  <si>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31450519</t>
  </si>
  <si>
    <t>ООО "ЭКОПРО"</t>
  </si>
  <si>
    <t>7802698819</t>
  </si>
  <si>
    <t>15-11-2019 00:00:00</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</si>
  <si>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</si>
  <si>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</si>
  <si>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</si>
  <si>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</si>
  <si>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</si>
  <si>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</si>
  <si>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</si>
  <si>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</si>
  <si>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</si>
  <si>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</si>
  <si>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</si>
  <si>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</si>
  <si>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</si>
  <si>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</si>
  <si>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</si>
  <si>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</si>
  <si>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</si>
  <si>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</si>
  <si>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</si>
  <si>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</si>
  <si>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</si>
  <si>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</si>
  <si>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</si>
  <si>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</si>
  <si>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</si>
  <si>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</si>
  <si>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</si>
  <si>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</si>
  <si>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</si>
  <si>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</si>
  <si>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</si>
  <si>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</si>
  <si>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</si>
  <si>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</si>
  <si>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</si>
  <si>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</si>
  <si>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</si>
  <si>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</si>
  <si>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</si>
  <si>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</si>
  <si>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27054332</t>
  </si>
  <si>
    <t>ПАО "ТГК-1" (не использовать в ЕИАС)</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</si>
  <si>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</si>
  <si>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</si>
  <si>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</si>
  <si>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</si>
  <si>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</si>
  <si>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</si>
  <si>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</si>
  <si>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</si>
  <si>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</si>
  <si>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</si>
  <si>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</si>
  <si>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</si>
  <si>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</si>
  <si>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</si>
  <si>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</si>
  <si>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</si>
  <si>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</si>
  <si>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</si>
  <si>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</si>
  <si>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</si>
  <si>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</si>
  <si>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</si>
  <si>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</si>
  <si>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</si>
  <si>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</si>
  <si>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</si>
  <si>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</si>
  <si>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</si>
  <si>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</si>
  <si>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</si>
  <si>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</si>
  <si>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</si>
  <si>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</si>
  <si>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</si>
  <si>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</si>
  <si>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</si>
  <si>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</si>
  <si>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</si>
  <si>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</si>
  <si>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</si>
  <si>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</si>
  <si>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</si>
  <si>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</si>
  <si>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</si>
  <si>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31779904</t>
  </si>
  <si>
    <t>ФГУП "Крыловский Государственный Научный Центр"</t>
  </si>
  <si>
    <t>7810213747</t>
  </si>
  <si>
    <t>27-02-1992 00:00:00</t>
  </si>
  <si>
    <t>26361128</t>
  </si>
  <si>
    <t>Филиал "Северо-Западная ТЭЦ им. А.Г.Бориса" АО "Интер РАО - Электрогенерация"</t>
  </si>
  <si>
    <t>7704784450</t>
  </si>
  <si>
    <t>781443001</t>
  </si>
  <si>
    <t>31754060</t>
  </si>
  <si>
    <t>Филиал ФГБУ "ЦЖКУ" Минобороны России (по ЛенВО)</t>
  </si>
  <si>
    <t>21-01-2002 00:00:00</t>
  </si>
  <si>
    <t>30941480</t>
  </si>
  <si>
    <t>Филиал ФГБУ "ЦЖКУ" Минобороны России (по МВО)</t>
  </si>
  <si>
    <t>503243002</t>
  </si>
  <si>
    <t>31800079</t>
  </si>
  <si>
    <t>филиала ФГБУ НИЦ "Курчатовский институт" ПИЯФ ИХС</t>
  </si>
  <si>
    <t>4705001850</t>
  </si>
  <si>
    <t>780143001</t>
  </si>
  <si>
    <t>06-06-2024 00:00:00</t>
  </si>
  <si>
    <t>26422522</t>
  </si>
  <si>
    <t>АО "ГСР Водоканал"</t>
  </si>
  <si>
    <t>7817309159</t>
  </si>
  <si>
    <t>26614854</t>
  </si>
  <si>
    <t>ЗАО "Агентство "Шушары"</t>
  </si>
  <si>
    <t>7820016970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</si>
  <si>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</si>
  <si>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</si>
  <si>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</si>
  <si>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</si>
  <si>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</si>
  <si>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</si>
  <si>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</si>
  <si>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</si>
  <si>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</si>
  <si>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</si>
  <si>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26868131</t>
  </si>
  <si>
    <t>ООО "Коммунальное хозяйство"</t>
  </si>
  <si>
    <t>7817056892</t>
  </si>
  <si>
    <t>31759819</t>
  </si>
  <si>
    <t>ООО "ЭА"</t>
  </si>
  <si>
    <t>7814840940</t>
  </si>
  <si>
    <t>10-07-2024 00:00:00</t>
  </si>
  <si>
    <t>27513672</t>
  </si>
  <si>
    <t>ООО "ЭКОЛ"</t>
  </si>
  <si>
    <t>7801160351</t>
  </si>
  <si>
    <t>28505728</t>
  </si>
  <si>
    <t>СПб ГБСУСОН "ДСО "Тесовый берег"</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</si>
  <si>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</si>
  <si>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</si>
  <si>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</si>
  <si>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</si>
  <si>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</si>
  <si>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</si>
  <si>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</si>
  <si>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</si>
  <si>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</si>
  <si>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</si>
  <si>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</si>
  <si>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</si>
  <si>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</si>
  <si>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</si>
  <si>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</si>
  <si>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</si>
  <si>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</si>
  <si>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</si>
  <si>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</si>
  <si>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</si>
  <si>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</si>
  <si>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</si>
  <si>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</si>
  <si>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</si>
  <si>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</si>
  <si>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</si>
  <si>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</si>
  <si>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</si>
  <si>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</si>
  <si>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</si>
  <si>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</si>
  <si>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</si>
  <si>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</si>
  <si>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</si>
  <si>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</si>
  <si>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</si>
  <si>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</si>
  <si>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</si>
  <si>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</si>
  <si>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</si>
  <si>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470301001</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</si>
  <si>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</si>
  <si>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</si>
  <si>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</si>
  <si>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</si>
  <si>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</si>
  <si>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</si>
  <si>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</si>
  <si>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</si>
  <si>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</si>
  <si>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</si>
  <si>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</si>
  <si>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</si>
  <si>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</si>
  <si>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</si>
  <si>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</si>
  <si>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</si>
  <si>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</si>
  <si>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</si>
  <si>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</si>
  <si>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</si>
  <si>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</si>
  <si>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</si>
  <si>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</si>
  <si>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</si>
  <si>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</si>
  <si>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</si>
  <si>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</si>
  <si>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</si>
  <si>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Санкт-Петербург</t>
  </si>
  <si>
    <t>40000000</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</si>
  <si>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</si>
  <si>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</si>
  <si>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</si>
  <si>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</si>
  <si>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</si>
  <si>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</si>
  <si>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</si>
  <si>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</si>
  <si>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</si>
  <si>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</si>
  <si>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</si>
  <si>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</si>
  <si>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</si>
  <si>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</si>
  <si>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</si>
  <si>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</si>
  <si>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</si>
  <si>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</si>
  <si>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</si>
  <si>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</si>
  <si>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</si>
  <si>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</si>
  <si>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</si>
  <si>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</si>
  <si>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</si>
  <si>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</si>
  <si>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</si>
  <si>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</si>
  <si>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</si>
  <si>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</si>
  <si>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</si>
  <si>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</si>
  <si>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</si>
  <si>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</si>
  <si>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</si>
  <si>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</si>
  <si>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</si>
  <si>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</si>
  <si>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</si>
  <si>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</si>
  <si>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</si>
  <si>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</si>
  <si>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</si>
  <si>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</si>
  <si>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</si>
  <si>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</si>
  <si>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</si>
  <si>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</si>
  <si>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</si>
  <si>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</si>
  <si>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</si>
  <si>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</si>
  <si>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</si>
  <si>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</si>
  <si>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</si>
  <si>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</si>
  <si>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</si>
  <si>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</si>
  <si>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</si>
  <si>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</si>
  <si>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</si>
  <si>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</si>
  <si>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</si>
  <si>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</si>
  <si>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</si>
  <si>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</si>
  <si>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</si>
  <si>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</si>
  <si>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</si>
  <si>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</si>
  <si>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</si>
  <si>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</si>
  <si>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</si>
  <si>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</si>
  <si>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</si>
  <si>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</si>
  <si>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</si>
  <si>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</si>
  <si>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</si>
  <si>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</si>
  <si>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</si>
  <si>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</si>
  <si>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</si>
  <si>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</si>
  <si>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</si>
  <si>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</si>
  <si>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</si>
  <si>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</si>
  <si>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</si>
  <si>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</si>
  <si>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</si>
  <si>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</si>
  <si>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</si>
  <si>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</si>
  <si>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</si>
  <si>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</si>
  <si>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</si>
  <si>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</si>
  <si>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</si>
  <si>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</si>
  <si>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</si>
  <si>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</si>
  <si>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</si>
  <si>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</si>
  <si>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</si>
  <si>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</si>
  <si>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</si>
  <si>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</si>
  <si>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</si>
  <si>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</si>
  <si>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</si>
  <si>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</si>
  <si>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</si>
  <si>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</si>
  <si>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</si>
  <si>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</si>
  <si>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</si>
  <si>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</si>
  <si>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</si>
  <si>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</si>
  <si>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</si>
  <si>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</si>
  <si>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</si>
  <si>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</si>
  <si>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</si>
  <si>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</si>
  <si>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</si>
  <si>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</si>
  <si>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</si>
  <si>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</si>
  <si>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</si>
  <si>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</si>
  <si>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</si>
  <si>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</si>
  <si>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</si>
  <si>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</si>
  <si>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</si>
  <si>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</si>
  <si>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</si>
  <si>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</si>
  <si>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</si>
  <si>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</si>
  <si>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</si>
  <si>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</si>
  <si>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</si>
  <si>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</si>
  <si>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</si>
  <si>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</si>
  <si>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</si>
  <si>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</si>
  <si>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</si>
  <si>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</si>
  <si>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</si>
  <si>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</si>
  <si>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</si>
  <si>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</si>
  <si>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</si>
  <si>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</si>
  <si>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</si>
  <si>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</si>
  <si>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</si>
  <si>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</si>
  <si>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</si>
  <si>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</si>
  <si>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</si>
  <si>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</si>
  <si>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</si>
  <si>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</si>
  <si>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</si>
  <si>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</si>
  <si>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</si>
  <si>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</si>
  <si>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</si>
  <si>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</si>
  <si>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</si>
  <si>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</si>
  <si>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</si>
  <si>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</si>
  <si>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</si>
  <si>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</si>
  <si>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</si>
  <si>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</si>
  <si>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</si>
  <si>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</si>
  <si>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</si>
  <si>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</si>
  <si>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</si>
  <si>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</si>
  <si>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</si>
  <si>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</si>
  <si>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</si>
  <si>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</si>
  <si>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</si>
  <si>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</si>
  <si>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</si>
  <si>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</si>
  <si>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</si>
  <si>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</si>
  <si>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</si>
  <si>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</si>
  <si>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</si>
  <si>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</si>
  <si>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</si>
  <si>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</si>
  <si>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</si>
  <si>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</si>
  <si>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</si>
  <si>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</si>
  <si>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</si>
  <si>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</si>
  <si>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</si>
  <si>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</si>
  <si>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</si>
  <si>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</si>
  <si>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</si>
  <si>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</si>
  <si>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</si>
  <si>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</si>
  <si>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</si>
  <si>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</si>
  <si>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</si>
  <si>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</si>
  <si>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</si>
  <si>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</si>
  <si>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</si>
  <si>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</si>
  <si>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</si>
  <si>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</si>
  <si>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</si>
  <si>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</si>
  <si>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</si>
  <si>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</si>
  <si>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</si>
  <si>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</si>
  <si>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</si>
  <si>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</si>
  <si>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</si>
  <si>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</si>
  <si>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</si>
  <si>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</si>
  <si>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</si>
  <si>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</si>
  <si>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</si>
  <si>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</si>
  <si>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</si>
  <si>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</si>
  <si>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</si>
  <si>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</si>
  <si>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</si>
  <si>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</si>
  <si>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</si>
  <si>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</si>
  <si>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</si>
  <si>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</si>
  <si>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</si>
  <si>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</si>
  <si>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</si>
  <si>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</si>
  <si>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</si>
  <si>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</si>
  <si>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</si>
  <si>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</si>
  <si>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</si>
  <si>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</si>
  <si>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</si>
  <si>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</si>
  <si>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</si>
  <si>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</si>
  <si>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</si>
  <si>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</si>
  <si>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</si>
  <si>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</si>
  <si>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</si>
  <si>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</si>
  <si>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</si>
  <si>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</si>
  <si>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</si>
  <si>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</si>
  <si>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</si>
  <si>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</si>
  <si>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</si>
  <si>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</si>
  <si>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</si>
  <si>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</si>
  <si>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</si>
  <si>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Инвестиционная программа от 29.10.2025 ОАО "НПО ЦКТИ" в сфере теплоснабжения по реконструкции системы инженерной инфраструктуры на 2026-2028 годы</t>
  </si>
  <si>
    <t>01.01.2026</t>
  </si>
  <si>
    <t>Инвестиционная программа от 29.10.2025 ООО "ГКО" в сфере теплоснабжения по комплексному развитию систем теплоснабжения на 2026-2030 годы</t>
  </si>
  <si>
    <t>31.12.2030</t>
  </si>
  <si>
    <t>Инвестиционная программа от 29.10.2025 ООО "ЭНЕРГОИНВЕСТ" в сфере теплоснабжения по модернизации и реконструкции систем теплоснабжения на 2026 год</t>
  </si>
  <si>
    <t>31.12.2026</t>
  </si>
  <si>
    <t>7511726253</t>
  </si>
  <si>
    <t>распоряжение</t>
  </si>
  <si>
    <t>30.10.2023</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</si>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</sst>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47">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6" fillId="8" borderId="0" xfId="0" applyNumberFormat="1" applyFont="1" applyFill="1" applyAlignment="1">
      <alignment vertical="center" wrapText="1"/>
    </xf>
    <xf numFmtId="0" fontId="5" fillId="8" borderId="17" xfId="0" applyNumberFormat="1" applyFont="1" applyFill="1" applyBorder="1" applyAlignment="1">
      <alignment horizontal="right" vertical="center" wrapText="1" indent="1"/>
    </xf>
    <xf numFmtId="0" fontId="35" fillId="0" borderId="0" xfId="0" applyNumberFormat="1" applyFont="1" applyAlignment="1">
      <alignment horizontal="left" vertical="center" inden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27" fillId="8" borderId="0" xfId="0" applyNumberFormat="1" applyFont="1" applyFill="1" applyAlignment="1">
      <alignment vertical="center"/>
    </xf>
    <xf numFmtId="49" fontId="81" fillId="0" borderId="0" xfId="0" applyNumberFormat="1" applyFont="1" applyAlignment="1">
      <alignmen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0" fontId="0" fillId="21" borderId="0" xfId="0" applyNumberFormat="1" applyFont="1" applyFill="1" applyAlignment="1">
      <alignment horizontal="righ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49" fontId="27" fillId="0" borderId="0" xfId="0" applyNumberFormat="1" applyFont="1">
      <alignment vertical="top"/>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0" borderId="3" xfId="0" applyNumberFormat="1" applyFont="1" applyBorder="1" applyAlignment="1">
      <alignment horizontal="center" vertical="center" wrapText="1"/>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7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8" borderId="8" xfId="0" applyNumberFormat="1" applyFont="1" applyFill="1" applyBorder="1" applyAlignment="1">
      <alignment horizontal="left" vertical="center" wrapText="1" indent="1"/>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lementeva.NA@tgc1.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12" customWidth="1"/>
    <col min="2" max="2" width="9.140625" style="2112" customWidth="1"/>
    <col min="3" max="3" width="16.42578125" style="2112" customWidth="1"/>
    <col min="4" max="25" width="6.28515625" style="2112" customWidth="1"/>
    <col min="26" max="28" width="11" style="211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301" t="s">
        <v>1</v>
      </c>
      <c r="C2" s="2301"/>
      <c r="D2" s="2301"/>
      <c r="E2" s="2301"/>
      <c r="F2" s="2301"/>
      <c r="G2" s="2301"/>
      <c r="H2" s="2301"/>
      <c r="I2" s="2301"/>
      <c r="J2" s="2301"/>
      <c r="K2" s="2301"/>
      <c r="L2" s="2301"/>
      <c r="M2" s="2301"/>
      <c r="N2" s="2301"/>
      <c r="O2" s="2301"/>
      <c r="P2" s="2301"/>
      <c r="Q2" s="1622"/>
      <c r="R2" s="1622"/>
      <c r="S2" s="1622"/>
      <c r="T2" s="1622"/>
      <c r="U2" s="1622"/>
      <c r="V2" s="1623"/>
      <c r="W2" s="1622"/>
      <c r="X2" s="1622"/>
      <c r="Y2" s="1620"/>
      <c r="Z2" s="1619"/>
      <c r="AA2" s="1621"/>
      <c r="AB2" s="1619"/>
    </row>
    <row r="3" spans="1:28" ht="15.75" customHeight="1">
      <c r="A3" s="1619"/>
      <c r="B3" s="2302" t="s">
        <v>2</v>
      </c>
      <c r="C3" s="2302"/>
      <c r="D3" s="2302"/>
      <c r="E3" s="2302"/>
      <c r="F3" s="2302"/>
      <c r="G3" s="2302"/>
      <c r="H3" s="2302"/>
      <c r="I3" s="2302"/>
      <c r="J3" s="2302"/>
      <c r="K3" s="2302"/>
      <c r="L3" s="2302"/>
      <c r="M3" s="2302"/>
      <c r="N3" s="2302"/>
      <c r="O3" s="2302"/>
      <c r="P3" s="230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303"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304"/>
      <c r="D5" s="2304"/>
      <c r="E5" s="2304"/>
      <c r="F5" s="2304"/>
      <c r="G5" s="2304"/>
      <c r="H5" s="2304"/>
      <c r="I5" s="2304"/>
      <c r="J5" s="2304"/>
      <c r="K5" s="2304"/>
      <c r="L5" s="2304"/>
      <c r="M5" s="2304"/>
      <c r="N5" s="2304"/>
      <c r="O5" s="2304"/>
      <c r="P5" s="2304"/>
      <c r="Q5" s="2304"/>
      <c r="R5" s="2304"/>
      <c r="S5" s="2304"/>
      <c r="T5" s="2304"/>
      <c r="U5" s="2304"/>
      <c r="V5" s="2304"/>
      <c r="W5" s="2304"/>
      <c r="X5" s="2304"/>
      <c r="Y5" s="2305"/>
      <c r="Z5" s="1625"/>
      <c r="AA5" s="1621"/>
      <c r="AB5" s="1625"/>
    </row>
    <row r="6" spans="1:28" ht="15" customHeight="1">
      <c r="A6" s="1626"/>
      <c r="B6" s="2293" t="s">
        <v>3</v>
      </c>
      <c r="C6" s="2296"/>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93"/>
      <c r="C7" s="2296"/>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93"/>
      <c r="C8" s="2296"/>
      <c r="D8" s="1632"/>
      <c r="E8" s="1633" t="s">
        <v>4</v>
      </c>
      <c r="F8" s="2306" t="s">
        <v>5</v>
      </c>
      <c r="G8" s="2295"/>
      <c r="H8" s="2295"/>
      <c r="I8" s="2295"/>
      <c r="J8" s="2295"/>
      <c r="K8" s="2295"/>
      <c r="L8" s="2295"/>
      <c r="M8" s="2295"/>
      <c r="N8" s="1632"/>
      <c r="O8" s="1634" t="s">
        <v>4</v>
      </c>
      <c r="P8" s="2307" t="s">
        <v>6</v>
      </c>
      <c r="Q8" s="2308"/>
      <c r="R8" s="2308"/>
      <c r="S8" s="2308"/>
      <c r="T8" s="2308"/>
      <c r="U8" s="2308"/>
      <c r="V8" s="2308"/>
      <c r="W8" s="2308"/>
      <c r="X8" s="2308"/>
      <c r="Y8" s="1628"/>
      <c r="Z8" s="1629"/>
      <c r="AA8" s="1630"/>
      <c r="AB8" s="1630"/>
    </row>
    <row r="9" spans="1:28" ht="15" customHeight="1">
      <c r="A9" s="1626"/>
      <c r="B9" s="2293"/>
      <c r="C9" s="2296"/>
      <c r="D9" s="1632"/>
      <c r="E9" s="1635" t="s">
        <v>4</v>
      </c>
      <c r="F9" s="2306" t="s">
        <v>7</v>
      </c>
      <c r="G9" s="2295"/>
      <c r="H9" s="2295"/>
      <c r="I9" s="2295"/>
      <c r="J9" s="2295"/>
      <c r="K9" s="2295"/>
      <c r="L9" s="2295"/>
      <c r="M9" s="2295"/>
      <c r="N9" s="1632"/>
      <c r="O9" s="1636" t="s">
        <v>4</v>
      </c>
      <c r="P9" s="2307" t="s">
        <v>8</v>
      </c>
      <c r="Q9" s="2308"/>
      <c r="R9" s="2308"/>
      <c r="S9" s="2308"/>
      <c r="T9" s="2308"/>
      <c r="U9" s="2308"/>
      <c r="V9" s="2308"/>
      <c r="W9" s="2308"/>
      <c r="X9" s="2308"/>
      <c r="Y9" s="1628"/>
      <c r="Z9" s="1629"/>
      <c r="AA9" s="1630"/>
      <c r="AB9" s="1630"/>
    </row>
    <row r="10" spans="1:28" ht="30" customHeight="1">
      <c r="A10" s="1626"/>
      <c r="B10" s="2293"/>
      <c r="C10" s="2294"/>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292"/>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93"/>
      <c r="C12" s="2294"/>
      <c r="D12" s="1640"/>
      <c r="E12" s="2295" t="s">
        <v>10</v>
      </c>
      <c r="F12" s="2295"/>
      <c r="G12" s="2295"/>
      <c r="H12" s="2295"/>
      <c r="I12" s="2295"/>
      <c r="J12" s="2295"/>
      <c r="K12" s="2295"/>
      <c r="L12" s="2295"/>
      <c r="M12" s="2295"/>
      <c r="N12" s="2295"/>
      <c r="O12" s="2295"/>
      <c r="P12" s="2295"/>
      <c r="Q12" s="2295"/>
      <c r="R12" s="2295"/>
      <c r="S12" s="2295"/>
      <c r="T12" s="2295"/>
      <c r="U12" s="2295"/>
      <c r="V12" s="2295"/>
      <c r="W12" s="2295"/>
      <c r="X12" s="2295"/>
      <c r="Y12" s="1628"/>
      <c r="Z12" s="1629"/>
      <c r="AA12" s="1630"/>
      <c r="AB12" s="1630"/>
    </row>
    <row r="13" spans="1:28" ht="15" customHeight="1">
      <c r="A13" s="1626"/>
      <c r="B13" s="1" t="s">
        <v>11</v>
      </c>
      <c r="C13" s="2292"/>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93"/>
      <c r="C14" s="2296"/>
      <c r="D14" s="1632"/>
      <c r="E14" s="2299" t="s">
        <v>12</v>
      </c>
      <c r="F14" s="2299"/>
      <c r="G14" s="2299"/>
      <c r="H14" s="2299"/>
      <c r="I14" s="2299"/>
      <c r="J14" s="2299"/>
      <c r="K14" s="2299"/>
      <c r="L14" s="2299"/>
      <c r="M14" s="2299"/>
      <c r="N14" s="2299"/>
      <c r="O14" s="2299"/>
      <c r="P14" s="2299"/>
      <c r="Q14" s="2299"/>
      <c r="R14" s="2299"/>
      <c r="S14" s="2299"/>
      <c r="T14" s="2299"/>
      <c r="U14" s="2299"/>
      <c r="V14" s="2299"/>
      <c r="W14" s="2299"/>
      <c r="X14" s="2299"/>
      <c r="Y14" s="1628"/>
      <c r="Z14" s="1629"/>
      <c r="AA14" s="1630"/>
      <c r="AB14" s="1630"/>
    </row>
    <row r="15" spans="1:28" ht="16.5" customHeight="1">
      <c r="A15" s="1626"/>
      <c r="B15" s="2297"/>
      <c r="C15" s="2298"/>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99"/>
      <c r="C16" s="2300"/>
      <c r="D16" s="2300"/>
      <c r="E16" s="2300"/>
      <c r="F16" s="2300"/>
      <c r="G16" s="2300"/>
      <c r="H16" s="2300"/>
      <c r="I16" s="2300"/>
      <c r="J16" s="2300"/>
      <c r="K16" s="2300"/>
      <c r="L16" s="2300"/>
      <c r="M16" s="2300"/>
      <c r="N16" s="2300"/>
      <c r="O16" s="2300"/>
      <c r="P16" s="2300"/>
      <c r="Q16" s="2300"/>
      <c r="R16" s="2300"/>
      <c r="S16" s="2300"/>
      <c r="T16" s="2300"/>
      <c r="U16" s="2300"/>
      <c r="V16" s="2300"/>
      <c r="W16" s="2300"/>
      <c r="X16" s="2300"/>
      <c r="Y16" s="2300"/>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71" hidden="1" customWidth="1"/>
    <col min="2" max="3" width="9.140625" style="2062" hidden="1" customWidth="1"/>
    <col min="4" max="4" width="3" style="2079" customWidth="1"/>
    <col min="5" max="5" width="6" style="2062" customWidth="1"/>
    <col min="6" max="6" width="1.7109375" style="2062" hidden="1" customWidth="1"/>
    <col min="7" max="8" width="30" style="2062" customWidth="1"/>
    <col min="9" max="9" width="8" style="2062" customWidth="1"/>
    <col min="10" max="10" width="12.140625" style="2062" customWidth="1"/>
    <col min="11" max="11" width="46" style="2062" customWidth="1"/>
    <col min="12" max="12" width="100" style="2062" customWidth="1"/>
    <col min="13" max="13" width="7" style="2022" customWidth="1"/>
    <col min="14" max="22" width="10" style="2062" customWidth="1"/>
    <col min="23" max="23" width="10.5703125" style="2062" hidden="1"/>
  </cols>
  <sheetData>
    <row r="1" spans="1:23" s="2034" customFormat="1" ht="5.25" hidden="1" customHeight="1">
      <c r="C1" s="447"/>
      <c r="D1" s="430"/>
      <c r="F1" s="447"/>
      <c r="G1" s="425" t="s">
        <v>85</v>
      </c>
      <c r="H1" s="425" t="s">
        <v>86</v>
      </c>
      <c r="I1" s="425" t="s">
        <v>87</v>
      </c>
      <c r="P1" s="425" t="s">
        <v>85</v>
      </c>
      <c r="Q1" s="425" t="s">
        <v>86</v>
      </c>
      <c r="R1" s="425" t="s">
        <v>87</v>
      </c>
      <c r="W1" s="425" t="s">
        <v>14</v>
      </c>
    </row>
    <row r="2" spans="1:23" s="2034" customFormat="1" ht="5.25" hidden="1" customHeight="1">
      <c r="C2" s="447"/>
      <c r="D2" s="430"/>
      <c r="F2" s="447"/>
      <c r="W2" s="425">
        <v>0</v>
      </c>
    </row>
    <row r="3" spans="1:23" s="2021" customFormat="1" ht="5.25" customHeight="1">
      <c r="A3" s="415"/>
      <c r="D3" s="422"/>
      <c r="E3" s="417"/>
      <c r="F3" s="417"/>
      <c r="G3" s="417"/>
      <c r="H3" s="417"/>
      <c r="I3" s="418"/>
      <c r="J3" s="419"/>
      <c r="K3" s="419"/>
      <c r="L3" s="419"/>
      <c r="W3" s="416">
        <v>5</v>
      </c>
    </row>
    <row r="4" spans="1:23" ht="23.25" customHeight="1">
      <c r="D4" s="386"/>
      <c r="E4" s="2321" t="s">
        <v>385</v>
      </c>
      <c r="F4" s="2321"/>
      <c r="G4" s="2322"/>
      <c r="H4" s="2322"/>
      <c r="I4" s="2323"/>
      <c r="J4" s="427"/>
      <c r="K4" s="389"/>
      <c r="L4" s="389"/>
      <c r="W4" s="383">
        <v>22</v>
      </c>
    </row>
    <row r="5" spans="1:23" s="2062" customFormat="1" ht="18" customHeight="1">
      <c r="A5" s="693"/>
      <c r="D5" s="752"/>
      <c r="E5" s="2431" t="str">
        <f>IF(org=0,"Не определено",org)</f>
        <v>ПАО "ТГК-1" филиал "Невский"</v>
      </c>
      <c r="F5" s="2431"/>
      <c r="G5" s="2432"/>
      <c r="H5" s="2432"/>
      <c r="I5" s="2433"/>
      <c r="J5" s="427"/>
      <c r="K5" s="389"/>
      <c r="L5" s="389"/>
      <c r="M5" s="443"/>
      <c r="W5" s="692">
        <v>17</v>
      </c>
    </row>
    <row r="6" spans="1:23" s="2021" customFormat="1" ht="11.45" customHeight="1">
      <c r="A6" s="415"/>
      <c r="D6" s="422"/>
      <c r="E6" s="417"/>
      <c r="F6" s="417"/>
      <c r="G6" s="420"/>
      <c r="H6" s="420"/>
      <c r="I6" s="421"/>
      <c r="J6" s="421"/>
      <c r="K6" s="688"/>
      <c r="L6" s="421"/>
      <c r="W6" s="416">
        <v>11</v>
      </c>
    </row>
    <row r="7" spans="1:23" ht="14.65" customHeight="1">
      <c r="D7" s="386"/>
      <c r="E7" s="2416" t="s">
        <v>297</v>
      </c>
      <c r="F7" s="2416"/>
      <c r="G7" s="2417"/>
      <c r="H7" s="2417"/>
      <c r="I7" s="2417"/>
      <c r="J7" s="2417"/>
      <c r="K7" s="2417"/>
      <c r="L7" s="2385" t="s">
        <v>298</v>
      </c>
      <c r="W7" s="383">
        <v>14</v>
      </c>
    </row>
    <row r="8" spans="1:23" ht="48.2" customHeight="1">
      <c r="D8" s="386"/>
      <c r="E8" s="409" t="s">
        <v>90</v>
      </c>
      <c r="F8" s="753"/>
      <c r="G8" s="401" t="s">
        <v>88</v>
      </c>
      <c r="H8" s="401" t="s">
        <v>89</v>
      </c>
      <c r="I8" s="350" t="s">
        <v>87</v>
      </c>
      <c r="J8" s="350" t="s">
        <v>386</v>
      </c>
      <c r="K8" s="350" t="s">
        <v>387</v>
      </c>
      <c r="L8" s="238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29" t="s">
        <v>388</v>
      </c>
      <c r="M10" s="443"/>
      <c r="N10" s="441"/>
      <c r="O10" s="441"/>
      <c r="P10" s="441"/>
      <c r="Q10" s="441"/>
      <c r="R10" s="441"/>
      <c r="S10" s="441"/>
      <c r="T10" s="441"/>
      <c r="U10" s="441"/>
      <c r="V10" s="441"/>
      <c r="W10" s="383">
        <v>0</v>
      </c>
    </row>
    <row r="11" spans="1:23" ht="15" hidden="1" customHeight="1">
      <c r="A11" s="2313"/>
      <c r="B11" s="440"/>
      <c r="C11" s="440"/>
      <c r="D11" s="791"/>
      <c r="E11" s="449"/>
      <c r="F11" s="449"/>
      <c r="G11" s="449"/>
      <c r="H11" s="449"/>
      <c r="I11" s="450"/>
      <c r="J11" s="451"/>
      <c r="K11" s="649"/>
      <c r="L11" s="2443"/>
      <c r="M11" s="447"/>
      <c r="N11" s="447"/>
      <c r="O11" s="447"/>
      <c r="P11" s="452"/>
      <c r="Q11" s="452"/>
      <c r="R11" s="453"/>
      <c r="S11" s="447"/>
      <c r="T11" s="447"/>
      <c r="U11" s="447"/>
      <c r="V11" s="447"/>
      <c r="W11" s="383">
        <v>0</v>
      </c>
    </row>
    <row r="12" spans="1:23" s="2021" customFormat="1" ht="15" customHeight="1">
      <c r="A12" s="2313"/>
      <c r="B12" s="440"/>
      <c r="C12" s="440"/>
      <c r="D12" s="792"/>
      <c r="E12" s="753">
        <v>1</v>
      </c>
      <c r="F12" s="790">
        <v>23</v>
      </c>
      <c r="G12" s="789"/>
      <c r="H12" s="723"/>
      <c r="I12" s="721"/>
      <c r="J12" s="456" t="s">
        <v>67</v>
      </c>
      <c r="K12" s="1082" t="s">
        <v>22</v>
      </c>
      <c r="L12" s="2443"/>
      <c r="M12" s="447"/>
      <c r="N12" s="447"/>
      <c r="O12" s="447"/>
      <c r="P12" s="452" t="s">
        <v>389</v>
      </c>
      <c r="Q12" s="452" t="s">
        <v>390</v>
      </c>
      <c r="R12" s="453" t="s">
        <v>391</v>
      </c>
      <c r="S12" s="447" t="s">
        <v>392</v>
      </c>
      <c r="T12" s="447"/>
      <c r="U12" s="447"/>
      <c r="V12" s="447"/>
      <c r="W12" s="416">
        <v>14</v>
      </c>
    </row>
    <row r="13" spans="1:23" ht="15.75" customHeight="1">
      <c r="A13" s="2313"/>
      <c r="B13" s="441"/>
      <c r="D13" s="442"/>
      <c r="E13" s="341"/>
      <c r="F13" s="465"/>
      <c r="G13" s="352" t="s">
        <v>101</v>
      </c>
      <c r="H13" s="340"/>
      <c r="I13" s="340"/>
      <c r="J13" s="340"/>
      <c r="K13" s="339"/>
      <c r="L13" s="243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Y1" s="264"/>
      <c r="Z1" s="264"/>
      <c r="AG1" s="264"/>
      <c r="AH1" s="264"/>
      <c r="AS1" s="1073" t="s">
        <v>14</v>
      </c>
    </row>
    <row r="2" spans="1:45" ht="21" hidden="1" customHeight="1">
      <c r="A2" s="1281"/>
      <c r="B2" s="1281"/>
      <c r="C2" s="1281"/>
      <c r="D2" s="1281"/>
      <c r="E2" s="2456">
        <v>1</v>
      </c>
      <c r="F2" s="1281"/>
      <c r="G2" s="1281"/>
      <c r="H2" s="1281"/>
      <c r="I2" s="1281"/>
      <c r="J2" s="1281"/>
      <c r="K2" s="1281"/>
      <c r="L2" s="1282"/>
      <c r="M2" s="1283"/>
      <c r="N2" s="1283"/>
      <c r="O2" s="1283"/>
      <c r="P2" s="297"/>
      <c r="Q2" s="296"/>
      <c r="R2" s="291"/>
      <c r="S2" s="1227" t="e">
        <f>INDEX(PT_DIFFERENTIATION_NUM_NTAR,MATCH(A2,PT_DIFFERENTIATION_NTAR_ID,0))</f>
        <v>#N/A</v>
      </c>
      <c r="T2" s="235"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436"/>
      <c r="AP2" s="436" t="str">
        <f t="shared" ref="AP2:AP15" si="0">IF(T2="","",T2)</f>
        <v>Наименование тарифа</v>
      </c>
      <c r="AQ2" s="436"/>
      <c r="AR2" s="436"/>
      <c r="AS2" s="1073">
        <v>0</v>
      </c>
    </row>
    <row r="3" spans="1:45" ht="21" hidden="1" customHeight="1">
      <c r="A3" s="1281"/>
      <c r="B3" s="1281"/>
      <c r="C3" s="1281"/>
      <c r="D3" s="1281"/>
      <c r="E3" s="2457"/>
      <c r="F3" s="2456">
        <v>1</v>
      </c>
      <c r="G3" s="1281"/>
      <c r="H3" s="1281"/>
      <c r="I3" s="1281"/>
      <c r="J3" s="1281"/>
      <c r="K3" s="1281"/>
      <c r="L3" s="1282"/>
      <c r="M3" s="1283"/>
      <c r="N3" s="1283"/>
      <c r="O3" s="1283"/>
      <c r="P3" s="1222"/>
      <c r="Q3" s="288"/>
      <c r="R3" s="289"/>
      <c r="S3" s="1227" t="e">
        <f>INDEX(PT_DIFFERENTIATION_NUM_TER,MATCH(B3,PT_DIFFERENTIATION_TER_ID,0))</f>
        <v>#N/A</v>
      </c>
      <c r="T3" s="245"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436"/>
      <c r="AP3" s="436" t="str">
        <f t="shared" si="0"/>
        <v>Территория действия тарифа</v>
      </c>
      <c r="AQ3" s="436"/>
      <c r="AR3" s="436"/>
      <c r="AS3" s="1073">
        <v>0</v>
      </c>
    </row>
    <row r="4" spans="1:45" ht="23.25" hidden="1" customHeight="1">
      <c r="A4" s="1281"/>
      <c r="B4" s="1281"/>
      <c r="C4" s="1281"/>
      <c r="D4" s="1281"/>
      <c r="E4" s="2457"/>
      <c r="F4" s="2457"/>
      <c r="G4" s="2456">
        <v>1</v>
      </c>
      <c r="H4" s="1281"/>
      <c r="I4" s="1281"/>
      <c r="J4" s="1281"/>
      <c r="K4" s="1281"/>
      <c r="L4" s="1282"/>
      <c r="M4" s="1283"/>
      <c r="N4" s="1283"/>
      <c r="O4" s="1283"/>
      <c r="P4" s="290"/>
      <c r="Q4" s="288"/>
      <c r="R4" s="289"/>
      <c r="S4" s="1227"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57"/>
      <c r="F5" s="2457"/>
      <c r="G5" s="2457"/>
      <c r="H5" s="2456">
        <v>1</v>
      </c>
      <c r="I5" s="1281"/>
      <c r="J5" s="1281"/>
      <c r="K5" s="1281"/>
      <c r="L5" s="1282"/>
      <c r="M5" s="1283"/>
      <c r="N5" s="1283"/>
      <c r="O5" s="1283"/>
      <c r="P5" s="290"/>
      <c r="Q5" s="288"/>
      <c r="R5" s="289"/>
      <c r="S5" s="1227"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436"/>
      <c r="AP5" s="436" t="str">
        <f t="shared" si="0"/>
        <v xml:space="preserve">Источник тепловой энергии  </v>
      </c>
      <c r="AQ5" s="436"/>
      <c r="AR5" s="436"/>
      <c r="AS5" s="1073">
        <v>0</v>
      </c>
    </row>
    <row r="6" spans="1:45" ht="47.25" hidden="1" customHeight="1">
      <c r="A6" s="1281"/>
      <c r="B6" s="1281"/>
      <c r="C6" s="1281"/>
      <c r="D6" s="1281"/>
      <c r="E6" s="2457"/>
      <c r="F6" s="2457"/>
      <c r="G6" s="2457"/>
      <c r="H6" s="2457"/>
      <c r="I6" s="2458" t="e">
        <f>S5&amp;".1"</f>
        <v>#N/A</v>
      </c>
      <c r="J6" s="1281"/>
      <c r="K6" s="1281"/>
      <c r="L6" s="1282" t="s">
        <v>400</v>
      </c>
      <c r="M6" s="473"/>
      <c r="P6" s="2460">
        <v>1</v>
      </c>
      <c r="Q6" s="1223"/>
      <c r="R6" s="292"/>
      <c r="S6" s="1227" t="e">
        <f>$I6</f>
        <v>#N/A</v>
      </c>
      <c r="T6" s="222" t="s">
        <v>401</v>
      </c>
      <c r="U6" s="237"/>
      <c r="V6" s="2444"/>
      <c r="W6" s="2445"/>
      <c r="X6" s="2445"/>
      <c r="Y6" s="2445"/>
      <c r="Z6" s="2445"/>
      <c r="AA6" s="2445"/>
      <c r="AB6" s="2445"/>
      <c r="AC6" s="2446"/>
      <c r="AD6" s="2444"/>
      <c r="AE6" s="2445"/>
      <c r="AF6" s="2445"/>
      <c r="AG6" s="2445"/>
      <c r="AH6" s="2445"/>
      <c r="AI6" s="2445"/>
      <c r="AJ6" s="2445"/>
      <c r="AK6" s="2445"/>
      <c r="AL6" s="2446"/>
      <c r="AM6" s="1176" t="s">
        <v>402</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57"/>
      <c r="F7" s="2457"/>
      <c r="G7" s="2457"/>
      <c r="H7" s="2457"/>
      <c r="I7" s="2459"/>
      <c r="J7" s="2458" t="e">
        <f>I6&amp;".1"</f>
        <v>#N/A</v>
      </c>
      <c r="K7" s="1281"/>
      <c r="L7" s="1282" t="s">
        <v>403</v>
      </c>
      <c r="M7" s="473"/>
      <c r="N7" s="1284"/>
      <c r="P7" s="2460"/>
      <c r="Q7" s="2460">
        <v>1</v>
      </c>
      <c r="R7" s="293"/>
      <c r="S7" s="1227"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436"/>
      <c r="AP7" s="436" t="str">
        <f t="shared" si="0"/>
        <v>Группа потребителей</v>
      </c>
      <c r="AQ7" s="436"/>
      <c r="AR7" s="436"/>
      <c r="AS7" s="1073">
        <v>0</v>
      </c>
    </row>
    <row r="8" spans="1:45" ht="21" hidden="1" customHeight="1">
      <c r="A8" s="1281"/>
      <c r="B8" s="1281"/>
      <c r="C8" s="1281"/>
      <c r="D8" s="1281"/>
      <c r="E8" s="2457"/>
      <c r="F8" s="2457"/>
      <c r="G8" s="2457"/>
      <c r="H8" s="2457"/>
      <c r="I8" s="2459"/>
      <c r="J8" s="2459"/>
      <c r="K8" s="2458" t="e">
        <f>J7&amp;".1"</f>
        <v>#N/A</v>
      </c>
      <c r="L8" s="1282" t="s">
        <v>406</v>
      </c>
      <c r="M8" s="473"/>
      <c r="N8" s="1284"/>
      <c r="O8" s="1284"/>
      <c r="P8" s="2460"/>
      <c r="Q8" s="2460"/>
      <c r="R8" s="293">
        <v>1</v>
      </c>
      <c r="S8" s="1227" t="e">
        <f>$K8</f>
        <v>#N/A</v>
      </c>
      <c r="T8" s="1265"/>
      <c r="U8" s="237"/>
      <c r="V8" s="687"/>
      <c r="W8" s="262"/>
      <c r="X8" s="687"/>
      <c r="Y8" s="1175"/>
      <c r="Z8" s="2461"/>
      <c r="AA8" s="2338" t="s">
        <v>67</v>
      </c>
      <c r="AB8" s="2461"/>
      <c r="AC8" s="2338" t="s">
        <v>67</v>
      </c>
      <c r="AD8" s="687"/>
      <c r="AE8" s="262"/>
      <c r="AF8" s="687"/>
      <c r="AG8" s="1175"/>
      <c r="AH8" s="2461"/>
      <c r="AI8" s="2338" t="s">
        <v>67</v>
      </c>
      <c r="AJ8" s="2461"/>
      <c r="AK8" s="2338" t="s">
        <v>67</v>
      </c>
      <c r="AL8" s="262"/>
      <c r="AM8" s="2479" t="s">
        <v>407</v>
      </c>
      <c r="AN8" s="447" t="e">
        <f ca="1">STRCHECKDATE(V9:AL9)</f>
        <v>#NAME?</v>
      </c>
      <c r="AO8" s="436"/>
      <c r="AP8" s="436" t="str">
        <f t="shared" si="0"/>
        <v/>
      </c>
      <c r="AQ8" s="436"/>
      <c r="AR8" s="436"/>
      <c r="AS8" s="1073">
        <v>0</v>
      </c>
    </row>
    <row r="9" spans="1:45" ht="0.75" hidden="1" customHeight="1">
      <c r="A9" s="1281"/>
      <c r="B9" s="1281"/>
      <c r="C9" s="1281"/>
      <c r="D9" s="1281"/>
      <c r="E9" s="2457"/>
      <c r="F9" s="2457"/>
      <c r="G9" s="2457"/>
      <c r="H9" s="2457"/>
      <c r="I9" s="2459"/>
      <c r="J9" s="2459"/>
      <c r="K9" s="2458"/>
      <c r="L9" s="1282"/>
      <c r="M9" s="473"/>
      <c r="N9" s="1284"/>
      <c r="O9" s="1284"/>
      <c r="P9" s="2460"/>
      <c r="Q9" s="2460"/>
      <c r="R9" s="293"/>
      <c r="S9" s="1224"/>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436"/>
      <c r="AP9" s="436" t="str">
        <f t="shared" si="0"/>
        <v/>
      </c>
      <c r="AQ9" s="436"/>
      <c r="AR9" s="436"/>
      <c r="AS9" s="1073">
        <v>0</v>
      </c>
    </row>
    <row r="10" spans="1:45" ht="15" hidden="1" customHeight="1">
      <c r="A10" s="1281"/>
      <c r="B10" s="1281"/>
      <c r="C10" s="1281"/>
      <c r="D10" s="1281"/>
      <c r="E10" s="2457"/>
      <c r="F10" s="2457"/>
      <c r="G10" s="2457"/>
      <c r="H10" s="2457"/>
      <c r="I10" s="2459"/>
      <c r="J10" s="2458"/>
      <c r="K10" s="1281"/>
      <c r="L10" s="1282"/>
      <c r="M10" s="473"/>
      <c r="N10" s="1284"/>
      <c r="P10" s="2460"/>
      <c r="Q10" s="2460"/>
      <c r="R10" s="292"/>
      <c r="S10" s="1196"/>
      <c r="T10" s="225" t="s">
        <v>408</v>
      </c>
      <c r="U10" s="303"/>
      <c r="V10" s="303"/>
      <c r="W10" s="303"/>
      <c r="X10" s="303"/>
      <c r="Y10" s="303"/>
      <c r="Z10" s="303"/>
      <c r="AA10" s="303"/>
      <c r="AB10" s="303"/>
      <c r="AC10" s="303"/>
      <c r="AD10" s="303"/>
      <c r="AE10" s="303"/>
      <c r="AF10" s="303"/>
      <c r="AG10" s="303"/>
      <c r="AH10" s="303"/>
      <c r="AI10" s="303"/>
      <c r="AJ10" s="303"/>
      <c r="AK10" s="303"/>
      <c r="AL10" s="261"/>
      <c r="AM10" s="24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57"/>
      <c r="F11" s="2457"/>
      <c r="G11" s="2457"/>
      <c r="H11" s="2457"/>
      <c r="I11" s="2458"/>
      <c r="J11" s="1281"/>
      <c r="K11" s="1281"/>
      <c r="L11" s="1282"/>
      <c r="M11" s="473"/>
      <c r="P11" s="2460"/>
      <c r="Q11" s="1223"/>
      <c r="R11" s="292"/>
      <c r="S11" s="1196"/>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57"/>
      <c r="F12" s="2457"/>
      <c r="G12" s="2457"/>
      <c r="H12" s="2456"/>
      <c r="I12" s="1281"/>
      <c r="J12" s="1281"/>
      <c r="K12" s="1281"/>
      <c r="L12" s="1282"/>
      <c r="M12" s="1283"/>
      <c r="N12" s="1283"/>
      <c r="O12" s="473"/>
      <c r="P12" s="296"/>
      <c r="Q12" s="311"/>
      <c r="R12" s="291"/>
      <c r="S12" s="1196"/>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034" customFormat="1" ht="0.75" hidden="1" customHeight="1">
      <c r="A13" s="1232"/>
      <c r="B13" s="1232"/>
      <c r="C13" s="1232"/>
      <c r="D13" s="1232"/>
      <c r="E13" s="2457"/>
      <c r="F13" s="2457"/>
      <c r="G13" s="2456"/>
      <c r="H13" s="1232"/>
      <c r="I13" s="1232"/>
      <c r="J13" s="1232"/>
      <c r="K13" s="1232"/>
      <c r="L13" s="1257"/>
      <c r="M13" s="1233"/>
      <c r="N13" s="123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34" customFormat="1" ht="0.75" hidden="1" customHeight="1">
      <c r="A14" s="1232"/>
      <c r="B14" s="1232"/>
      <c r="C14" s="1232"/>
      <c r="D14" s="1232"/>
      <c r="E14" s="2457"/>
      <c r="F14" s="2456"/>
      <c r="G14" s="1232"/>
      <c r="H14" s="1232"/>
      <c r="I14" s="1232"/>
      <c r="J14" s="1232"/>
      <c r="K14" s="1232"/>
      <c r="L14" s="1257"/>
      <c r="M14" s="1239"/>
      <c r="N14" s="1239"/>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34" customFormat="1" ht="0.75" hidden="1" customHeight="1">
      <c r="A15" s="1232"/>
      <c r="B15" s="1232"/>
      <c r="C15" s="1232"/>
      <c r="D15" s="1232"/>
      <c r="E15" s="2456"/>
      <c r="F15" s="1232"/>
      <c r="G15" s="1232"/>
      <c r="H15" s="1232"/>
      <c r="I15" s="1232"/>
      <c r="J15" s="1232"/>
      <c r="K15" s="1232"/>
      <c r="L15" s="1257"/>
      <c r="M15" s="1239"/>
      <c r="N15" s="1239"/>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2454"/>
      <c r="AI17" s="2453" t="s">
        <v>67</v>
      </c>
      <c r="AJ17" s="2454"/>
      <c r="AK17" s="2453" t="s">
        <v>67</v>
      </c>
      <c r="AS17" s="1073">
        <v>0</v>
      </c>
    </row>
    <row r="18" spans="1:45" ht="14.25" hidden="1" customHeight="1">
      <c r="P18" s="1229"/>
      <c r="AD18" s="1278"/>
      <c r="AE18" s="1278"/>
      <c r="AF18" s="1278"/>
      <c r="AG18" s="265" t="str">
        <f>AH17&amp;"-"&amp;AJ17</f>
        <v>-</v>
      </c>
      <c r="AH18" s="2453"/>
      <c r="AI18" s="2453"/>
      <c r="AJ18" s="2453"/>
      <c r="AK18" s="2453"/>
      <c r="AS18" s="1073">
        <v>0</v>
      </c>
    </row>
    <row r="19" spans="1:45" ht="14.25" hidden="1" customHeight="1">
      <c r="P19" s="1229"/>
      <c r="AK19" s="264"/>
      <c r="AS19" s="1073">
        <v>0</v>
      </c>
    </row>
    <row r="20" spans="1:45" s="2056" customFormat="1" ht="22.5" hidden="1" customHeight="1">
      <c r="L20" s="1247"/>
      <c r="M20" s="1280"/>
      <c r="N20" s="1280"/>
      <c r="O20" s="1285" t="s">
        <v>414</v>
      </c>
      <c r="P20" s="1280"/>
      <c r="Q20" s="1289"/>
      <c r="R20" s="1289"/>
      <c r="S20" s="665"/>
      <c r="Z20" s="1285"/>
      <c r="AB20" s="1285"/>
      <c r="AC20" s="1284"/>
      <c r="AH20" s="1285"/>
      <c r="AJ20" s="1285"/>
      <c r="AK20" s="1284"/>
      <c r="AN20" s="447"/>
      <c r="AO20" s="447"/>
      <c r="AP20" s="447"/>
      <c r="AQ20" s="447"/>
      <c r="AR20" s="447"/>
      <c r="AS20" s="1078">
        <v>0</v>
      </c>
    </row>
    <row r="21" spans="1:45" s="205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56" customFormat="1" ht="14.25" hidden="1" customHeight="1">
      <c r="L22" s="1247"/>
      <c r="M22" s="1280"/>
      <c r="N22" s="1280"/>
      <c r="O22" s="1282" t="s">
        <v>415</v>
      </c>
      <c r="P22" s="1280"/>
      <c r="Q22" s="1289"/>
      <c r="R22" s="1289"/>
      <c r="S22" s="665"/>
      <c r="T22" s="1078" t="s">
        <v>416</v>
      </c>
      <c r="AA22" s="123" t="s">
        <v>417</v>
      </c>
      <c r="AC22" s="123" t="s">
        <v>418</v>
      </c>
      <c r="AD22" s="1078" t="s">
        <v>416</v>
      </c>
      <c r="AI22" s="123" t="s">
        <v>419</v>
      </c>
      <c r="AK22" s="123" t="s">
        <v>418</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4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7"/>
      <c r="U26" s="2437"/>
      <c r="V26" s="2437"/>
      <c r="W26" s="2437"/>
      <c r="X26" s="2437"/>
      <c r="Y26" s="2437"/>
      <c r="Z26" s="2437"/>
      <c r="AA26" s="2437"/>
      <c r="AB26" s="2437"/>
      <c r="AC26" s="2437"/>
      <c r="AD26" s="2437"/>
      <c r="AE26" s="2437"/>
      <c r="AF26" s="2437"/>
      <c r="AG26" s="2437"/>
      <c r="AH26" s="2437"/>
      <c r="AI26" s="2437"/>
      <c r="AJ26" s="2437"/>
      <c r="AK26" s="1161"/>
      <c r="AS26" s="1073">
        <v>14</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098" customFormat="1" ht="25.5" hidden="1" customHeight="1">
      <c r="A29" s="1286"/>
      <c r="B29" s="1286"/>
      <c r="C29" s="1286"/>
      <c r="D29" s="1286"/>
      <c r="E29" s="1286"/>
      <c r="F29" s="1286"/>
      <c r="G29" s="1286"/>
      <c r="H29" s="1286"/>
      <c r="I29" s="1286"/>
      <c r="J29" s="1286"/>
      <c r="K29" s="1286"/>
      <c r="L29" s="1287"/>
      <c r="M29" s="1286"/>
      <c r="N29" s="1286"/>
      <c r="O29" s="1286"/>
      <c r="S29" s="2447" t="s">
        <v>43</v>
      </c>
      <c r="T29" s="2447"/>
      <c r="U29" s="1290"/>
      <c r="V29" s="2449" t="str">
        <f>IF(TITLE_NAME_OR_PR_CHANGE="",IF(TITLE_NAME_OR_PR="","",TITLE_NAME_OR_PR),TITLE_NAME_OR_PR_CHANGE)</f>
        <v/>
      </c>
      <c r="W29" s="2449"/>
      <c r="X29" s="2449"/>
      <c r="Y29" s="2449"/>
      <c r="Z29" s="2449"/>
      <c r="AA29" s="2449"/>
      <c r="AB29" s="2449"/>
      <c r="AC29" s="263"/>
      <c r="AD29" s="2449" t="str">
        <f>IF(TITLE_NAME_OR_PR_CHANGE="",IF(TITLE_NAME_OR_PR="","",TITLE_NAME_OR_PR),TITLE_NAME_OR_PR_CHANGE)</f>
        <v/>
      </c>
      <c r="AE29" s="2449"/>
      <c r="AF29" s="2449"/>
      <c r="AG29" s="2449"/>
      <c r="AH29" s="2449"/>
      <c r="AI29" s="2449"/>
      <c r="AJ29" s="2449"/>
      <c r="AK29" s="263"/>
      <c r="AL29" s="263"/>
      <c r="AM29" s="217"/>
      <c r="AN29" s="304"/>
      <c r="AO29" s="304"/>
      <c r="AP29" s="304"/>
      <c r="AQ29" s="304"/>
      <c r="AR29" s="304"/>
      <c r="AS29" s="354">
        <v>0</v>
      </c>
    </row>
    <row r="30" spans="1:45" s="2098" customFormat="1" ht="18.75" hidden="1" customHeight="1">
      <c r="A30" s="1286"/>
      <c r="B30" s="1286"/>
      <c r="C30" s="1286"/>
      <c r="D30" s="1286"/>
      <c r="E30" s="1286"/>
      <c r="F30" s="1286"/>
      <c r="G30" s="1286"/>
      <c r="H30" s="1286"/>
      <c r="I30" s="1286"/>
      <c r="J30" s="1286"/>
      <c r="K30" s="1286"/>
      <c r="L30" s="1287"/>
      <c r="M30" s="1286"/>
      <c r="N30" s="1286"/>
      <c r="O30" s="1286"/>
      <c r="S30" s="2447" t="s">
        <v>420</v>
      </c>
      <c r="T30" s="2447"/>
      <c r="U30" s="1290"/>
      <c r="V30" s="2448" t="str">
        <f>IF(TITLE_DATE_PR_CHANGE="",IF(TITLE_DATE_PR="","",TITLE_DATE_PR),TITLE_DATE_PR_CHANGE)</f>
        <v/>
      </c>
      <c r="W30" s="2448"/>
      <c r="X30" s="2448"/>
      <c r="Y30" s="2448"/>
      <c r="Z30" s="2448"/>
      <c r="AA30" s="2448"/>
      <c r="AB30" s="2448"/>
      <c r="AC30" s="263"/>
      <c r="AD30" s="2448" t="str">
        <f>IF(TITLE_DATE_PR_CHANGE="",IF(TITLE_DATE_PR="","",TITLE_DATE_PR),TITLE_DATE_PR_CHANGE)</f>
        <v/>
      </c>
      <c r="AE30" s="2448"/>
      <c r="AF30" s="2448"/>
      <c r="AG30" s="2448"/>
      <c r="AH30" s="2448"/>
      <c r="AI30" s="2448"/>
      <c r="AJ30" s="2448"/>
      <c r="AK30" s="263"/>
      <c r="AL30" s="263"/>
      <c r="AM30" s="217"/>
      <c r="AN30" s="304"/>
      <c r="AO30" s="304"/>
      <c r="AP30" s="304"/>
      <c r="AQ30" s="304"/>
      <c r="AR30" s="304"/>
      <c r="AS30" s="354">
        <v>0</v>
      </c>
    </row>
    <row r="31" spans="1:45" s="2098" customFormat="1" ht="18.75" hidden="1" customHeight="1">
      <c r="A31" s="1286"/>
      <c r="B31" s="1286"/>
      <c r="C31" s="1286"/>
      <c r="D31" s="1286"/>
      <c r="E31" s="1286"/>
      <c r="F31" s="1286"/>
      <c r="G31" s="1286"/>
      <c r="H31" s="1286"/>
      <c r="I31" s="1286"/>
      <c r="J31" s="1286"/>
      <c r="K31" s="1286"/>
      <c r="L31" s="1287"/>
      <c r="M31" s="1286"/>
      <c r="N31" s="1286"/>
      <c r="O31" s="1286"/>
      <c r="S31" s="2447" t="s">
        <v>421</v>
      </c>
      <c r="T31" s="2447"/>
      <c r="U31" s="1290"/>
      <c r="V31" s="2449" t="str">
        <f>IF(TITLE_NUMBER_PR_CHANGE="",IF(TITLE_NUMBER_PR="","",TITLE_NUMBER_PR),TITLE_NUMBER_PR_CHANGE)</f>
        <v/>
      </c>
      <c r="W31" s="2449"/>
      <c r="X31" s="2449"/>
      <c r="Y31" s="2449"/>
      <c r="Z31" s="2449"/>
      <c r="AA31" s="2449"/>
      <c r="AB31" s="2449"/>
      <c r="AC31" s="263"/>
      <c r="AD31" s="2449" t="str">
        <f>IF(TITLE_NUMBER_PR_CHANGE="",IF(TITLE_NUMBER_PR="","",TITLE_NUMBER_PR),TITLE_NUMBER_PR_CHANGE)</f>
        <v/>
      </c>
      <c r="AE31" s="2449"/>
      <c r="AF31" s="2449"/>
      <c r="AG31" s="2449"/>
      <c r="AH31" s="2449"/>
      <c r="AI31" s="2449"/>
      <c r="AJ31" s="2449"/>
      <c r="AK31" s="263"/>
      <c r="AL31" s="263"/>
      <c r="AM31" s="217"/>
      <c r="AN31" s="304"/>
      <c r="AO31" s="304"/>
      <c r="AP31" s="304"/>
      <c r="AQ31" s="304"/>
      <c r="AR31" s="304"/>
      <c r="AS31" s="354">
        <v>0</v>
      </c>
    </row>
    <row r="32" spans="1:45" s="2098" customFormat="1" ht="18.75" hidden="1" customHeight="1">
      <c r="A32" s="1286"/>
      <c r="B32" s="1286"/>
      <c r="C32" s="1286"/>
      <c r="D32" s="1286"/>
      <c r="E32" s="1286"/>
      <c r="F32" s="1286"/>
      <c r="G32" s="1286"/>
      <c r="H32" s="1286"/>
      <c r="I32" s="1286"/>
      <c r="J32" s="1286"/>
      <c r="K32" s="1286"/>
      <c r="L32" s="1287"/>
      <c r="M32" s="1286"/>
      <c r="N32" s="1286"/>
      <c r="O32" s="1286"/>
      <c r="S32" s="2447" t="s">
        <v>44</v>
      </c>
      <c r="T32" s="2447"/>
      <c r="U32" s="1290"/>
      <c r="V32" s="2449" t="str">
        <f>IF(TITLE_IST_PUB_CHANGE="",IF(TITLE_IST_PUB="","",TITLE_IST_PUB),TITLE_IST_PUB_CHANGE)</f>
        <v/>
      </c>
      <c r="W32" s="2449"/>
      <c r="X32" s="2449"/>
      <c r="Y32" s="2449"/>
      <c r="Z32" s="2449"/>
      <c r="AA32" s="2449"/>
      <c r="AB32" s="2449"/>
      <c r="AC32" s="263"/>
      <c r="AD32" s="2449" t="str">
        <f>IF(TITLE_IST_PUB_CHANGE="",IF(TITLE_IST_PUB="","",TITLE_IST_PUB),TITLE_IST_PUB_CHANGE)</f>
        <v/>
      </c>
      <c r="AE32" s="2449"/>
      <c r="AF32" s="2449"/>
      <c r="AG32" s="2449"/>
      <c r="AH32" s="2449"/>
      <c r="AI32" s="2449"/>
      <c r="AJ32" s="2449"/>
      <c r="AK32" s="263"/>
      <c r="AL32" s="263"/>
      <c r="AM32" s="217"/>
      <c r="AN32" s="304"/>
      <c r="AO32" s="304"/>
      <c r="AP32" s="304"/>
      <c r="AQ32" s="304"/>
      <c r="AR32" s="304"/>
      <c r="AS32" s="354">
        <v>0</v>
      </c>
    </row>
    <row r="33" spans="1:45" ht="14.25" hidden="1" customHeight="1">
      <c r="P33" s="1246"/>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098" customFormat="1" ht="18.75" hidden="1" customHeight="1">
      <c r="A34" s="1286"/>
      <c r="B34" s="1286"/>
      <c r="C34" s="1286"/>
      <c r="D34" s="1286"/>
      <c r="E34" s="1286"/>
      <c r="F34" s="1286"/>
      <c r="G34" s="1286"/>
      <c r="H34" s="1286"/>
      <c r="I34" s="1286"/>
      <c r="J34" s="1286"/>
      <c r="K34" s="1286"/>
      <c r="L34" s="1287"/>
      <c r="M34" s="1286"/>
      <c r="N34" s="1286"/>
      <c r="O34" s="1286"/>
      <c r="S34" s="2447" t="s">
        <v>422</v>
      </c>
      <c r="T34" s="2447"/>
      <c r="U34" s="1290"/>
      <c r="V34" s="2448" t="str">
        <f>IF(TITLE_DATE_PR_CHANGE="",IF(TITLE_DATE_PR="","",TITLE_DATE_PR),TITLE_DATE_PR_CHANGE)</f>
        <v/>
      </c>
      <c r="W34" s="2448"/>
      <c r="X34" s="2448"/>
      <c r="Y34" s="2448"/>
      <c r="Z34" s="2448"/>
      <c r="AA34" s="2448"/>
      <c r="AB34" s="2448"/>
      <c r="AC34" s="263"/>
      <c r="AD34" s="2448" t="str">
        <f>IF(TITLE_DATE_PR_CHANGE="",IF(TITLE_DATE_PR="","",TITLE_DATE_PR),TITLE_DATE_PR_CHANGE)</f>
        <v/>
      </c>
      <c r="AE34" s="2448"/>
      <c r="AF34" s="2448"/>
      <c r="AG34" s="2448"/>
      <c r="AH34" s="2448"/>
      <c r="AI34" s="2448"/>
      <c r="AJ34" s="2448"/>
      <c r="AK34" s="263"/>
      <c r="AL34" s="263"/>
      <c r="AM34" s="217"/>
      <c r="AN34" s="304"/>
      <c r="AO34" s="304"/>
      <c r="AP34" s="304"/>
      <c r="AQ34" s="304"/>
      <c r="AR34" s="304"/>
      <c r="AS34" s="354">
        <v>0</v>
      </c>
    </row>
    <row r="35" spans="1:45" s="2098" customFormat="1" ht="18.75" hidden="1" customHeight="1">
      <c r="A35" s="1286"/>
      <c r="B35" s="1286"/>
      <c r="C35" s="1286"/>
      <c r="D35" s="1286"/>
      <c r="E35" s="1286"/>
      <c r="F35" s="1286"/>
      <c r="G35" s="1286"/>
      <c r="H35" s="1286"/>
      <c r="I35" s="1286"/>
      <c r="J35" s="1286"/>
      <c r="K35" s="1286"/>
      <c r="L35" s="1287"/>
      <c r="M35" s="1286"/>
      <c r="N35" s="1286"/>
      <c r="O35" s="1286"/>
      <c r="S35" s="2447" t="s">
        <v>423</v>
      </c>
      <c r="T35" s="2447"/>
      <c r="U35" s="1290"/>
      <c r="V35" s="2449" t="str">
        <f>IF(TITLE_NUMBER_PR_CHANGE="",IF(TITLE_NUMBER_PR="","",TITLE_NUMBER_PR),TITLE_NUMBER_PR_CHANGE)</f>
        <v/>
      </c>
      <c r="W35" s="2449"/>
      <c r="X35" s="2449"/>
      <c r="Y35" s="2449"/>
      <c r="Z35" s="2449"/>
      <c r="AA35" s="2449"/>
      <c r="AB35" s="2449"/>
      <c r="AC35" s="263"/>
      <c r="AD35" s="2449" t="str">
        <f>IF(TITLE_NUMBER_PR_CHANGE="",IF(TITLE_NUMBER_PR="","",TITLE_NUMBER_PR),TITLE_NUMBER_PR_CHANGE)</f>
        <v/>
      </c>
      <c r="AE35" s="2449"/>
      <c r="AF35" s="2449"/>
      <c r="AG35" s="2449"/>
      <c r="AH35" s="2449"/>
      <c r="AI35" s="2449"/>
      <c r="AJ35" s="2449"/>
      <c r="AK35" s="263"/>
      <c r="AL35" s="263"/>
      <c r="AM35" s="217"/>
      <c r="AN35" s="304"/>
      <c r="AO35" s="304"/>
      <c r="AP35" s="304"/>
      <c r="AQ35" s="304"/>
      <c r="AR35" s="304"/>
      <c r="AS35" s="354">
        <v>0</v>
      </c>
    </row>
    <row r="36" spans="1:45" s="2098"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193"/>
      <c r="T37" s="299"/>
      <c r="U37" s="1162"/>
      <c r="V37" s="2468"/>
      <c r="W37" s="2468"/>
      <c r="X37" s="2468"/>
      <c r="Y37" s="2468"/>
      <c r="Z37" s="2468"/>
      <c r="AA37" s="2468"/>
      <c r="AB37" s="2468"/>
      <c r="AC37" s="2468"/>
      <c r="AD37" s="2468"/>
      <c r="AE37" s="2468"/>
      <c r="AF37" s="2468"/>
      <c r="AG37" s="2468"/>
      <c r="AH37" s="2468"/>
      <c r="AI37" s="2468"/>
      <c r="AJ37" s="2468"/>
      <c r="AK37" s="2468"/>
      <c r="AS37" s="1073">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073">
        <v>14</v>
      </c>
    </row>
    <row r="39" spans="1:45" ht="14.65" customHeight="1">
      <c r="Q39" s="312"/>
      <c r="R39" s="312"/>
      <c r="S39" s="2469" t="s">
        <v>90</v>
      </c>
      <c r="T39" s="2417" t="s">
        <v>425</v>
      </c>
      <c r="U39" s="238"/>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073">
        <v>14</v>
      </c>
    </row>
    <row r="40" spans="1:45" ht="35.65" customHeight="1">
      <c r="Q40" s="312"/>
      <c r="R40" s="312"/>
      <c r="S40" s="2469"/>
      <c r="T40" s="2417"/>
      <c r="U40" s="954"/>
      <c r="V40" s="2387" t="s">
        <v>430</v>
      </c>
      <c r="W40" s="2465" t="s">
        <v>431</v>
      </c>
      <c r="X40" s="2310" t="s">
        <v>432</v>
      </c>
      <c r="Y40" s="2309"/>
      <c r="Z40" s="2310" t="s">
        <v>433</v>
      </c>
      <c r="AA40" s="2315"/>
      <c r="AB40" s="2309"/>
      <c r="AC40" s="2474"/>
      <c r="AD40" s="2387" t="s">
        <v>430</v>
      </c>
      <c r="AE40" s="2465" t="s">
        <v>431</v>
      </c>
      <c r="AF40" s="2310" t="s">
        <v>432</v>
      </c>
      <c r="AG40" s="2309"/>
      <c r="AH40" s="2310" t="s">
        <v>433</v>
      </c>
      <c r="AI40" s="2315"/>
      <c r="AJ40" s="2309"/>
      <c r="AK40" s="2474"/>
      <c r="AL40" s="2477"/>
      <c r="AM40" s="2328"/>
      <c r="AS40" s="1073">
        <v>34</v>
      </c>
    </row>
    <row r="41" spans="1:45" ht="35.65" customHeight="1">
      <c r="A41" s="1288"/>
      <c r="B41" s="1288" t="s">
        <v>134</v>
      </c>
      <c r="C41" s="1288" t="s">
        <v>135</v>
      </c>
      <c r="D41" s="1288" t="s">
        <v>136</v>
      </c>
      <c r="E41" s="1282" t="s">
        <v>434</v>
      </c>
      <c r="F41" s="1282" t="s">
        <v>435</v>
      </c>
      <c r="G41" s="1282" t="s">
        <v>436</v>
      </c>
      <c r="H41" s="1282" t="s">
        <v>437</v>
      </c>
      <c r="I41" s="1282" t="s">
        <v>438</v>
      </c>
      <c r="J41" s="1282" t="s">
        <v>439</v>
      </c>
      <c r="K41" s="1282" t="s">
        <v>440</v>
      </c>
      <c r="L41" s="1282" t="s">
        <v>415</v>
      </c>
      <c r="Q41" s="312"/>
      <c r="R41" s="312"/>
      <c r="S41" s="2469"/>
      <c r="T41" s="2417"/>
      <c r="U41" s="239"/>
      <c r="V41" s="2442"/>
      <c r="W41" s="2466"/>
      <c r="X41" s="1140" t="s">
        <v>441</v>
      </c>
      <c r="Y41" s="1140" t="s">
        <v>442</v>
      </c>
      <c r="Z41" s="1139" t="s">
        <v>443</v>
      </c>
      <c r="AA41" s="2422" t="s">
        <v>444</v>
      </c>
      <c r="AB41" s="2436"/>
      <c r="AC41" s="2475"/>
      <c r="AD41" s="2442"/>
      <c r="AE41" s="2466"/>
      <c r="AF41" s="1140" t="s">
        <v>441</v>
      </c>
      <c r="AG41" s="1140" t="s">
        <v>442</v>
      </c>
      <c r="AH41" s="1231" t="s">
        <v>443</v>
      </c>
      <c r="AI41" s="2422" t="s">
        <v>444</v>
      </c>
      <c r="AJ41" s="2436"/>
      <c r="AK41" s="2475"/>
      <c r="AL41" s="2478"/>
      <c r="AM41" s="2328"/>
      <c r="AS41" s="1073">
        <v>34</v>
      </c>
    </row>
    <row r="42" spans="1:45" s="20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174">
        <f ca="1">OFFSET(V42,0,-1)+1</f>
        <v>3</v>
      </c>
      <c r="W42" s="1174"/>
      <c r="X42" s="1174">
        <f ca="1">OFFSET(X42,0,-1)+1</f>
        <v>1</v>
      </c>
      <c r="Y42" s="1174">
        <f ca="1">OFFSET(Y42,0,-1)+1</f>
        <v>2</v>
      </c>
      <c r="Z42" s="1174">
        <f ca="1">OFFSET(Z42,0,-1)+1</f>
        <v>3</v>
      </c>
      <c r="AA42" s="2467">
        <f ca="1">OFFSET(AA42,0,-1)+1</f>
        <v>4</v>
      </c>
      <c r="AB42" s="2467"/>
      <c r="AC42" s="1174">
        <f ca="1">OFFSET(AC42,0,-2)+1</f>
        <v>5</v>
      </c>
      <c r="AD42" s="1230">
        <f ca="1">OFFSET(AD42,0,-1)+1</f>
        <v>6</v>
      </c>
      <c r="AE42" s="1230"/>
      <c r="AF42" s="1230">
        <f ca="1">OFFSET(AF42,0,-1)+1</f>
        <v>1</v>
      </c>
      <c r="AG42" s="1230">
        <f ca="1">OFFSET(AG42,0,-1)+1</f>
        <v>2</v>
      </c>
      <c r="AH42" s="1230">
        <f ca="1">OFFSET(AH42,0,-1)+1</f>
        <v>3</v>
      </c>
      <c r="AI42" s="2467">
        <f ca="1">OFFSET(AI42,0,-1)+1</f>
        <v>4</v>
      </c>
      <c r="AJ42" s="2467"/>
      <c r="AK42" s="1230">
        <f ca="1">OFFSET(AK42,0,-2)+1</f>
        <v>5</v>
      </c>
      <c r="AL42" s="1163">
        <f ca="1">OFFSET(AL42,0,-1)</f>
        <v>5</v>
      </c>
      <c r="AM42" s="1174">
        <f ca="1">OFFSET(AM42,0,-1)+1</f>
        <v>6</v>
      </c>
      <c r="AN42" s="447"/>
      <c r="AO42" s="447"/>
      <c r="AP42" s="447"/>
      <c r="AQ42" s="447"/>
      <c r="AR42" s="447"/>
      <c r="AS42" s="432">
        <v>0</v>
      </c>
    </row>
    <row r="43" spans="1:45" ht="24" customHeight="1">
      <c r="A43" s="1281" t="s">
        <v>155</v>
      </c>
      <c r="B43" s="1281"/>
      <c r="C43" s="1281"/>
      <c r="D43" s="1281"/>
      <c r="E43" s="2456">
        <v>1</v>
      </c>
      <c r="F43" s="1281"/>
      <c r="G43" s="1281"/>
      <c r="H43" s="1281"/>
      <c r="I43" s="1281"/>
      <c r="J43" s="1281"/>
      <c r="K43" s="1281"/>
      <c r="L43" s="1282"/>
      <c r="M43" s="1283"/>
      <c r="N43" s="1283"/>
      <c r="O43" s="1283"/>
      <c r="P43" s="297"/>
      <c r="Q43" s="296"/>
      <c r="R43" s="291"/>
      <c r="S43" s="1142">
        <f>INDEX(PT_DIFFERENTIATION_NUM_NTAR,MATCH(A43,PT_DIFFERENTIATION_NTAR_ID,0))</f>
        <v>0</v>
      </c>
      <c r="T43" s="235"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155</v>
      </c>
      <c r="B44" s="1281" t="s">
        <v>156</v>
      </c>
      <c r="C44" s="1281"/>
      <c r="D44" s="1281"/>
      <c r="E44" s="2457"/>
      <c r="F44" s="2456">
        <v>1</v>
      </c>
      <c r="G44" s="1281"/>
      <c r="H44" s="1281"/>
      <c r="I44" s="1281"/>
      <c r="J44" s="1281"/>
      <c r="K44" s="1281"/>
      <c r="L44" s="1282"/>
      <c r="M44" s="1283"/>
      <c r="N44" s="1283"/>
      <c r="O44" s="1283"/>
      <c r="P44" s="458"/>
      <c r="Q44" s="288"/>
      <c r="R44" s="289"/>
      <c r="S44" s="1142" t="str">
        <f>INDEX(PT_DIFFERENTIATION_NUM_TER,MATCH(B44,PT_DIFFERENTIATION_TER_ID,0))</f>
        <v>.</v>
      </c>
      <c r="T44" s="245"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436"/>
      <c r="AP44" s="436" t="str">
        <f t="shared" si="1"/>
        <v>Территория действия тарифа</v>
      </c>
      <c r="AQ44" s="436"/>
      <c r="AR44" s="436"/>
      <c r="AS44" s="1073">
        <v>23</v>
      </c>
    </row>
    <row r="45" spans="1:45" ht="24" customHeight="1">
      <c r="A45" s="1281" t="s">
        <v>155</v>
      </c>
      <c r="B45" s="1281" t="s">
        <v>156</v>
      </c>
      <c r="C45" s="1281" t="s">
        <v>157</v>
      </c>
      <c r="D45" s="1281"/>
      <c r="E45" s="2457"/>
      <c r="F45" s="2457"/>
      <c r="G45" s="2456">
        <v>1</v>
      </c>
      <c r="H45" s="1281"/>
      <c r="I45" s="1281"/>
      <c r="J45" s="1281"/>
      <c r="K45" s="1281"/>
      <c r="L45" s="1282"/>
      <c r="M45" s="1283"/>
      <c r="N45" s="1283"/>
      <c r="O45" s="1283"/>
      <c r="P45" s="290"/>
      <c r="Q45" s="288"/>
      <c r="R45" s="289"/>
      <c r="S45" s="1142"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436"/>
      <c r="AP45" s="436" t="str">
        <f t="shared" si="1"/>
        <v xml:space="preserve">Наименование системы теплоснабжения </v>
      </c>
      <c r="AQ45" s="436"/>
      <c r="AR45" s="436"/>
      <c r="AS45" s="1073">
        <v>23</v>
      </c>
    </row>
    <row r="46" spans="1:45" ht="24" customHeight="1">
      <c r="A46" s="1281" t="s">
        <v>155</v>
      </c>
      <c r="B46" s="1281" t="s">
        <v>156</v>
      </c>
      <c r="C46" s="1281" t="s">
        <v>157</v>
      </c>
      <c r="D46" s="1281" t="s">
        <v>158</v>
      </c>
      <c r="E46" s="2457"/>
      <c r="F46" s="2457"/>
      <c r="G46" s="2457"/>
      <c r="H46" s="2456">
        <v>1</v>
      </c>
      <c r="I46" s="1281"/>
      <c r="J46" s="1281"/>
      <c r="K46" s="1281"/>
      <c r="L46" s="1282"/>
      <c r="M46" s="1283"/>
      <c r="N46" s="1283"/>
      <c r="O46" s="1283"/>
      <c r="P46" s="290"/>
      <c r="Q46" s="288"/>
      <c r="R46" s="289"/>
      <c r="S46" s="1142"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436"/>
      <c r="AP46" s="436" t="str">
        <f t="shared" si="1"/>
        <v xml:space="preserve">Источник тепловой энергии  </v>
      </c>
      <c r="AQ46" s="436"/>
      <c r="AR46" s="436"/>
      <c r="AS46" s="1073">
        <v>23</v>
      </c>
    </row>
    <row r="47" spans="1:45" ht="49.5" customHeight="1">
      <c r="A47" s="1281" t="s">
        <v>155</v>
      </c>
      <c r="B47" s="1281" t="s">
        <v>156</v>
      </c>
      <c r="C47" s="1281" t="s">
        <v>157</v>
      </c>
      <c r="D47" s="1281" t="s">
        <v>158</v>
      </c>
      <c r="E47" s="2457"/>
      <c r="F47" s="2457"/>
      <c r="G47" s="2457"/>
      <c r="H47" s="2457"/>
      <c r="I47" s="2458" t="str">
        <f>S46&amp;".1"</f>
        <v>....1</v>
      </c>
      <c r="J47" s="1281"/>
      <c r="K47" s="1281"/>
      <c r="L47" s="1282" t="s">
        <v>400</v>
      </c>
      <c r="P47" s="2460">
        <v>1</v>
      </c>
      <c r="Q47" s="1138"/>
      <c r="R47" s="292"/>
      <c r="S47" s="1142" t="str">
        <f>$I47</f>
        <v>....1</v>
      </c>
      <c r="T47" s="222" t="s">
        <v>401</v>
      </c>
      <c r="U47" s="237"/>
      <c r="V47" s="2444"/>
      <c r="W47" s="2445"/>
      <c r="X47" s="2445"/>
      <c r="Y47" s="2445"/>
      <c r="Z47" s="2445"/>
      <c r="AA47" s="2445"/>
      <c r="AB47" s="2445"/>
      <c r="AC47" s="2446"/>
      <c r="AD47" s="2444"/>
      <c r="AE47" s="2445"/>
      <c r="AF47" s="2445"/>
      <c r="AG47" s="2445"/>
      <c r="AH47" s="2445"/>
      <c r="AI47" s="2445"/>
      <c r="AJ47" s="2445"/>
      <c r="AK47" s="2445"/>
      <c r="AL47" s="2446"/>
      <c r="AM47" s="1176" t="s">
        <v>402</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155</v>
      </c>
      <c r="B48" s="1281" t="s">
        <v>156</v>
      </c>
      <c r="C48" s="1281" t="s">
        <v>157</v>
      </c>
      <c r="D48" s="1281" t="s">
        <v>158</v>
      </c>
      <c r="E48" s="2457"/>
      <c r="F48" s="2457"/>
      <c r="G48" s="2457"/>
      <c r="H48" s="2457"/>
      <c r="I48" s="2459"/>
      <c r="J48" s="2458" t="str">
        <f>I47&amp;".1"</f>
        <v>....1.1</v>
      </c>
      <c r="K48" s="1281"/>
      <c r="L48" s="1282" t="s">
        <v>403</v>
      </c>
      <c r="P48" s="2460"/>
      <c r="Q48" s="2460">
        <v>1</v>
      </c>
      <c r="R48" s="293"/>
      <c r="S48" s="1142" t="str">
        <f>$J48</f>
        <v>....1.1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436"/>
      <c r="AP48" s="436" t="str">
        <f t="shared" si="1"/>
        <v>Группа потребителей</v>
      </c>
      <c r="AQ48" s="436"/>
      <c r="AR48" s="436"/>
      <c r="AS48" s="1073">
        <v>23</v>
      </c>
    </row>
    <row r="49" spans="1:45" ht="24" customHeight="1">
      <c r="A49" s="1281" t="s">
        <v>155</v>
      </c>
      <c r="B49" s="1281" t="s">
        <v>156</v>
      </c>
      <c r="C49" s="1281" t="s">
        <v>157</v>
      </c>
      <c r="D49" s="1281" t="s">
        <v>158</v>
      </c>
      <c r="E49" s="2457"/>
      <c r="F49" s="2457"/>
      <c r="G49" s="2457"/>
      <c r="H49" s="2457"/>
      <c r="I49" s="2459"/>
      <c r="J49" s="2459"/>
      <c r="K49" s="2458" t="str">
        <f>J48&amp;".1"</f>
        <v>....1.1.1</v>
      </c>
      <c r="L49" s="1282" t="s">
        <v>406</v>
      </c>
      <c r="P49" s="2460"/>
      <c r="Q49" s="2460"/>
      <c r="R49" s="293">
        <v>1</v>
      </c>
      <c r="S49" s="1142" t="str">
        <f>$K49</f>
        <v>....1.1.1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407</v>
      </c>
      <c r="AN49" s="447" t="e">
        <f ca="1">STRCHECKDATE(V50:AL50)</f>
        <v>#NAME?</v>
      </c>
      <c r="AO49" s="436"/>
      <c r="AP49" s="436" t="str">
        <f t="shared" si="1"/>
        <v/>
      </c>
      <c r="AQ49" s="436"/>
      <c r="AR49" s="436"/>
      <c r="AS49" s="1073">
        <v>23</v>
      </c>
    </row>
    <row r="50" spans="1:45" ht="1.1499999999999999" customHeight="1">
      <c r="A50" s="1281" t="s">
        <v>155</v>
      </c>
      <c r="B50" s="1281" t="s">
        <v>156</v>
      </c>
      <c r="C50" s="1281" t="s">
        <v>157</v>
      </c>
      <c r="D50" s="1281" t="s">
        <v>158</v>
      </c>
      <c r="E50" s="2457"/>
      <c r="F50" s="2457"/>
      <c r="G50" s="2457"/>
      <c r="H50" s="2457"/>
      <c r="I50" s="2459"/>
      <c r="J50" s="2459"/>
      <c r="K50" s="2458"/>
      <c r="L50" s="1282"/>
      <c r="P50" s="2460"/>
      <c r="Q50" s="2460"/>
      <c r="R50" s="293"/>
      <c r="S50" s="1141"/>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436"/>
      <c r="AP50" s="436" t="str">
        <f t="shared" si="1"/>
        <v/>
      </c>
      <c r="AQ50" s="436"/>
      <c r="AR50" s="436"/>
      <c r="AS50" s="1073">
        <v>1</v>
      </c>
    </row>
    <row r="51" spans="1:45" ht="11.45" customHeight="1">
      <c r="A51" s="1281" t="s">
        <v>155</v>
      </c>
      <c r="B51" s="1281" t="s">
        <v>156</v>
      </c>
      <c r="C51" s="1281" t="s">
        <v>157</v>
      </c>
      <c r="D51" s="1281" t="s">
        <v>158</v>
      </c>
      <c r="E51" s="2457"/>
      <c r="F51" s="2457"/>
      <c r="G51" s="2457"/>
      <c r="H51" s="2457"/>
      <c r="I51" s="2459"/>
      <c r="J51" s="2458"/>
      <c r="K51" s="1281"/>
      <c r="L51" s="1282"/>
      <c r="P51" s="2460"/>
      <c r="Q51" s="2460"/>
      <c r="R51" s="292"/>
      <c r="S51" s="1196"/>
      <c r="T51" s="225" t="s">
        <v>408</v>
      </c>
      <c r="U51" s="303"/>
      <c r="V51" s="303"/>
      <c r="W51" s="303"/>
      <c r="X51" s="303"/>
      <c r="Y51" s="303"/>
      <c r="Z51" s="303"/>
      <c r="AA51" s="303"/>
      <c r="AB51" s="303"/>
      <c r="AC51" s="303"/>
      <c r="AD51" s="303"/>
      <c r="AE51" s="303"/>
      <c r="AF51" s="303"/>
      <c r="AG51" s="303"/>
      <c r="AH51" s="303"/>
      <c r="AI51" s="303"/>
      <c r="AJ51" s="303"/>
      <c r="AK51" s="303"/>
      <c r="AL51" s="261"/>
      <c r="AM51" s="2481"/>
      <c r="AO51" s="436"/>
      <c r="AP51" s="436" t="str">
        <f t="shared" si="1"/>
        <v>Добавить вид теплоносителя (параметры теплоносителя)</v>
      </c>
      <c r="AQ51" s="436"/>
      <c r="AR51" s="436"/>
      <c r="AS51" s="1073">
        <v>11</v>
      </c>
    </row>
    <row r="52" spans="1:45" ht="11.45" customHeight="1">
      <c r="A52" s="1281" t="s">
        <v>155</v>
      </c>
      <c r="B52" s="1281" t="s">
        <v>156</v>
      </c>
      <c r="C52" s="1281" t="s">
        <v>157</v>
      </c>
      <c r="D52" s="1281" t="s">
        <v>158</v>
      </c>
      <c r="E52" s="2457"/>
      <c r="F52" s="2457"/>
      <c r="G52" s="2457"/>
      <c r="H52" s="2457"/>
      <c r="I52" s="2458"/>
      <c r="J52" s="1281"/>
      <c r="K52" s="1281"/>
      <c r="L52" s="1282"/>
      <c r="P52" s="2460"/>
      <c r="Q52" s="1138"/>
      <c r="R52" s="292"/>
      <c r="S52" s="1196"/>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155</v>
      </c>
      <c r="B53" s="1281" t="s">
        <v>156</v>
      </c>
      <c r="C53" s="1281" t="s">
        <v>157</v>
      </c>
      <c r="D53" s="1281" t="s">
        <v>158</v>
      </c>
      <c r="E53" s="2457"/>
      <c r="F53" s="2457"/>
      <c r="G53" s="2457"/>
      <c r="H53" s="2456"/>
      <c r="I53" s="1281"/>
      <c r="J53" s="1281"/>
      <c r="K53" s="1281"/>
      <c r="L53" s="1282"/>
      <c r="M53" s="1283"/>
      <c r="N53" s="1283"/>
      <c r="O53" s="473"/>
      <c r="P53" s="296"/>
      <c r="Q53" s="311"/>
      <c r="R53" s="291"/>
      <c r="S53" s="1196"/>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034" customFormat="1" ht="1.1499999999999999" customHeight="1">
      <c r="A54" s="1261" t="s">
        <v>155</v>
      </c>
      <c r="B54" s="1261" t="s">
        <v>156</v>
      </c>
      <c r="C54" s="1261" t="s">
        <v>157</v>
      </c>
      <c r="D54" s="1232"/>
      <c r="E54" s="2457"/>
      <c r="F54" s="2457"/>
      <c r="G54" s="2456"/>
      <c r="H54" s="1232"/>
      <c r="I54" s="1232"/>
      <c r="J54" s="1232"/>
      <c r="K54" s="1232"/>
      <c r="L54" s="1257"/>
      <c r="M54" s="1233"/>
      <c r="N54" s="123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34" customFormat="1" ht="1.1499999999999999" customHeight="1">
      <c r="A55" s="1261" t="s">
        <v>155</v>
      </c>
      <c r="B55" s="1261" t="s">
        <v>156</v>
      </c>
      <c r="C55" s="1232"/>
      <c r="D55" s="1232"/>
      <c r="E55" s="2457"/>
      <c r="F55" s="2456"/>
      <c r="G55" s="1232"/>
      <c r="H55" s="1232"/>
      <c r="I55" s="1232"/>
      <c r="J55" s="1232"/>
      <c r="K55" s="1232"/>
      <c r="L55" s="1257"/>
      <c r="M55" s="1239"/>
      <c r="N55" s="1239"/>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34" customFormat="1" ht="1.1499999999999999" customHeight="1">
      <c r="A56" s="1261" t="s">
        <v>155</v>
      </c>
      <c r="B56" s="1261"/>
      <c r="C56" s="1261"/>
      <c r="D56" s="1261"/>
      <c r="E56" s="2456"/>
      <c r="F56" s="1261"/>
      <c r="G56" s="1261"/>
      <c r="H56" s="1261"/>
      <c r="I56" s="1261"/>
      <c r="J56" s="1261"/>
      <c r="K56" s="1261"/>
      <c r="L56" s="1264"/>
      <c r="M56" s="1239"/>
      <c r="N56" s="1239"/>
      <c r="O56" s="454"/>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3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073">
        <v>27</v>
      </c>
    </row>
    <row r="60" spans="1:45" ht="67.150000000000006" customHeight="1">
      <c r="O60" s="473"/>
      <c r="P60" s="1221"/>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073">
        <v>64</v>
      </c>
    </row>
    <row r="61" spans="1:45" ht="14.65" customHeight="1">
      <c r="O61" s="473"/>
      <c r="AS61" s="1073">
        <v>14</v>
      </c>
    </row>
    <row r="62" spans="1:45" ht="18.75" customHeight="1">
      <c r="O62" s="473"/>
      <c r="P62" s="1246"/>
      <c r="S62" s="1171"/>
      <c r="T62" s="2455"/>
      <c r="U62" s="2455"/>
      <c r="V62" s="2455"/>
      <c r="W62" s="2455"/>
      <c r="X62" s="2455"/>
      <c r="Y62" s="2455"/>
      <c r="Z62" s="2455"/>
      <c r="AA62" s="2455"/>
      <c r="AB62" s="2455"/>
      <c r="AC62" s="2455"/>
      <c r="AD62" s="2455"/>
      <c r="AE62" s="2455"/>
      <c r="AF62" s="2455"/>
      <c r="AG62" s="2455"/>
      <c r="AH62" s="2455"/>
      <c r="AI62" s="2455"/>
      <c r="AJ62" s="2455"/>
      <c r="AK62" s="2455"/>
      <c r="AL62" s="2455"/>
      <c r="AM62" s="2455"/>
      <c r="AS62" s="1073">
        <v>18</v>
      </c>
    </row>
    <row r="63" spans="1:45" ht="18.75" customHeight="1">
      <c r="O63" s="473"/>
      <c r="P63" s="1246"/>
      <c r="T63" s="2455"/>
      <c r="U63" s="2455"/>
      <c r="V63" s="2455"/>
      <c r="W63" s="2455"/>
      <c r="X63" s="2455"/>
      <c r="Y63" s="2455"/>
      <c r="Z63" s="2455"/>
      <c r="AA63" s="2455"/>
      <c r="AB63" s="2455"/>
      <c r="AC63" s="2455"/>
      <c r="AD63" s="2455"/>
      <c r="AE63" s="2455"/>
      <c r="AF63" s="2455"/>
      <c r="AG63" s="2455"/>
      <c r="AH63" s="2455"/>
      <c r="AI63" s="2455"/>
      <c r="AJ63" s="2455"/>
      <c r="AK63" s="2455"/>
      <c r="AL63" s="2455"/>
      <c r="AM63" s="2455"/>
      <c r="AS63" s="1073">
        <v>18</v>
      </c>
    </row>
    <row r="64" spans="1:45" ht="29.25" customHeight="1">
      <c r="O64" s="473"/>
      <c r="P64" s="1246"/>
      <c r="S64" s="1171"/>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1"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Y1" s="264"/>
      <c r="Z1" s="264"/>
      <c r="AG1" s="264"/>
      <c r="AH1" s="264"/>
      <c r="AS1" s="1073" t="s">
        <v>14</v>
      </c>
    </row>
    <row r="2" spans="1:45" ht="21" hidden="1" customHeight="1">
      <c r="A2" s="1281"/>
      <c r="B2" s="1281"/>
      <c r="C2" s="1281"/>
      <c r="D2" s="1281"/>
      <c r="E2" s="2456">
        <v>1</v>
      </c>
      <c r="F2" s="1281"/>
      <c r="G2" s="1281"/>
      <c r="H2" s="1281"/>
      <c r="I2" s="1281"/>
      <c r="J2" s="1281"/>
      <c r="K2" s="1281"/>
      <c r="L2" s="1282"/>
      <c r="M2" s="1283"/>
      <c r="N2" s="1283"/>
      <c r="O2" s="1283"/>
      <c r="P2" s="297"/>
      <c r="Q2" s="296"/>
      <c r="R2" s="291"/>
      <c r="S2" s="1254" t="e">
        <f>INDEX(PT_DIFFERENTIATION_NUM_NTAR,MATCH(A2,PT_DIFFERENTIATION_NTAR_ID,0))</f>
        <v>#N/A</v>
      </c>
      <c r="T2" s="235"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436"/>
      <c r="AP2" s="436" t="str">
        <f t="shared" ref="AP2:AP15" si="0">IF(T2="","",T2)</f>
        <v>Наименование тарифа</v>
      </c>
      <c r="AQ2" s="436"/>
      <c r="AR2" s="436"/>
      <c r="AS2" s="1073">
        <v>0</v>
      </c>
    </row>
    <row r="3" spans="1:45" ht="21" hidden="1" customHeight="1">
      <c r="A3" s="1281"/>
      <c r="B3" s="1281"/>
      <c r="C3" s="1281"/>
      <c r="D3" s="1281"/>
      <c r="E3" s="2457"/>
      <c r="F3" s="2456">
        <v>1</v>
      </c>
      <c r="G3" s="1281"/>
      <c r="H3" s="1281"/>
      <c r="I3" s="1281"/>
      <c r="J3" s="1281"/>
      <c r="K3" s="1281"/>
      <c r="L3" s="1282"/>
      <c r="M3" s="1283"/>
      <c r="N3" s="1283"/>
      <c r="O3" s="1283"/>
      <c r="P3" s="1250"/>
      <c r="Q3" s="288"/>
      <c r="R3" s="289"/>
      <c r="S3" s="1254" t="e">
        <f>INDEX(PT_DIFFERENTIATION_NUM_TER,MATCH(B3,PT_DIFFERENTIATION_TER_ID,0))</f>
        <v>#N/A</v>
      </c>
      <c r="T3" s="245"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436"/>
      <c r="AP3" s="436" t="str">
        <f t="shared" si="0"/>
        <v>Территория действия тарифа</v>
      </c>
      <c r="AQ3" s="436"/>
      <c r="AR3" s="436"/>
      <c r="AS3" s="1073">
        <v>0</v>
      </c>
    </row>
    <row r="4" spans="1:45" ht="23.25" hidden="1" customHeight="1">
      <c r="A4" s="1281"/>
      <c r="B4" s="1281"/>
      <c r="C4" s="1281"/>
      <c r="D4" s="1281"/>
      <c r="E4" s="2457"/>
      <c r="F4" s="2457"/>
      <c r="G4" s="2456">
        <v>1</v>
      </c>
      <c r="H4" s="1281"/>
      <c r="I4" s="1281"/>
      <c r="J4" s="1281"/>
      <c r="K4" s="1281"/>
      <c r="L4" s="1282"/>
      <c r="M4" s="1283"/>
      <c r="N4" s="1283"/>
      <c r="O4" s="1283"/>
      <c r="P4" s="290"/>
      <c r="Q4" s="288"/>
      <c r="R4" s="289"/>
      <c r="S4" s="1254"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57"/>
      <c r="F5" s="2457"/>
      <c r="G5" s="2457"/>
      <c r="H5" s="2456">
        <v>1</v>
      </c>
      <c r="I5" s="1281"/>
      <c r="J5" s="1281"/>
      <c r="K5" s="1281"/>
      <c r="L5" s="1282"/>
      <c r="M5" s="1283"/>
      <c r="N5" s="1283"/>
      <c r="O5" s="1283"/>
      <c r="P5" s="290"/>
      <c r="Q5" s="288"/>
      <c r="R5" s="289"/>
      <c r="S5" s="1254"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436"/>
      <c r="AP5" s="436" t="str">
        <f t="shared" si="0"/>
        <v xml:space="preserve">Источник тепловой энергии  </v>
      </c>
      <c r="AQ5" s="436"/>
      <c r="AR5" s="436"/>
      <c r="AS5" s="1073">
        <v>0</v>
      </c>
    </row>
    <row r="6" spans="1:45" ht="47.25" hidden="1" customHeight="1">
      <c r="A6" s="1281"/>
      <c r="B6" s="1281"/>
      <c r="C6" s="1281"/>
      <c r="D6" s="1281"/>
      <c r="E6" s="2457"/>
      <c r="F6" s="2457"/>
      <c r="G6" s="2457"/>
      <c r="H6" s="2457"/>
      <c r="I6" s="2458" t="e">
        <f>S5&amp;".1"</f>
        <v>#N/A</v>
      </c>
      <c r="J6" s="1281"/>
      <c r="K6" s="1281"/>
      <c r="L6" s="1282" t="s">
        <v>400</v>
      </c>
      <c r="M6" s="473"/>
      <c r="P6" s="2460">
        <v>1</v>
      </c>
      <c r="Q6" s="1249"/>
      <c r="R6" s="292"/>
      <c r="S6" s="1254" t="e">
        <f>$I6</f>
        <v>#N/A</v>
      </c>
      <c r="T6" s="222" t="s">
        <v>401</v>
      </c>
      <c r="U6" s="237"/>
      <c r="V6" s="2444"/>
      <c r="W6" s="2445"/>
      <c r="X6" s="2445"/>
      <c r="Y6" s="2445"/>
      <c r="Z6" s="2445"/>
      <c r="AA6" s="2445"/>
      <c r="AB6" s="2445"/>
      <c r="AC6" s="2446"/>
      <c r="AD6" s="2444"/>
      <c r="AE6" s="2445"/>
      <c r="AF6" s="2445"/>
      <c r="AG6" s="2445"/>
      <c r="AH6" s="2445"/>
      <c r="AI6" s="2445"/>
      <c r="AJ6" s="2445"/>
      <c r="AK6" s="2445"/>
      <c r="AL6" s="2446"/>
      <c r="AM6" s="1176" t="s">
        <v>402</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57"/>
      <c r="F7" s="2457"/>
      <c r="G7" s="2457"/>
      <c r="H7" s="2457"/>
      <c r="I7" s="2459"/>
      <c r="J7" s="2458" t="e">
        <f>I6&amp;".1"</f>
        <v>#N/A</v>
      </c>
      <c r="K7" s="1281"/>
      <c r="L7" s="1282" t="s">
        <v>403</v>
      </c>
      <c r="M7" s="473"/>
      <c r="N7" s="1284"/>
      <c r="P7" s="2460"/>
      <c r="Q7" s="2460">
        <v>1</v>
      </c>
      <c r="R7" s="293"/>
      <c r="S7" s="1254"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436"/>
      <c r="AP7" s="436" t="str">
        <f t="shared" si="0"/>
        <v>Группа потребителей</v>
      </c>
      <c r="AQ7" s="436"/>
      <c r="AR7" s="436"/>
      <c r="AS7" s="1073">
        <v>0</v>
      </c>
    </row>
    <row r="8" spans="1:45" ht="21" hidden="1" customHeight="1">
      <c r="A8" s="1281"/>
      <c r="B8" s="1281"/>
      <c r="C8" s="1281"/>
      <c r="D8" s="1281"/>
      <c r="E8" s="2457"/>
      <c r="F8" s="2457"/>
      <c r="G8" s="2457"/>
      <c r="H8" s="2457"/>
      <c r="I8" s="2459"/>
      <c r="J8" s="2459"/>
      <c r="K8" s="2458" t="e">
        <f>J7&amp;".1"</f>
        <v>#N/A</v>
      </c>
      <c r="L8" s="1282" t="s">
        <v>406</v>
      </c>
      <c r="M8" s="473"/>
      <c r="N8" s="1284"/>
      <c r="O8" s="1284"/>
      <c r="P8" s="2460"/>
      <c r="Q8" s="2460"/>
      <c r="R8" s="293">
        <v>1</v>
      </c>
      <c r="S8" s="1254" t="e">
        <f>$K8</f>
        <v>#N/A</v>
      </c>
      <c r="T8" s="1265"/>
      <c r="U8" s="237"/>
      <c r="V8" s="687"/>
      <c r="W8" s="262"/>
      <c r="X8" s="687"/>
      <c r="Y8" s="1175"/>
      <c r="Z8" s="2461"/>
      <c r="AA8" s="2338" t="s">
        <v>67</v>
      </c>
      <c r="AB8" s="2461"/>
      <c r="AC8" s="2338" t="s">
        <v>67</v>
      </c>
      <c r="AD8" s="687"/>
      <c r="AE8" s="262"/>
      <c r="AF8" s="687"/>
      <c r="AG8" s="1175"/>
      <c r="AH8" s="2461"/>
      <c r="AI8" s="2338" t="s">
        <v>67</v>
      </c>
      <c r="AJ8" s="2461"/>
      <c r="AK8" s="2338" t="s">
        <v>67</v>
      </c>
      <c r="AL8" s="262"/>
      <c r="AM8" s="2479" t="s">
        <v>407</v>
      </c>
      <c r="AN8" s="447" t="e">
        <f ca="1">STRCHECKDATE(V9:AL9)</f>
        <v>#NAME?</v>
      </c>
      <c r="AO8" s="436"/>
      <c r="AP8" s="436" t="str">
        <f t="shared" si="0"/>
        <v/>
      </c>
      <c r="AQ8" s="436"/>
      <c r="AR8" s="436"/>
      <c r="AS8" s="1073">
        <v>0</v>
      </c>
    </row>
    <row r="9" spans="1:45" ht="0.75" hidden="1" customHeight="1">
      <c r="A9" s="1281"/>
      <c r="B9" s="1281"/>
      <c r="C9" s="1281"/>
      <c r="D9" s="1281"/>
      <c r="E9" s="2457"/>
      <c r="F9" s="2457"/>
      <c r="G9" s="2457"/>
      <c r="H9" s="2457"/>
      <c r="I9" s="2459"/>
      <c r="J9" s="2459"/>
      <c r="K9" s="2458"/>
      <c r="L9" s="1282"/>
      <c r="M9" s="473"/>
      <c r="N9" s="1284"/>
      <c r="O9" s="1284"/>
      <c r="P9" s="2460"/>
      <c r="Q9" s="2460"/>
      <c r="R9" s="293"/>
      <c r="S9" s="1260"/>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436"/>
      <c r="AP9" s="436" t="str">
        <f t="shared" si="0"/>
        <v/>
      </c>
      <c r="AQ9" s="436"/>
      <c r="AR9" s="436"/>
      <c r="AS9" s="1073">
        <v>0</v>
      </c>
    </row>
    <row r="10" spans="1:45" ht="15" hidden="1" customHeight="1">
      <c r="A10" s="1281"/>
      <c r="B10" s="1281"/>
      <c r="C10" s="1281"/>
      <c r="D10" s="1281"/>
      <c r="E10" s="2457"/>
      <c r="F10" s="2457"/>
      <c r="G10" s="2457"/>
      <c r="H10" s="2457"/>
      <c r="I10" s="2459"/>
      <c r="J10" s="2458"/>
      <c r="K10" s="1281"/>
      <c r="L10" s="1282"/>
      <c r="M10" s="473"/>
      <c r="N10" s="1284"/>
      <c r="P10" s="2460"/>
      <c r="Q10" s="2460"/>
      <c r="R10" s="292"/>
      <c r="S10" s="1196"/>
      <c r="T10" s="225" t="s">
        <v>408</v>
      </c>
      <c r="U10" s="303"/>
      <c r="V10" s="303"/>
      <c r="W10" s="303"/>
      <c r="X10" s="303"/>
      <c r="Y10" s="303"/>
      <c r="Z10" s="303"/>
      <c r="AA10" s="303"/>
      <c r="AB10" s="303"/>
      <c r="AC10" s="303"/>
      <c r="AD10" s="303"/>
      <c r="AE10" s="303"/>
      <c r="AF10" s="303"/>
      <c r="AG10" s="303"/>
      <c r="AH10" s="303"/>
      <c r="AI10" s="303"/>
      <c r="AJ10" s="303"/>
      <c r="AK10" s="303"/>
      <c r="AL10" s="261"/>
      <c r="AM10" s="24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57"/>
      <c r="F11" s="2457"/>
      <c r="G11" s="2457"/>
      <c r="H11" s="2457"/>
      <c r="I11" s="2458"/>
      <c r="J11" s="1281"/>
      <c r="K11" s="1281"/>
      <c r="L11" s="1282"/>
      <c r="M11" s="473"/>
      <c r="P11" s="2460"/>
      <c r="Q11" s="1249"/>
      <c r="R11" s="292"/>
      <c r="S11" s="1196"/>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57"/>
      <c r="F12" s="2457"/>
      <c r="G12" s="2457"/>
      <c r="H12" s="2456"/>
      <c r="I12" s="1281"/>
      <c r="J12" s="1281"/>
      <c r="K12" s="1281"/>
      <c r="L12" s="1282"/>
      <c r="M12" s="1283"/>
      <c r="N12" s="1283"/>
      <c r="O12" s="473"/>
      <c r="P12" s="296"/>
      <c r="Q12" s="311"/>
      <c r="R12" s="291"/>
      <c r="S12" s="1196"/>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034" customFormat="1" ht="0.75" hidden="1" customHeight="1">
      <c r="A13" s="1232"/>
      <c r="B13" s="1232"/>
      <c r="C13" s="1232"/>
      <c r="D13" s="1232"/>
      <c r="E13" s="2457"/>
      <c r="F13" s="2457"/>
      <c r="G13" s="2456"/>
      <c r="H13" s="1232"/>
      <c r="I13" s="1232"/>
      <c r="J13" s="1232"/>
      <c r="K13" s="1232"/>
      <c r="L13" s="1257"/>
      <c r="M13" s="1233"/>
      <c r="N13" s="123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34" customFormat="1" ht="0.75" hidden="1" customHeight="1">
      <c r="A14" s="1232"/>
      <c r="B14" s="1232"/>
      <c r="C14" s="1232"/>
      <c r="D14" s="1232"/>
      <c r="E14" s="2457"/>
      <c r="F14" s="2456"/>
      <c r="G14" s="1232"/>
      <c r="H14" s="1232"/>
      <c r="I14" s="1232"/>
      <c r="J14" s="1232"/>
      <c r="K14" s="1232"/>
      <c r="L14" s="1257"/>
      <c r="M14" s="1239"/>
      <c r="N14" s="1239"/>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34" customFormat="1" ht="0.75" hidden="1" customHeight="1">
      <c r="A15" s="1232"/>
      <c r="B15" s="1232"/>
      <c r="C15" s="1232"/>
      <c r="D15" s="1232"/>
      <c r="E15" s="2456"/>
      <c r="F15" s="1232"/>
      <c r="G15" s="1232"/>
      <c r="H15" s="1232"/>
      <c r="I15" s="1232"/>
      <c r="J15" s="1232"/>
      <c r="K15" s="1232"/>
      <c r="L15" s="1257"/>
      <c r="M15" s="1239"/>
      <c r="N15" s="1239"/>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54"/>
      <c r="AI17" s="2453" t="s">
        <v>67</v>
      </c>
      <c r="AJ17" s="2454"/>
      <c r="AK17" s="2453" t="s">
        <v>67</v>
      </c>
      <c r="AS17" s="1073">
        <v>0</v>
      </c>
    </row>
    <row r="18" spans="1:45" ht="14.25" hidden="1" customHeight="1">
      <c r="AD18" s="1278"/>
      <c r="AE18" s="1278"/>
      <c r="AF18" s="1278"/>
      <c r="AG18" s="265" t="str">
        <f>AH17&amp;"-"&amp;AJ17</f>
        <v>-</v>
      </c>
      <c r="AH18" s="2453"/>
      <c r="AI18" s="2453"/>
      <c r="AJ18" s="2453"/>
      <c r="AK18" s="2453"/>
      <c r="AS18" s="1073">
        <v>0</v>
      </c>
    </row>
    <row r="19" spans="1:45" ht="14.25" hidden="1" customHeight="1">
      <c r="AK19" s="264"/>
      <c r="AS19" s="1073">
        <v>0</v>
      </c>
    </row>
    <row r="20" spans="1:45" s="2056" customFormat="1" ht="22.5" hidden="1" customHeight="1">
      <c r="L20" s="1247"/>
      <c r="M20" s="1280"/>
      <c r="N20" s="1280"/>
      <c r="O20" s="1285" t="s">
        <v>414</v>
      </c>
      <c r="P20" s="1280"/>
      <c r="Q20" s="1289"/>
      <c r="R20" s="1289"/>
      <c r="S20" s="665"/>
      <c r="Z20" s="1285"/>
      <c r="AB20" s="1285"/>
      <c r="AC20" s="1284"/>
      <c r="AH20" s="1285"/>
      <c r="AJ20" s="1285"/>
      <c r="AK20" s="1284"/>
      <c r="AN20" s="447"/>
      <c r="AO20" s="447"/>
      <c r="AP20" s="447"/>
      <c r="AQ20" s="447"/>
      <c r="AR20" s="447"/>
      <c r="AS20" s="1078">
        <v>0</v>
      </c>
    </row>
    <row r="21" spans="1:45" s="205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56" customFormat="1" ht="14.25" hidden="1" customHeight="1">
      <c r="L22" s="1247"/>
      <c r="M22" s="1280"/>
      <c r="N22" s="1280"/>
      <c r="O22" s="1282" t="s">
        <v>415</v>
      </c>
      <c r="P22" s="1280"/>
      <c r="Q22" s="1289"/>
      <c r="R22" s="1289"/>
      <c r="S22" s="665"/>
      <c r="T22" s="1078" t="s">
        <v>416</v>
      </c>
      <c r="AA22" s="123" t="s">
        <v>417</v>
      </c>
      <c r="AC22" s="123" t="s">
        <v>418</v>
      </c>
      <c r="AD22" s="1078" t="s">
        <v>416</v>
      </c>
      <c r="AI22" s="123" t="s">
        <v>419</v>
      </c>
      <c r="AK22" s="123" t="s">
        <v>418</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4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7"/>
      <c r="U26" s="2437"/>
      <c r="V26" s="2437"/>
      <c r="W26" s="2437"/>
      <c r="X26" s="2437"/>
      <c r="Y26" s="2437"/>
      <c r="Z26" s="2437"/>
      <c r="AA26" s="2437"/>
      <c r="AB26" s="2437"/>
      <c r="AC26" s="2437"/>
      <c r="AD26" s="2437"/>
      <c r="AE26" s="2437"/>
      <c r="AF26" s="2437"/>
      <c r="AG26" s="2437"/>
      <c r="AH26" s="2437"/>
      <c r="AI26" s="2437"/>
      <c r="AJ26" s="2437"/>
      <c r="AK26" s="1161"/>
      <c r="AS26" s="1073">
        <v>14</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098" customFormat="1" ht="25.5" hidden="1" customHeight="1">
      <c r="A29" s="1286"/>
      <c r="B29" s="1286"/>
      <c r="C29" s="1286"/>
      <c r="D29" s="1286"/>
      <c r="E29" s="1286"/>
      <c r="F29" s="1286"/>
      <c r="G29" s="1286"/>
      <c r="H29" s="1286"/>
      <c r="I29" s="1286"/>
      <c r="J29" s="1286"/>
      <c r="K29" s="1286"/>
      <c r="L29" s="1287"/>
      <c r="M29" s="1286"/>
      <c r="N29" s="1286"/>
      <c r="O29" s="1286"/>
      <c r="S29" s="2447" t="s">
        <v>43</v>
      </c>
      <c r="T29" s="2447"/>
      <c r="U29" s="1290"/>
      <c r="V29" s="2449" t="str">
        <f>IF(TITLE_NAME_OR_PR_CHANGE="",IF(TITLE_NAME_OR_PR="","",TITLE_NAME_OR_PR),TITLE_NAME_OR_PR_CHANGE)</f>
        <v/>
      </c>
      <c r="W29" s="2449"/>
      <c r="X29" s="2449"/>
      <c r="Y29" s="2449"/>
      <c r="Z29" s="2449"/>
      <c r="AA29" s="2449"/>
      <c r="AB29" s="2449"/>
      <c r="AC29" s="263"/>
      <c r="AD29" s="2449" t="str">
        <f>IF(TITLE_NAME_OR_PR_CHANGE="",IF(TITLE_NAME_OR_PR="","",TITLE_NAME_OR_PR),TITLE_NAME_OR_PR_CHANGE)</f>
        <v/>
      </c>
      <c r="AE29" s="2449"/>
      <c r="AF29" s="2449"/>
      <c r="AG29" s="2449"/>
      <c r="AH29" s="2449"/>
      <c r="AI29" s="2449"/>
      <c r="AJ29" s="2449"/>
      <c r="AK29" s="263"/>
      <c r="AL29" s="263"/>
      <c r="AM29" s="217"/>
      <c r="AN29" s="304"/>
      <c r="AO29" s="304"/>
      <c r="AP29" s="304"/>
      <c r="AQ29" s="304"/>
      <c r="AR29" s="304"/>
      <c r="AS29" s="354">
        <v>0</v>
      </c>
    </row>
    <row r="30" spans="1:45" s="2098" customFormat="1" ht="18.75" hidden="1" customHeight="1">
      <c r="A30" s="1286"/>
      <c r="B30" s="1286"/>
      <c r="C30" s="1286"/>
      <c r="D30" s="1286"/>
      <c r="E30" s="1286"/>
      <c r="F30" s="1286"/>
      <c r="G30" s="1286"/>
      <c r="H30" s="1286"/>
      <c r="I30" s="1286"/>
      <c r="J30" s="1286"/>
      <c r="K30" s="1286"/>
      <c r="L30" s="1287"/>
      <c r="M30" s="1286"/>
      <c r="N30" s="1286"/>
      <c r="O30" s="1286"/>
      <c r="S30" s="2447" t="s">
        <v>420</v>
      </c>
      <c r="T30" s="2447"/>
      <c r="U30" s="1290"/>
      <c r="V30" s="2448" t="str">
        <f>IF(TITLE_DATE_PR_CHANGE="",IF(TITLE_DATE_PR="","",TITLE_DATE_PR),TITLE_DATE_PR_CHANGE)</f>
        <v/>
      </c>
      <c r="W30" s="2448"/>
      <c r="X30" s="2448"/>
      <c r="Y30" s="2448"/>
      <c r="Z30" s="2448"/>
      <c r="AA30" s="2448"/>
      <c r="AB30" s="2448"/>
      <c r="AC30" s="263"/>
      <c r="AD30" s="2448" t="str">
        <f>IF(TITLE_DATE_PR_CHANGE="",IF(TITLE_DATE_PR="","",TITLE_DATE_PR),TITLE_DATE_PR_CHANGE)</f>
        <v/>
      </c>
      <c r="AE30" s="2448"/>
      <c r="AF30" s="2448"/>
      <c r="AG30" s="2448"/>
      <c r="AH30" s="2448"/>
      <c r="AI30" s="2448"/>
      <c r="AJ30" s="2448"/>
      <c r="AK30" s="263"/>
      <c r="AL30" s="263"/>
      <c r="AM30" s="217"/>
      <c r="AN30" s="304"/>
      <c r="AO30" s="304"/>
      <c r="AP30" s="304"/>
      <c r="AQ30" s="304"/>
      <c r="AR30" s="304"/>
      <c r="AS30" s="354">
        <v>0</v>
      </c>
    </row>
    <row r="31" spans="1:45" s="2098" customFormat="1" ht="18.75" hidden="1" customHeight="1">
      <c r="A31" s="1286"/>
      <c r="B31" s="1286"/>
      <c r="C31" s="1286"/>
      <c r="D31" s="1286"/>
      <c r="E31" s="1286"/>
      <c r="F31" s="1286"/>
      <c r="G31" s="1286"/>
      <c r="H31" s="1286"/>
      <c r="I31" s="1286"/>
      <c r="J31" s="1286"/>
      <c r="K31" s="1286"/>
      <c r="L31" s="1287"/>
      <c r="M31" s="1286"/>
      <c r="N31" s="1286"/>
      <c r="O31" s="1286"/>
      <c r="S31" s="2447" t="s">
        <v>421</v>
      </c>
      <c r="T31" s="2447"/>
      <c r="U31" s="1290"/>
      <c r="V31" s="2449" t="str">
        <f>IF(TITLE_NUMBER_PR_CHANGE="",IF(TITLE_NUMBER_PR="","",TITLE_NUMBER_PR),TITLE_NUMBER_PR_CHANGE)</f>
        <v/>
      </c>
      <c r="W31" s="2449"/>
      <c r="X31" s="2449"/>
      <c r="Y31" s="2449"/>
      <c r="Z31" s="2449"/>
      <c r="AA31" s="2449"/>
      <c r="AB31" s="2449"/>
      <c r="AC31" s="263"/>
      <c r="AD31" s="2449" t="str">
        <f>IF(TITLE_NUMBER_PR_CHANGE="",IF(TITLE_NUMBER_PR="","",TITLE_NUMBER_PR),TITLE_NUMBER_PR_CHANGE)</f>
        <v/>
      </c>
      <c r="AE31" s="2449"/>
      <c r="AF31" s="2449"/>
      <c r="AG31" s="2449"/>
      <c r="AH31" s="2449"/>
      <c r="AI31" s="2449"/>
      <c r="AJ31" s="2449"/>
      <c r="AK31" s="263"/>
      <c r="AL31" s="263"/>
      <c r="AM31" s="217"/>
      <c r="AN31" s="304"/>
      <c r="AO31" s="304"/>
      <c r="AP31" s="304"/>
      <c r="AQ31" s="304"/>
      <c r="AR31" s="304"/>
      <c r="AS31" s="354">
        <v>0</v>
      </c>
    </row>
    <row r="32" spans="1:45" s="2098" customFormat="1" ht="18.75" hidden="1" customHeight="1">
      <c r="A32" s="1286"/>
      <c r="B32" s="1286"/>
      <c r="C32" s="1286"/>
      <c r="D32" s="1286"/>
      <c r="E32" s="1286"/>
      <c r="F32" s="1286"/>
      <c r="G32" s="1286"/>
      <c r="H32" s="1286"/>
      <c r="I32" s="1286"/>
      <c r="J32" s="1286"/>
      <c r="K32" s="1286"/>
      <c r="L32" s="1287"/>
      <c r="M32" s="1286"/>
      <c r="N32" s="1286"/>
      <c r="O32" s="1286"/>
      <c r="S32" s="2447" t="s">
        <v>44</v>
      </c>
      <c r="T32" s="2447"/>
      <c r="U32" s="1290"/>
      <c r="V32" s="2449" t="str">
        <f>IF(TITLE_IST_PUB_CHANGE="",IF(TITLE_IST_PUB="","",TITLE_IST_PUB),TITLE_IST_PUB_CHANGE)</f>
        <v/>
      </c>
      <c r="W32" s="2449"/>
      <c r="X32" s="2449"/>
      <c r="Y32" s="2449"/>
      <c r="Z32" s="2449"/>
      <c r="AA32" s="2449"/>
      <c r="AB32" s="2449"/>
      <c r="AC32" s="263"/>
      <c r="AD32" s="2449" t="str">
        <f>IF(TITLE_IST_PUB_CHANGE="",IF(TITLE_IST_PUB="","",TITLE_IST_PUB),TITLE_IST_PUB_CHANGE)</f>
        <v/>
      </c>
      <c r="AE32" s="2449"/>
      <c r="AF32" s="2449"/>
      <c r="AG32" s="2449"/>
      <c r="AH32" s="2449"/>
      <c r="AI32" s="2449"/>
      <c r="AJ32" s="2449"/>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098" customFormat="1" ht="18.75" hidden="1" customHeight="1">
      <c r="A34" s="1286"/>
      <c r="B34" s="1286"/>
      <c r="C34" s="1286"/>
      <c r="D34" s="1286"/>
      <c r="E34" s="1286"/>
      <c r="F34" s="1286"/>
      <c r="G34" s="1286"/>
      <c r="H34" s="1286"/>
      <c r="I34" s="1286"/>
      <c r="J34" s="1286"/>
      <c r="K34" s="1286"/>
      <c r="L34" s="1287"/>
      <c r="M34" s="1286"/>
      <c r="N34" s="1286"/>
      <c r="O34" s="1286"/>
      <c r="S34" s="2447" t="s">
        <v>422</v>
      </c>
      <c r="T34" s="2447"/>
      <c r="U34" s="1290"/>
      <c r="V34" s="2448" t="str">
        <f>IF(TITLE_DATE_PR_CHANGE="",IF(TITLE_DATE_PR="","",TITLE_DATE_PR),TITLE_DATE_PR_CHANGE)</f>
        <v/>
      </c>
      <c r="W34" s="2448"/>
      <c r="X34" s="2448"/>
      <c r="Y34" s="2448"/>
      <c r="Z34" s="2448"/>
      <c r="AA34" s="2448"/>
      <c r="AB34" s="2448"/>
      <c r="AC34" s="263"/>
      <c r="AD34" s="2448" t="str">
        <f>IF(TITLE_DATE_PR_CHANGE="",IF(TITLE_DATE_PR="","",TITLE_DATE_PR),TITLE_DATE_PR_CHANGE)</f>
        <v/>
      </c>
      <c r="AE34" s="2448"/>
      <c r="AF34" s="2448"/>
      <c r="AG34" s="2448"/>
      <c r="AH34" s="2448"/>
      <c r="AI34" s="2448"/>
      <c r="AJ34" s="2448"/>
      <c r="AK34" s="263"/>
      <c r="AL34" s="263"/>
      <c r="AM34" s="217"/>
      <c r="AN34" s="304"/>
      <c r="AO34" s="304"/>
      <c r="AP34" s="304"/>
      <c r="AQ34" s="304"/>
      <c r="AR34" s="304"/>
      <c r="AS34" s="354">
        <v>0</v>
      </c>
    </row>
    <row r="35" spans="1:45" s="2098" customFormat="1" ht="18.75" hidden="1" customHeight="1">
      <c r="A35" s="1286"/>
      <c r="B35" s="1286"/>
      <c r="C35" s="1286"/>
      <c r="D35" s="1286"/>
      <c r="E35" s="1286"/>
      <c r="F35" s="1286"/>
      <c r="G35" s="1286"/>
      <c r="H35" s="1286"/>
      <c r="I35" s="1286"/>
      <c r="J35" s="1286"/>
      <c r="K35" s="1286"/>
      <c r="L35" s="1287"/>
      <c r="M35" s="1286"/>
      <c r="N35" s="1286"/>
      <c r="O35" s="1286"/>
      <c r="S35" s="2447" t="s">
        <v>423</v>
      </c>
      <c r="T35" s="2447"/>
      <c r="U35" s="1290"/>
      <c r="V35" s="2449" t="str">
        <f>IF(TITLE_NUMBER_PR_CHANGE="",IF(TITLE_NUMBER_PR="","",TITLE_NUMBER_PR),TITLE_NUMBER_PR_CHANGE)</f>
        <v/>
      </c>
      <c r="W35" s="2449"/>
      <c r="X35" s="2449"/>
      <c r="Y35" s="2449"/>
      <c r="Z35" s="2449"/>
      <c r="AA35" s="2449"/>
      <c r="AB35" s="2449"/>
      <c r="AC35" s="263"/>
      <c r="AD35" s="2449" t="str">
        <f>IF(TITLE_NUMBER_PR_CHANGE="",IF(TITLE_NUMBER_PR="","",TITLE_NUMBER_PR),TITLE_NUMBER_PR_CHANGE)</f>
        <v/>
      </c>
      <c r="AE35" s="2449"/>
      <c r="AF35" s="2449"/>
      <c r="AG35" s="2449"/>
      <c r="AH35" s="2449"/>
      <c r="AI35" s="2449"/>
      <c r="AJ35" s="2449"/>
      <c r="AK35" s="263"/>
      <c r="AL35" s="263"/>
      <c r="AM35" s="217"/>
      <c r="AN35" s="304"/>
      <c r="AO35" s="304"/>
      <c r="AP35" s="304"/>
      <c r="AQ35" s="304"/>
      <c r="AR35" s="304"/>
      <c r="AS35" s="354">
        <v>0</v>
      </c>
    </row>
    <row r="36" spans="1:45" s="2098"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193"/>
      <c r="T37" s="299"/>
      <c r="U37" s="1162"/>
      <c r="V37" s="2468"/>
      <c r="W37" s="2468"/>
      <c r="X37" s="2468"/>
      <c r="Y37" s="2468"/>
      <c r="Z37" s="2468"/>
      <c r="AA37" s="2468"/>
      <c r="AB37" s="2468"/>
      <c r="AC37" s="2468"/>
      <c r="AD37" s="2468"/>
      <c r="AE37" s="2468"/>
      <c r="AF37" s="2468"/>
      <c r="AG37" s="2468"/>
      <c r="AH37" s="2468"/>
      <c r="AI37" s="2468"/>
      <c r="AJ37" s="2468"/>
      <c r="AK37" s="2468"/>
      <c r="AS37" s="1073">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073">
        <v>14</v>
      </c>
    </row>
    <row r="39" spans="1:45" ht="14.65" customHeight="1">
      <c r="Q39" s="312"/>
      <c r="R39" s="312"/>
      <c r="S39" s="2469" t="s">
        <v>90</v>
      </c>
      <c r="T39" s="2417" t="s">
        <v>425</v>
      </c>
      <c r="U39" s="238"/>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073">
        <v>14</v>
      </c>
    </row>
    <row r="40" spans="1:45" ht="35.65" customHeight="1">
      <c r="Q40" s="312"/>
      <c r="R40" s="312"/>
      <c r="S40" s="2469"/>
      <c r="T40" s="2417"/>
      <c r="U40" s="954"/>
      <c r="V40" s="2387" t="s">
        <v>430</v>
      </c>
      <c r="W40" s="2465" t="s">
        <v>431</v>
      </c>
      <c r="X40" s="2310" t="s">
        <v>432</v>
      </c>
      <c r="Y40" s="2309"/>
      <c r="Z40" s="2310" t="s">
        <v>446</v>
      </c>
      <c r="AA40" s="2315"/>
      <c r="AB40" s="2309"/>
      <c r="AC40" s="2474"/>
      <c r="AD40" s="2387" t="s">
        <v>430</v>
      </c>
      <c r="AE40" s="2465" t="s">
        <v>431</v>
      </c>
      <c r="AF40" s="2310" t="s">
        <v>432</v>
      </c>
      <c r="AG40" s="2309"/>
      <c r="AH40" s="2310" t="s">
        <v>433</v>
      </c>
      <c r="AI40" s="2315"/>
      <c r="AJ40" s="2309"/>
      <c r="AK40" s="2474"/>
      <c r="AL40" s="2477"/>
      <c r="AM40" s="2328"/>
      <c r="AS40" s="1073">
        <v>34</v>
      </c>
    </row>
    <row r="41" spans="1:45" ht="35.65" customHeight="1">
      <c r="A41" s="1288"/>
      <c r="B41" s="1288" t="s">
        <v>134</v>
      </c>
      <c r="C41" s="1288" t="s">
        <v>135</v>
      </c>
      <c r="D41" s="1288" t="s">
        <v>136</v>
      </c>
      <c r="E41" s="1282" t="s">
        <v>434</v>
      </c>
      <c r="F41" s="1282" t="s">
        <v>435</v>
      </c>
      <c r="G41" s="1282" t="s">
        <v>436</v>
      </c>
      <c r="H41" s="1282" t="s">
        <v>437</v>
      </c>
      <c r="I41" s="1282" t="s">
        <v>438</v>
      </c>
      <c r="J41" s="1282" t="s">
        <v>439</v>
      </c>
      <c r="K41" s="1282" t="s">
        <v>440</v>
      </c>
      <c r="L41" s="1282" t="s">
        <v>415</v>
      </c>
      <c r="Q41" s="312"/>
      <c r="R41" s="312"/>
      <c r="S41" s="2469"/>
      <c r="T41" s="2417"/>
      <c r="U41" s="239"/>
      <c r="V41" s="2442"/>
      <c r="W41" s="2466"/>
      <c r="X41" s="1140" t="s">
        <v>441</v>
      </c>
      <c r="Y41" s="1140" t="s">
        <v>442</v>
      </c>
      <c r="Z41" s="1256" t="s">
        <v>443</v>
      </c>
      <c r="AA41" s="2422" t="s">
        <v>444</v>
      </c>
      <c r="AB41" s="2436"/>
      <c r="AC41" s="2475"/>
      <c r="AD41" s="2442"/>
      <c r="AE41" s="2466"/>
      <c r="AF41" s="1140" t="s">
        <v>441</v>
      </c>
      <c r="AG41" s="1140" t="s">
        <v>442</v>
      </c>
      <c r="AH41" s="1256" t="s">
        <v>443</v>
      </c>
      <c r="AI41" s="2422" t="s">
        <v>444</v>
      </c>
      <c r="AJ41" s="2436"/>
      <c r="AK41" s="2475"/>
      <c r="AL41" s="2478"/>
      <c r="AM41" s="2328"/>
      <c r="AS41" s="1073">
        <v>34</v>
      </c>
    </row>
    <row r="42" spans="1:45" s="20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467">
        <f ca="1">OFFSET(AA42,0,-1)+1</f>
        <v>4</v>
      </c>
      <c r="AB42" s="2467"/>
      <c r="AC42" s="1253">
        <f ca="1">OFFSET(AC42,0,-2)+1</f>
        <v>5</v>
      </c>
      <c r="AD42" s="1253">
        <f ca="1">OFFSET(AD42,0,-1)+1</f>
        <v>6</v>
      </c>
      <c r="AE42" s="1253"/>
      <c r="AF42" s="1253">
        <f ca="1">OFFSET(AF42,0,-1)+1</f>
        <v>1</v>
      </c>
      <c r="AG42" s="1253">
        <f ca="1">OFFSET(AG42,0,-1)+1</f>
        <v>2</v>
      </c>
      <c r="AH42" s="1253">
        <f ca="1">OFFSET(AH42,0,-1)+1</f>
        <v>3</v>
      </c>
      <c r="AI42" s="2467">
        <f ca="1">OFFSET(AI42,0,-1)+1</f>
        <v>4</v>
      </c>
      <c r="AJ42" s="2467"/>
      <c r="AK42" s="1253">
        <f ca="1">OFFSET(AK42,0,-2)+1</f>
        <v>5</v>
      </c>
      <c r="AL42" s="1163">
        <f ca="1">OFFSET(AL42,0,-1)</f>
        <v>5</v>
      </c>
      <c r="AM42" s="1253">
        <f ca="1">OFFSET(AM42,0,-1)+1</f>
        <v>6</v>
      </c>
      <c r="AN42" s="447"/>
      <c r="AO42" s="447"/>
      <c r="AP42" s="447"/>
      <c r="AQ42" s="447"/>
      <c r="AR42" s="447"/>
      <c r="AS42" s="432">
        <v>0</v>
      </c>
    </row>
    <row r="43" spans="1:45" ht="21.95" customHeight="1">
      <c r="A43" s="1281" t="s">
        <v>160</v>
      </c>
      <c r="B43" s="1281"/>
      <c r="C43" s="1281"/>
      <c r="D43" s="1281"/>
      <c r="E43" s="2456">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160</v>
      </c>
      <c r="B44" s="1281" t="s">
        <v>161</v>
      </c>
      <c r="C44" s="1281"/>
      <c r="D44" s="1281"/>
      <c r="E44" s="2457"/>
      <c r="F44" s="2456">
        <v>1</v>
      </c>
      <c r="G44" s="1281"/>
      <c r="H44" s="1281"/>
      <c r="I44" s="1281"/>
      <c r="J44" s="1281"/>
      <c r="K44" s="1281"/>
      <c r="L44" s="1282"/>
      <c r="M44" s="1283"/>
      <c r="N44" s="1283"/>
      <c r="O44" s="1283"/>
      <c r="P44" s="1250"/>
      <c r="Q44" s="288"/>
      <c r="R44" s="289"/>
      <c r="S44" s="1254" t="str">
        <f>INDEX(PT_DIFFERENTIATION_NUM_TER,MATCH(B44,PT_DIFFERENTIATION_TER_ID,0))</f>
        <v>.</v>
      </c>
      <c r="T44" s="245"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436"/>
      <c r="AP44" s="436" t="str">
        <f t="shared" si="1"/>
        <v>Территория действия тарифа</v>
      </c>
      <c r="AQ44" s="436"/>
      <c r="AR44" s="436"/>
      <c r="AS44" s="1073">
        <v>21</v>
      </c>
    </row>
    <row r="45" spans="1:45" ht="24" customHeight="1">
      <c r="A45" s="1281" t="s">
        <v>160</v>
      </c>
      <c r="B45" s="1281" t="s">
        <v>161</v>
      </c>
      <c r="C45" s="1281" t="s">
        <v>162</v>
      </c>
      <c r="D45" s="1281"/>
      <c r="E45" s="2457"/>
      <c r="F45" s="2457"/>
      <c r="G45" s="2456">
        <v>1</v>
      </c>
      <c r="H45" s="1281"/>
      <c r="I45" s="1281"/>
      <c r="J45" s="1281"/>
      <c r="K45" s="1281"/>
      <c r="L45" s="1282"/>
      <c r="M45" s="1283"/>
      <c r="N45" s="1283"/>
      <c r="O45" s="1283"/>
      <c r="P45" s="290"/>
      <c r="Q45" s="288"/>
      <c r="R45" s="289"/>
      <c r="S45" s="1254"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436"/>
      <c r="AP45" s="436" t="str">
        <f t="shared" si="1"/>
        <v xml:space="preserve">Наименование системы теплоснабжения </v>
      </c>
      <c r="AQ45" s="436"/>
      <c r="AR45" s="436"/>
      <c r="AS45" s="1073">
        <v>23</v>
      </c>
    </row>
    <row r="46" spans="1:45" ht="21.95" customHeight="1">
      <c r="A46" s="1281" t="s">
        <v>160</v>
      </c>
      <c r="B46" s="1281" t="s">
        <v>161</v>
      </c>
      <c r="C46" s="1281" t="s">
        <v>162</v>
      </c>
      <c r="D46" s="1281" t="s">
        <v>163</v>
      </c>
      <c r="E46" s="2457"/>
      <c r="F46" s="2457"/>
      <c r="G46" s="2457"/>
      <c r="H46" s="2456">
        <v>1</v>
      </c>
      <c r="I46" s="1281"/>
      <c r="J46" s="1281"/>
      <c r="K46" s="1281"/>
      <c r="L46" s="1282"/>
      <c r="M46" s="1283"/>
      <c r="N46" s="1283"/>
      <c r="O46" s="1283"/>
      <c r="P46" s="290"/>
      <c r="Q46" s="288"/>
      <c r="R46" s="289"/>
      <c r="S46" s="1254"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436"/>
      <c r="AP46" s="436" t="str">
        <f t="shared" si="1"/>
        <v xml:space="preserve">Источник тепловой энергии  </v>
      </c>
      <c r="AQ46" s="436"/>
      <c r="AR46" s="436"/>
      <c r="AS46" s="1073">
        <v>21</v>
      </c>
    </row>
    <row r="47" spans="1:45" ht="49.5" customHeight="1">
      <c r="A47" s="1281" t="s">
        <v>160</v>
      </c>
      <c r="B47" s="1281" t="s">
        <v>161</v>
      </c>
      <c r="C47" s="1281" t="s">
        <v>162</v>
      </c>
      <c r="D47" s="1281" t="s">
        <v>163</v>
      </c>
      <c r="E47" s="2457"/>
      <c r="F47" s="2457"/>
      <c r="G47" s="2457"/>
      <c r="H47" s="2457"/>
      <c r="I47" s="2458" t="str">
        <f>S46&amp;".1"</f>
        <v>....1</v>
      </c>
      <c r="J47" s="1281"/>
      <c r="K47" s="1281"/>
      <c r="L47" s="1282" t="s">
        <v>400</v>
      </c>
      <c r="P47" s="2460">
        <v>1</v>
      </c>
      <c r="Q47" s="1249"/>
      <c r="R47" s="292"/>
      <c r="S47" s="1254" t="str">
        <f>$I47</f>
        <v>....1</v>
      </c>
      <c r="T47" s="222" t="s">
        <v>401</v>
      </c>
      <c r="U47" s="237"/>
      <c r="V47" s="2444"/>
      <c r="W47" s="2445"/>
      <c r="X47" s="2445"/>
      <c r="Y47" s="2445"/>
      <c r="Z47" s="2445"/>
      <c r="AA47" s="2445"/>
      <c r="AB47" s="2445"/>
      <c r="AC47" s="2446"/>
      <c r="AD47" s="2444"/>
      <c r="AE47" s="2445"/>
      <c r="AF47" s="2445"/>
      <c r="AG47" s="2445"/>
      <c r="AH47" s="2445"/>
      <c r="AI47" s="2445"/>
      <c r="AJ47" s="2445"/>
      <c r="AK47" s="2445"/>
      <c r="AL47" s="2446"/>
      <c r="AM47" s="1176" t="s">
        <v>402</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160</v>
      </c>
      <c r="B48" s="1281" t="s">
        <v>161</v>
      </c>
      <c r="C48" s="1281" t="s">
        <v>162</v>
      </c>
      <c r="D48" s="1281" t="s">
        <v>163</v>
      </c>
      <c r="E48" s="2457"/>
      <c r="F48" s="2457"/>
      <c r="G48" s="2457"/>
      <c r="H48" s="2457"/>
      <c r="I48" s="2459"/>
      <c r="J48" s="2458" t="str">
        <f>I47&amp;".1"</f>
        <v>....1.1</v>
      </c>
      <c r="K48" s="1281"/>
      <c r="L48" s="1282" t="s">
        <v>403</v>
      </c>
      <c r="P48" s="2460"/>
      <c r="Q48" s="2460">
        <v>1</v>
      </c>
      <c r="R48" s="293"/>
      <c r="S48" s="1254" t="str">
        <f>$J48</f>
        <v>....1.1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436"/>
      <c r="AP48" s="436" t="str">
        <f t="shared" si="1"/>
        <v>Группа потребителей</v>
      </c>
      <c r="AQ48" s="436"/>
      <c r="AR48" s="436"/>
      <c r="AS48" s="1073">
        <v>21</v>
      </c>
    </row>
    <row r="49" spans="1:45" ht="21.95" customHeight="1">
      <c r="A49" s="1281" t="s">
        <v>160</v>
      </c>
      <c r="B49" s="1281" t="s">
        <v>161</v>
      </c>
      <c r="C49" s="1281" t="s">
        <v>162</v>
      </c>
      <c r="D49" s="1281" t="s">
        <v>163</v>
      </c>
      <c r="E49" s="2457"/>
      <c r="F49" s="2457"/>
      <c r="G49" s="2457"/>
      <c r="H49" s="2457"/>
      <c r="I49" s="2459"/>
      <c r="J49" s="2459"/>
      <c r="K49" s="2458" t="str">
        <f>J48&amp;".1"</f>
        <v>....1.1.1</v>
      </c>
      <c r="L49" s="1282" t="s">
        <v>406</v>
      </c>
      <c r="P49" s="2460"/>
      <c r="Q49" s="2460"/>
      <c r="R49" s="293">
        <v>1</v>
      </c>
      <c r="S49" s="1254" t="str">
        <f>$K49</f>
        <v>....1.1.1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407</v>
      </c>
      <c r="AN49" s="447" t="e">
        <f ca="1">STRCHECKDATE(V50:AL50)</f>
        <v>#NAME?</v>
      </c>
      <c r="AO49" s="436"/>
      <c r="AP49" s="436" t="str">
        <f t="shared" si="1"/>
        <v/>
      </c>
      <c r="AQ49" s="436"/>
      <c r="AR49" s="436"/>
      <c r="AS49" s="1073">
        <v>21</v>
      </c>
    </row>
    <row r="50" spans="1:45" ht="1.1499999999999999" customHeight="1">
      <c r="A50" s="1281" t="s">
        <v>160</v>
      </c>
      <c r="B50" s="1281" t="s">
        <v>161</v>
      </c>
      <c r="C50" s="1281" t="s">
        <v>162</v>
      </c>
      <c r="D50" s="1281" t="s">
        <v>163</v>
      </c>
      <c r="E50" s="2457"/>
      <c r="F50" s="2457"/>
      <c r="G50" s="2457"/>
      <c r="H50" s="2457"/>
      <c r="I50" s="2459"/>
      <c r="J50" s="2459"/>
      <c r="K50" s="2458"/>
      <c r="L50" s="1282"/>
      <c r="P50" s="2460"/>
      <c r="Q50" s="2460"/>
      <c r="R50" s="293"/>
      <c r="S50" s="1260"/>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436"/>
      <c r="AP50" s="436" t="str">
        <f t="shared" si="1"/>
        <v/>
      </c>
      <c r="AQ50" s="436"/>
      <c r="AR50" s="436"/>
      <c r="AS50" s="1073">
        <v>1</v>
      </c>
    </row>
    <row r="51" spans="1:45" ht="11.45" customHeight="1">
      <c r="A51" s="1281" t="s">
        <v>160</v>
      </c>
      <c r="B51" s="1281" t="s">
        <v>161</v>
      </c>
      <c r="C51" s="1281" t="s">
        <v>162</v>
      </c>
      <c r="D51" s="1281" t="s">
        <v>163</v>
      </c>
      <c r="E51" s="2457"/>
      <c r="F51" s="2457"/>
      <c r="G51" s="2457"/>
      <c r="H51" s="2457"/>
      <c r="I51" s="2459"/>
      <c r="J51" s="2458"/>
      <c r="K51" s="1281"/>
      <c r="L51" s="1282"/>
      <c r="P51" s="2460"/>
      <c r="Q51" s="2460"/>
      <c r="R51" s="292"/>
      <c r="S51" s="1196"/>
      <c r="T51" s="225" t="s">
        <v>408</v>
      </c>
      <c r="U51" s="303"/>
      <c r="V51" s="303"/>
      <c r="W51" s="303"/>
      <c r="X51" s="303"/>
      <c r="Y51" s="303"/>
      <c r="Z51" s="303"/>
      <c r="AA51" s="303"/>
      <c r="AB51" s="303"/>
      <c r="AC51" s="303"/>
      <c r="AD51" s="303"/>
      <c r="AE51" s="303"/>
      <c r="AF51" s="303"/>
      <c r="AG51" s="303"/>
      <c r="AH51" s="303"/>
      <c r="AI51" s="303"/>
      <c r="AJ51" s="303"/>
      <c r="AK51" s="303"/>
      <c r="AL51" s="261"/>
      <c r="AM51" s="2481"/>
      <c r="AO51" s="436"/>
      <c r="AP51" s="436" t="str">
        <f t="shared" si="1"/>
        <v>Добавить вид теплоносителя (параметры теплоносителя)</v>
      </c>
      <c r="AQ51" s="436"/>
      <c r="AR51" s="436"/>
      <c r="AS51" s="1073">
        <v>11</v>
      </c>
    </row>
    <row r="52" spans="1:45" ht="11.45" customHeight="1">
      <c r="A52" s="1281" t="s">
        <v>160</v>
      </c>
      <c r="B52" s="1281" t="s">
        <v>161</v>
      </c>
      <c r="C52" s="1281" t="s">
        <v>162</v>
      </c>
      <c r="D52" s="1281" t="s">
        <v>163</v>
      </c>
      <c r="E52" s="2457"/>
      <c r="F52" s="2457"/>
      <c r="G52" s="2457"/>
      <c r="H52" s="2457"/>
      <c r="I52" s="2458"/>
      <c r="J52" s="1281"/>
      <c r="K52" s="1281"/>
      <c r="L52" s="1282"/>
      <c r="P52" s="2460"/>
      <c r="Q52" s="1249"/>
      <c r="R52" s="292"/>
      <c r="S52" s="1196"/>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160</v>
      </c>
      <c r="B53" s="1281" t="s">
        <v>161</v>
      </c>
      <c r="C53" s="1281" t="s">
        <v>162</v>
      </c>
      <c r="D53" s="1281" t="s">
        <v>163</v>
      </c>
      <c r="E53" s="2457"/>
      <c r="F53" s="2457"/>
      <c r="G53" s="2457"/>
      <c r="H53" s="2456"/>
      <c r="I53" s="1281"/>
      <c r="J53" s="1281"/>
      <c r="K53" s="1281"/>
      <c r="L53" s="1282"/>
      <c r="M53" s="1283"/>
      <c r="N53" s="1283"/>
      <c r="O53" s="473"/>
      <c r="P53" s="296"/>
      <c r="Q53" s="311"/>
      <c r="R53" s="291"/>
      <c r="S53" s="1196"/>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034" customFormat="1" ht="1.1499999999999999" customHeight="1">
      <c r="A54" s="1261" t="s">
        <v>160</v>
      </c>
      <c r="B54" s="1261" t="s">
        <v>161</v>
      </c>
      <c r="C54" s="1261" t="s">
        <v>162</v>
      </c>
      <c r="D54" s="1232"/>
      <c r="E54" s="2457"/>
      <c r="F54" s="2457"/>
      <c r="G54" s="2456"/>
      <c r="H54" s="1232"/>
      <c r="I54" s="1232"/>
      <c r="J54" s="1232"/>
      <c r="K54" s="1232"/>
      <c r="L54" s="1257"/>
      <c r="M54" s="1233"/>
      <c r="N54" s="123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34" customFormat="1" ht="1.1499999999999999" customHeight="1">
      <c r="A55" s="1261" t="s">
        <v>160</v>
      </c>
      <c r="B55" s="1261" t="s">
        <v>161</v>
      </c>
      <c r="C55" s="1232"/>
      <c r="D55" s="1232"/>
      <c r="E55" s="2457"/>
      <c r="F55" s="2456"/>
      <c r="G55" s="1232"/>
      <c r="H55" s="1232"/>
      <c r="I55" s="1232"/>
      <c r="J55" s="1232"/>
      <c r="K55" s="1232"/>
      <c r="L55" s="1257"/>
      <c r="M55" s="1239"/>
      <c r="N55" s="1239"/>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34" customFormat="1" ht="1.1499999999999999" customHeight="1">
      <c r="A56" s="1261" t="s">
        <v>160</v>
      </c>
      <c r="B56" s="1261"/>
      <c r="C56" s="1261"/>
      <c r="D56" s="1261"/>
      <c r="E56" s="2456"/>
      <c r="F56" s="1261"/>
      <c r="G56" s="1261"/>
      <c r="H56" s="1261"/>
      <c r="I56" s="1261"/>
      <c r="J56" s="1261"/>
      <c r="K56" s="1261"/>
      <c r="L56" s="1264"/>
      <c r="M56" s="1239"/>
      <c r="N56" s="1239"/>
      <c r="O56" s="454"/>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3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073">
        <v>27</v>
      </c>
    </row>
    <row r="60" spans="1:45" ht="65.25" customHeight="1">
      <c r="O60" s="47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073">
        <v>62</v>
      </c>
    </row>
    <row r="61" spans="1:45" ht="14.65" customHeight="1">
      <c r="O61" s="473"/>
      <c r="AS61" s="1073">
        <v>14</v>
      </c>
    </row>
    <row r="62" spans="1:45" ht="18.75" customHeight="1">
      <c r="O62" s="473"/>
      <c r="S62" s="1171"/>
      <c r="T62" s="2455"/>
      <c r="U62" s="2455"/>
      <c r="V62" s="2455"/>
      <c r="W62" s="2455"/>
      <c r="X62" s="2455"/>
      <c r="Y62" s="2455"/>
      <c r="Z62" s="2455"/>
      <c r="AA62" s="2455"/>
      <c r="AB62" s="2455"/>
      <c r="AC62" s="2455"/>
      <c r="AD62" s="2455"/>
      <c r="AE62" s="2455"/>
      <c r="AF62" s="2455"/>
      <c r="AG62" s="2455"/>
      <c r="AH62" s="2455"/>
      <c r="AI62" s="2455"/>
      <c r="AJ62" s="2455"/>
      <c r="AK62" s="2455"/>
      <c r="AL62" s="2455"/>
      <c r="AM62" s="2455"/>
      <c r="AS62" s="1073">
        <v>18</v>
      </c>
    </row>
    <row r="63" spans="1:45" ht="18.75" customHeight="1">
      <c r="O63" s="473"/>
      <c r="T63" s="2455"/>
      <c r="U63" s="2455"/>
      <c r="V63" s="2455"/>
      <c r="W63" s="2455"/>
      <c r="X63" s="2455"/>
      <c r="Y63" s="2455"/>
      <c r="Z63" s="2455"/>
      <c r="AA63" s="2455"/>
      <c r="AB63" s="2455"/>
      <c r="AC63" s="2455"/>
      <c r="AD63" s="2455"/>
      <c r="AE63" s="2455"/>
      <c r="AF63" s="2455"/>
      <c r="AG63" s="2455"/>
      <c r="AH63" s="2455"/>
      <c r="AI63" s="2455"/>
      <c r="AJ63" s="2455"/>
      <c r="AK63" s="2455"/>
      <c r="AL63" s="2455"/>
      <c r="AM63" s="2455"/>
      <c r="AS63" s="1073">
        <v>18</v>
      </c>
    </row>
    <row r="64" spans="1:45" ht="29.25" customHeight="1">
      <c r="O64" s="473"/>
      <c r="S64" s="1171"/>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62" hidden="1"/>
    <col min="2" max="2" width="11" style="2062" hidden="1" customWidth="1"/>
    <col min="3" max="3" width="10.5703125" style="2062" hidden="1"/>
    <col min="4" max="4" width="11.85546875" style="2062" hidden="1" customWidth="1"/>
    <col min="5" max="5" width="10" style="2062" hidden="1" customWidth="1"/>
    <col min="6" max="6" width="8.7109375" style="2062" hidden="1" customWidth="1"/>
    <col min="7" max="7" width="7.5703125" style="2062" hidden="1" customWidth="1"/>
    <col min="8" max="8" width="11.42578125" style="2062" hidden="1" customWidth="1"/>
    <col min="9" max="9" width="12" style="2062" hidden="1" customWidth="1"/>
    <col min="10" max="10" width="9.85546875" style="2062" hidden="1" customWidth="1"/>
    <col min="11" max="11" width="11.42578125" style="2062" hidden="1" customWidth="1"/>
    <col min="12" max="12" width="19.140625" style="2107" hidden="1" customWidth="1"/>
    <col min="13" max="14" width="12.28515625" style="2109" hidden="1" customWidth="1"/>
    <col min="15" max="15" width="23.42578125" style="2109" hidden="1" customWidth="1"/>
    <col min="16" max="16" width="3" style="2109" customWidth="1"/>
    <col min="17" max="18" width="3" style="2059" customWidth="1"/>
    <col min="19" max="19" width="12" style="2106" customWidth="1"/>
    <col min="20" max="20" width="31"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AS1" s="1549" t="s">
        <v>14</v>
      </c>
    </row>
    <row r="2" spans="1:45" ht="21" hidden="1" customHeight="1">
      <c r="A2" s="1185"/>
      <c r="B2" s="1185"/>
      <c r="C2" s="1185"/>
      <c r="D2" s="1185"/>
      <c r="E2" s="2482">
        <v>1</v>
      </c>
      <c r="F2" s="1185"/>
      <c r="G2" s="1185"/>
      <c r="H2" s="1185"/>
      <c r="I2" s="1185"/>
      <c r="J2" s="1185"/>
      <c r="K2" s="1185"/>
      <c r="L2" s="1228"/>
      <c r="M2" s="1528"/>
      <c r="N2" s="1528"/>
      <c r="O2" s="1528"/>
      <c r="P2" s="1508"/>
      <c r="Q2" s="296"/>
      <c r="R2" s="291"/>
      <c r="S2" s="1870" t="e">
        <f>INDEX(PT_DIFFERENTIATION_NUM_NTAR,MATCH(A2,PT_DIFFERENTIATION_NTAR_ID,0))</f>
        <v>#N/A</v>
      </c>
      <c r="T2" s="1443"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1542"/>
      <c r="AP2" s="1542" t="str">
        <f t="shared" ref="AP2:AP15" si="0">IF(T2="","",T2)</f>
        <v>Наименование тарифа</v>
      </c>
      <c r="AQ2" s="1542"/>
      <c r="AR2" s="1542"/>
      <c r="AS2" s="1549">
        <v>0</v>
      </c>
    </row>
    <row r="3" spans="1:45" ht="21" hidden="1" customHeight="1">
      <c r="A3" s="1185"/>
      <c r="B3" s="1185"/>
      <c r="C3" s="1185"/>
      <c r="D3" s="1185"/>
      <c r="E3" s="2483"/>
      <c r="F3" s="2482">
        <v>1</v>
      </c>
      <c r="G3" s="1185"/>
      <c r="H3" s="1185"/>
      <c r="I3" s="1185"/>
      <c r="J3" s="1185"/>
      <c r="K3" s="1185"/>
      <c r="L3" s="1228"/>
      <c r="M3" s="1528"/>
      <c r="N3" s="1528"/>
      <c r="O3" s="1528"/>
      <c r="P3" s="1852"/>
      <c r="Q3" s="288"/>
      <c r="R3" s="289"/>
      <c r="S3" s="1870" t="e">
        <f>INDEX(PT_DIFFERENTIATION_NUM_TER,MATCH(B3,PT_DIFFERENTIATION_TER_ID,0))</f>
        <v>#N/A</v>
      </c>
      <c r="T3" s="1440"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1542"/>
      <c r="AP3" s="1542" t="str">
        <f t="shared" si="0"/>
        <v>Территория действия тарифа</v>
      </c>
      <c r="AQ3" s="1542"/>
      <c r="AR3" s="1542"/>
      <c r="AS3" s="1549">
        <v>0</v>
      </c>
    </row>
    <row r="4" spans="1:45" ht="23.25" hidden="1" customHeight="1">
      <c r="A4" s="1185"/>
      <c r="B4" s="1185"/>
      <c r="C4" s="1185"/>
      <c r="D4" s="1185"/>
      <c r="E4" s="2483"/>
      <c r="F4" s="2483"/>
      <c r="G4" s="2482">
        <v>1</v>
      </c>
      <c r="H4" s="1185"/>
      <c r="I4" s="1185"/>
      <c r="J4" s="1185"/>
      <c r="K4" s="1185"/>
      <c r="L4" s="1228"/>
      <c r="M4" s="1528"/>
      <c r="N4" s="1528"/>
      <c r="O4" s="1528"/>
      <c r="P4" s="290"/>
      <c r="Q4" s="288"/>
      <c r="R4" s="289"/>
      <c r="S4" s="1870"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83"/>
      <c r="F5" s="2483"/>
      <c r="G5" s="2483"/>
      <c r="H5" s="2482">
        <v>1</v>
      </c>
      <c r="I5" s="1185"/>
      <c r="J5" s="1185"/>
      <c r="K5" s="1185"/>
      <c r="L5" s="1228"/>
      <c r="M5" s="1528"/>
      <c r="N5" s="1528"/>
      <c r="O5" s="1528"/>
      <c r="P5" s="290"/>
      <c r="Q5" s="288"/>
      <c r="R5" s="289"/>
      <c r="S5" s="1870"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1542"/>
      <c r="AP5" s="1542" t="str">
        <f t="shared" si="0"/>
        <v xml:space="preserve">Источник тепловой энергии  </v>
      </c>
      <c r="AQ5" s="1542"/>
      <c r="AR5" s="1542"/>
      <c r="AS5" s="1549">
        <v>0</v>
      </c>
    </row>
    <row r="6" spans="1:45" ht="47.25" hidden="1" customHeight="1">
      <c r="A6" s="1185"/>
      <c r="B6" s="1185"/>
      <c r="C6" s="1185"/>
      <c r="D6" s="1185"/>
      <c r="E6" s="2483"/>
      <c r="F6" s="2483"/>
      <c r="G6" s="2483"/>
      <c r="H6" s="2483"/>
      <c r="I6" s="2328" t="e">
        <f>S5&amp;".1"</f>
        <v>#N/A</v>
      </c>
      <c r="J6" s="1185"/>
      <c r="K6" s="1185"/>
      <c r="L6" s="1228" t="s">
        <v>400</v>
      </c>
      <c r="M6" s="1553"/>
      <c r="P6" s="2460">
        <v>1</v>
      </c>
      <c r="Q6" s="1866"/>
      <c r="R6" s="292"/>
      <c r="S6" s="1870" t="e">
        <f>$I6</f>
        <v>#N/A</v>
      </c>
      <c r="T6" s="222" t="s">
        <v>401</v>
      </c>
      <c r="U6" s="237"/>
      <c r="V6" s="2444"/>
      <c r="W6" s="2445"/>
      <c r="X6" s="2445"/>
      <c r="Y6" s="2445"/>
      <c r="Z6" s="2445"/>
      <c r="AA6" s="2445"/>
      <c r="AB6" s="2445"/>
      <c r="AC6" s="2446"/>
      <c r="AD6" s="2444"/>
      <c r="AE6" s="2445"/>
      <c r="AF6" s="2445"/>
      <c r="AG6" s="2445"/>
      <c r="AH6" s="2445"/>
      <c r="AI6" s="2445"/>
      <c r="AJ6" s="2445"/>
      <c r="AK6" s="2445"/>
      <c r="AL6" s="2446"/>
      <c r="AM6" s="1176" t="s">
        <v>402</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83"/>
      <c r="F7" s="2483"/>
      <c r="G7" s="2483"/>
      <c r="H7" s="2483"/>
      <c r="I7" s="2310"/>
      <c r="J7" s="2328" t="e">
        <f>I6&amp;".1"</f>
        <v>#N/A</v>
      </c>
      <c r="K7" s="1185"/>
      <c r="L7" s="1228" t="s">
        <v>403</v>
      </c>
      <c r="M7" s="1553"/>
      <c r="N7" s="1549"/>
      <c r="P7" s="2460"/>
      <c r="Q7" s="2460">
        <v>1</v>
      </c>
      <c r="R7" s="293"/>
      <c r="S7" s="1870"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1542"/>
      <c r="AP7" s="1542" t="str">
        <f t="shared" si="0"/>
        <v>Группа потребителей</v>
      </c>
      <c r="AQ7" s="1542"/>
      <c r="AR7" s="1542"/>
      <c r="AS7" s="1549">
        <v>0</v>
      </c>
    </row>
    <row r="8" spans="1:45" ht="21" hidden="1" customHeight="1">
      <c r="A8" s="1185"/>
      <c r="B8" s="1185"/>
      <c r="C8" s="1185"/>
      <c r="D8" s="1185"/>
      <c r="E8" s="2483"/>
      <c r="F8" s="2483"/>
      <c r="G8" s="2483"/>
      <c r="H8" s="2483"/>
      <c r="I8" s="2310"/>
      <c r="J8" s="2310"/>
      <c r="K8" s="2328" t="e">
        <f>J7&amp;".1"</f>
        <v>#N/A</v>
      </c>
      <c r="L8" s="1228" t="s">
        <v>406</v>
      </c>
      <c r="M8" s="1553"/>
      <c r="N8" s="1549"/>
      <c r="O8" s="1549"/>
      <c r="P8" s="2460"/>
      <c r="Q8" s="2460"/>
      <c r="R8" s="293">
        <v>1</v>
      </c>
      <c r="S8" s="1870" t="e">
        <f>$K8</f>
        <v>#N/A</v>
      </c>
      <c r="T8" s="1265"/>
      <c r="U8" s="237"/>
      <c r="V8" s="687"/>
      <c r="W8" s="262"/>
      <c r="X8" s="687"/>
      <c r="Y8" s="1175"/>
      <c r="Z8" s="2461"/>
      <c r="AA8" s="2338" t="s">
        <v>67</v>
      </c>
      <c r="AB8" s="2461"/>
      <c r="AC8" s="2338" t="s">
        <v>67</v>
      </c>
      <c r="AD8" s="687"/>
      <c r="AE8" s="262"/>
      <c r="AF8" s="687"/>
      <c r="AG8" s="1175"/>
      <c r="AH8" s="2461"/>
      <c r="AI8" s="2338" t="s">
        <v>67</v>
      </c>
      <c r="AJ8" s="2461"/>
      <c r="AK8" s="2338" t="s">
        <v>67</v>
      </c>
      <c r="AL8" s="262"/>
      <c r="AM8" s="2479" t="s">
        <v>407</v>
      </c>
      <c r="AN8" s="1554" t="e">
        <f ca="1">STRCHECKDATE(V9:AL9)</f>
        <v>#NAME?</v>
      </c>
      <c r="AO8" s="1542"/>
      <c r="AP8" s="1542" t="str">
        <f t="shared" si="0"/>
        <v/>
      </c>
      <c r="AQ8" s="1542"/>
      <c r="AR8" s="1542"/>
      <c r="AS8" s="1549">
        <v>0</v>
      </c>
    </row>
    <row r="9" spans="1:45" ht="0.75" hidden="1" customHeight="1">
      <c r="A9" s="1185"/>
      <c r="B9" s="1185"/>
      <c r="C9" s="1185"/>
      <c r="D9" s="1185"/>
      <c r="E9" s="2483"/>
      <c r="F9" s="2483"/>
      <c r="G9" s="2483"/>
      <c r="H9" s="2483"/>
      <c r="I9" s="2310"/>
      <c r="J9" s="2310"/>
      <c r="K9" s="2328"/>
      <c r="L9" s="1228"/>
      <c r="M9" s="1553"/>
      <c r="N9" s="1549"/>
      <c r="O9" s="1549"/>
      <c r="P9" s="2460"/>
      <c r="Q9" s="2460"/>
      <c r="R9" s="293"/>
      <c r="S9" s="1879"/>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1542"/>
      <c r="AP9" s="1542" t="str">
        <f t="shared" si="0"/>
        <v/>
      </c>
      <c r="AQ9" s="1542"/>
      <c r="AR9" s="1542"/>
      <c r="AS9" s="1549">
        <v>0</v>
      </c>
    </row>
    <row r="10" spans="1:45" ht="15" hidden="1" customHeight="1">
      <c r="A10" s="1185"/>
      <c r="B10" s="1185"/>
      <c r="C10" s="1185"/>
      <c r="D10" s="1185"/>
      <c r="E10" s="2483"/>
      <c r="F10" s="2483"/>
      <c r="G10" s="2483"/>
      <c r="H10" s="2483"/>
      <c r="I10" s="2310"/>
      <c r="J10" s="2328"/>
      <c r="K10" s="1185"/>
      <c r="L10" s="1228"/>
      <c r="M10" s="1553"/>
      <c r="N10" s="1549"/>
      <c r="P10" s="2460"/>
      <c r="Q10" s="2460"/>
      <c r="R10" s="292"/>
      <c r="S10" s="1196"/>
      <c r="T10" s="225" t="s">
        <v>408</v>
      </c>
      <c r="U10" s="536"/>
      <c r="V10" s="536"/>
      <c r="W10" s="536"/>
      <c r="X10" s="536"/>
      <c r="Y10" s="536"/>
      <c r="Z10" s="536"/>
      <c r="AA10" s="536"/>
      <c r="AB10" s="536"/>
      <c r="AC10" s="536"/>
      <c r="AD10" s="536"/>
      <c r="AE10" s="536"/>
      <c r="AF10" s="536"/>
      <c r="AG10" s="536"/>
      <c r="AH10" s="536"/>
      <c r="AI10" s="536"/>
      <c r="AJ10" s="536"/>
      <c r="AK10" s="536"/>
      <c r="AL10" s="261"/>
      <c r="AM10" s="248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83"/>
      <c r="F11" s="2483"/>
      <c r="G11" s="2483"/>
      <c r="H11" s="2483"/>
      <c r="I11" s="2328"/>
      <c r="J11" s="1185"/>
      <c r="K11" s="1185"/>
      <c r="L11" s="1228"/>
      <c r="M11" s="1553"/>
      <c r="P11" s="2460"/>
      <c r="Q11" s="1866"/>
      <c r="R11" s="292"/>
      <c r="S11" s="1196"/>
      <c r="T11" s="224" t="s">
        <v>409</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483"/>
      <c r="F12" s="2483"/>
      <c r="G12" s="2483"/>
      <c r="H12" s="2482"/>
      <c r="I12" s="1185"/>
      <c r="J12" s="1185"/>
      <c r="K12" s="1185"/>
      <c r="L12" s="1228"/>
      <c r="M12" s="1528"/>
      <c r="N12" s="1528"/>
      <c r="O12" s="1553"/>
      <c r="P12" s="296"/>
      <c r="Q12" s="311"/>
      <c r="R12" s="291"/>
      <c r="S12" s="1196"/>
      <c r="T12" s="301" t="s">
        <v>410</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034" customFormat="1" ht="0.75" hidden="1" customHeight="1">
      <c r="A13" s="1292"/>
      <c r="B13" s="1292"/>
      <c r="C13" s="1292"/>
      <c r="D13" s="1292"/>
      <c r="E13" s="2483"/>
      <c r="F13" s="2483"/>
      <c r="G13" s="2482"/>
      <c r="H13" s="1292"/>
      <c r="I13" s="1292"/>
      <c r="J13" s="1292"/>
      <c r="K13" s="1292"/>
      <c r="L13" s="1295"/>
      <c r="M13" s="1296"/>
      <c r="N13" s="1296"/>
      <c r="O13" s="287"/>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34" customFormat="1" ht="0.75" hidden="1" customHeight="1">
      <c r="A14" s="1292"/>
      <c r="B14" s="1292"/>
      <c r="C14" s="1292"/>
      <c r="D14" s="1292"/>
      <c r="E14" s="2483"/>
      <c r="F14" s="2482"/>
      <c r="G14" s="1292"/>
      <c r="H14" s="1292"/>
      <c r="I14" s="1292"/>
      <c r="J14" s="1292"/>
      <c r="K14" s="1292"/>
      <c r="L14" s="1295"/>
      <c r="M14" s="1297"/>
      <c r="N14" s="1297"/>
      <c r="O14" s="287"/>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34" customFormat="1" ht="0.75" hidden="1" customHeight="1">
      <c r="A15" s="1292"/>
      <c r="B15" s="1292"/>
      <c r="C15" s="1292"/>
      <c r="D15" s="1292"/>
      <c r="E15" s="2482"/>
      <c r="F15" s="1292"/>
      <c r="G15" s="1292"/>
      <c r="H15" s="1292"/>
      <c r="I15" s="1292"/>
      <c r="J15" s="1292"/>
      <c r="K15" s="1292"/>
      <c r="L15" s="1295"/>
      <c r="M15" s="1297"/>
      <c r="N15" s="1297"/>
      <c r="O15" s="287"/>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54"/>
      <c r="AI17" s="2453" t="s">
        <v>67</v>
      </c>
      <c r="AJ17" s="2454"/>
      <c r="AK17" s="2453" t="s">
        <v>67</v>
      </c>
      <c r="AS17" s="1549">
        <v>0</v>
      </c>
    </row>
    <row r="18" spans="1:45" ht="14.25" hidden="1" customHeight="1">
      <c r="AD18" s="1278"/>
      <c r="AE18" s="1278"/>
      <c r="AF18" s="1278"/>
      <c r="AG18" s="265" t="str">
        <f>AH17&amp;"-"&amp;AJ17</f>
        <v>-</v>
      </c>
      <c r="AH18" s="2453"/>
      <c r="AI18" s="2453"/>
      <c r="AJ18" s="2453"/>
      <c r="AK18" s="2453"/>
      <c r="AS18" s="1549">
        <v>0</v>
      </c>
    </row>
    <row r="19" spans="1:45" ht="14.25" hidden="1" customHeight="1">
      <c r="AS19" s="1549">
        <v>0</v>
      </c>
    </row>
    <row r="20" spans="1:45" s="2056" customFormat="1" ht="14.25" hidden="1" customHeight="1">
      <c r="A20" s="1549"/>
      <c r="B20" s="1549"/>
      <c r="C20" s="1549"/>
      <c r="D20" s="1549"/>
      <c r="E20" s="1549"/>
      <c r="F20" s="1549"/>
      <c r="G20" s="1549"/>
      <c r="H20" s="1549"/>
      <c r="I20" s="1549"/>
      <c r="J20" s="1549"/>
      <c r="K20" s="1549"/>
      <c r="L20" s="1851"/>
      <c r="M20" s="1877"/>
      <c r="N20" s="1877"/>
      <c r="O20" s="1263" t="s">
        <v>414</v>
      </c>
      <c r="P20" s="1280"/>
      <c r="Q20" s="1289"/>
      <c r="R20" s="1289"/>
      <c r="S20" s="665"/>
      <c r="Z20" s="1285"/>
      <c r="AB20" s="1285"/>
      <c r="AH20" s="1285"/>
      <c r="AJ20" s="1285"/>
      <c r="AN20" s="1554"/>
      <c r="AO20" s="1554"/>
      <c r="AP20" s="1554"/>
      <c r="AQ20" s="1554"/>
      <c r="AR20" s="1554"/>
      <c r="AS20" s="1284">
        <v>0</v>
      </c>
    </row>
    <row r="21" spans="1:45" s="205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056" customFormat="1" ht="14.25" hidden="1" customHeight="1">
      <c r="A22" s="1549"/>
      <c r="B22" s="1549"/>
      <c r="C22" s="1549"/>
      <c r="D22" s="1549"/>
      <c r="E22" s="1549"/>
      <c r="F22" s="1549"/>
      <c r="G22" s="1549"/>
      <c r="H22" s="1549"/>
      <c r="I22" s="1549"/>
      <c r="J22" s="1549"/>
      <c r="K22" s="1549"/>
      <c r="L22" s="1851"/>
      <c r="M22" s="1877"/>
      <c r="N22" s="1877"/>
      <c r="O22" s="1228" t="s">
        <v>415</v>
      </c>
      <c r="P22" s="1280"/>
      <c r="Q22" s="1289"/>
      <c r="R22" s="1289"/>
      <c r="S22" s="665"/>
      <c r="T22" s="1284" t="s">
        <v>416</v>
      </c>
      <c r="AA22" s="531" t="s">
        <v>417</v>
      </c>
      <c r="AC22" s="531" t="s">
        <v>418</v>
      </c>
      <c r="AD22" s="1284" t="s">
        <v>416</v>
      </c>
      <c r="AI22" s="531" t="s">
        <v>419</v>
      </c>
      <c r="AK22" s="531" t="s">
        <v>418</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4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7"/>
      <c r="U26" s="2437"/>
      <c r="V26" s="2437"/>
      <c r="W26" s="2437"/>
      <c r="X26" s="2437"/>
      <c r="Y26" s="2437"/>
      <c r="Z26" s="2437"/>
      <c r="AA26" s="2437"/>
      <c r="AB26" s="2437"/>
      <c r="AC26" s="2437"/>
      <c r="AD26" s="2437"/>
      <c r="AE26" s="2437"/>
      <c r="AF26" s="2437"/>
      <c r="AG26" s="2437"/>
      <c r="AH26" s="2437"/>
      <c r="AI26" s="2437"/>
      <c r="AJ26" s="2437"/>
      <c r="AK26" s="1161"/>
      <c r="AS26" s="1549">
        <v>14</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098" customFormat="1" ht="25.5" hidden="1" customHeight="1">
      <c r="A29" s="1166"/>
      <c r="B29" s="1166"/>
      <c r="C29" s="1166"/>
      <c r="D29" s="1166"/>
      <c r="E29" s="1166"/>
      <c r="F29" s="1166"/>
      <c r="G29" s="1166"/>
      <c r="H29" s="1166"/>
      <c r="I29" s="1166"/>
      <c r="J29" s="1166"/>
      <c r="K29" s="1166"/>
      <c r="L29" s="1298"/>
      <c r="M29" s="1166"/>
      <c r="N29" s="1166"/>
      <c r="O29" s="1166"/>
      <c r="S29" s="2447" t="s">
        <v>43</v>
      </c>
      <c r="T29" s="2447"/>
      <c r="U29" s="1290"/>
      <c r="V29" s="2449" t="str">
        <f>IF(TITLE_NAME_OR_PR_CHANGE="",IF(TITLE_NAME_OR_PR="","",TITLE_NAME_OR_PR),TITLE_NAME_OR_PR_CHANGE)</f>
        <v/>
      </c>
      <c r="W29" s="2449"/>
      <c r="X29" s="2449"/>
      <c r="Y29" s="2449"/>
      <c r="Z29" s="2449"/>
      <c r="AA29" s="2449"/>
      <c r="AB29" s="2449"/>
      <c r="AC29" s="1553"/>
      <c r="AD29" s="2449" t="str">
        <f>IF(TITLE_NAME_OR_PR_CHANGE="",IF(TITLE_NAME_OR_PR="","",TITLE_NAME_OR_PR),TITLE_NAME_OR_PR_CHANGE)</f>
        <v/>
      </c>
      <c r="AE29" s="2449"/>
      <c r="AF29" s="2449"/>
      <c r="AG29" s="2449"/>
      <c r="AH29" s="2449"/>
      <c r="AI29" s="2449"/>
      <c r="AJ29" s="2449"/>
      <c r="AK29" s="1553"/>
      <c r="AL29" s="1553"/>
      <c r="AM29" s="217"/>
      <c r="AN29" s="304"/>
      <c r="AO29" s="304"/>
      <c r="AP29" s="304"/>
      <c r="AQ29" s="304"/>
      <c r="AR29" s="304"/>
      <c r="AS29" s="354">
        <v>0</v>
      </c>
    </row>
    <row r="30" spans="1:45" s="2098" customFormat="1" ht="18.75" hidden="1" customHeight="1">
      <c r="A30" s="1166"/>
      <c r="B30" s="1166"/>
      <c r="C30" s="1166"/>
      <c r="D30" s="1166"/>
      <c r="E30" s="1166"/>
      <c r="F30" s="1166"/>
      <c r="G30" s="1166"/>
      <c r="H30" s="1166"/>
      <c r="I30" s="1166"/>
      <c r="J30" s="1166"/>
      <c r="K30" s="1166"/>
      <c r="L30" s="1298"/>
      <c r="M30" s="1166"/>
      <c r="N30" s="1166"/>
      <c r="O30" s="1166"/>
      <c r="S30" s="2447" t="s">
        <v>420</v>
      </c>
      <c r="T30" s="2447"/>
      <c r="U30" s="1290"/>
      <c r="V30" s="2448" t="str">
        <f>IF(TITLE_DATE_PR_CHANGE="",IF(TITLE_DATE_PR="","",TITLE_DATE_PR),TITLE_DATE_PR_CHANGE)</f>
        <v/>
      </c>
      <c r="W30" s="2448"/>
      <c r="X30" s="2448"/>
      <c r="Y30" s="2448"/>
      <c r="Z30" s="2448"/>
      <c r="AA30" s="2448"/>
      <c r="AB30" s="2448"/>
      <c r="AC30" s="1553"/>
      <c r="AD30" s="2448" t="str">
        <f>IF(TITLE_DATE_PR_CHANGE="",IF(TITLE_DATE_PR="","",TITLE_DATE_PR),TITLE_DATE_PR_CHANGE)</f>
        <v/>
      </c>
      <c r="AE30" s="2448"/>
      <c r="AF30" s="2448"/>
      <c r="AG30" s="2448"/>
      <c r="AH30" s="2448"/>
      <c r="AI30" s="2448"/>
      <c r="AJ30" s="2448"/>
      <c r="AK30" s="1553"/>
      <c r="AL30" s="1553"/>
      <c r="AM30" s="217"/>
      <c r="AN30" s="304"/>
      <c r="AO30" s="304"/>
      <c r="AP30" s="304"/>
      <c r="AQ30" s="304"/>
      <c r="AR30" s="304"/>
      <c r="AS30" s="354">
        <v>0</v>
      </c>
    </row>
    <row r="31" spans="1:45" s="2098" customFormat="1" ht="18.75" hidden="1" customHeight="1">
      <c r="A31" s="1166"/>
      <c r="B31" s="1166"/>
      <c r="C31" s="1166"/>
      <c r="D31" s="1166"/>
      <c r="E31" s="1166"/>
      <c r="F31" s="1166"/>
      <c r="G31" s="1166"/>
      <c r="H31" s="1166"/>
      <c r="I31" s="1166"/>
      <c r="J31" s="1166"/>
      <c r="K31" s="1166"/>
      <c r="L31" s="1298"/>
      <c r="M31" s="1166"/>
      <c r="N31" s="1166"/>
      <c r="O31" s="1166"/>
      <c r="S31" s="2447" t="s">
        <v>421</v>
      </c>
      <c r="T31" s="2447"/>
      <c r="U31" s="1290"/>
      <c r="V31" s="2449" t="str">
        <f>IF(TITLE_NUMBER_PR_CHANGE="",IF(TITLE_NUMBER_PR="","",TITLE_NUMBER_PR),TITLE_NUMBER_PR_CHANGE)</f>
        <v/>
      </c>
      <c r="W31" s="2449"/>
      <c r="X31" s="2449"/>
      <c r="Y31" s="2449"/>
      <c r="Z31" s="2449"/>
      <c r="AA31" s="2449"/>
      <c r="AB31" s="2449"/>
      <c r="AC31" s="1553"/>
      <c r="AD31" s="2449" t="str">
        <f>IF(TITLE_NUMBER_PR_CHANGE="",IF(TITLE_NUMBER_PR="","",TITLE_NUMBER_PR),TITLE_NUMBER_PR_CHANGE)</f>
        <v/>
      </c>
      <c r="AE31" s="2449"/>
      <c r="AF31" s="2449"/>
      <c r="AG31" s="2449"/>
      <c r="AH31" s="2449"/>
      <c r="AI31" s="2449"/>
      <c r="AJ31" s="2449"/>
      <c r="AK31" s="1553"/>
      <c r="AL31" s="1553"/>
      <c r="AM31" s="217"/>
      <c r="AN31" s="304"/>
      <c r="AO31" s="304"/>
      <c r="AP31" s="304"/>
      <c r="AQ31" s="304"/>
      <c r="AR31" s="304"/>
      <c r="AS31" s="354">
        <v>0</v>
      </c>
    </row>
    <row r="32" spans="1:45" s="2098" customFormat="1" ht="18.75" hidden="1" customHeight="1">
      <c r="A32" s="1166"/>
      <c r="B32" s="1166"/>
      <c r="C32" s="1166"/>
      <c r="D32" s="1166"/>
      <c r="E32" s="1166"/>
      <c r="F32" s="1166"/>
      <c r="G32" s="1166"/>
      <c r="H32" s="1166"/>
      <c r="I32" s="1166"/>
      <c r="J32" s="1166"/>
      <c r="K32" s="1166"/>
      <c r="L32" s="1298"/>
      <c r="M32" s="1166"/>
      <c r="N32" s="1166"/>
      <c r="O32" s="1166"/>
      <c r="S32" s="2447" t="s">
        <v>44</v>
      </c>
      <c r="T32" s="2447"/>
      <c r="U32" s="1290"/>
      <c r="V32" s="2449" t="str">
        <f>IF(TITLE_IST_PUB_CHANGE="",IF(TITLE_IST_PUB="","",TITLE_IST_PUB),TITLE_IST_PUB_CHANGE)</f>
        <v/>
      </c>
      <c r="W32" s="2449"/>
      <c r="X32" s="2449"/>
      <c r="Y32" s="2449"/>
      <c r="Z32" s="2449"/>
      <c r="AA32" s="2449"/>
      <c r="AB32" s="2449"/>
      <c r="AC32" s="1553"/>
      <c r="AD32" s="2449" t="str">
        <f>IF(TITLE_IST_PUB_CHANGE="",IF(TITLE_IST_PUB="","",TITLE_IST_PUB),TITLE_IST_PUB_CHANGE)</f>
        <v/>
      </c>
      <c r="AE32" s="2449"/>
      <c r="AF32" s="2449"/>
      <c r="AG32" s="2449"/>
      <c r="AH32" s="2449"/>
      <c r="AI32" s="2449"/>
      <c r="AJ32" s="2449"/>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098" customFormat="1" ht="18.75" hidden="1" customHeight="1">
      <c r="A34" s="1166"/>
      <c r="B34" s="1166"/>
      <c r="C34" s="1166"/>
      <c r="D34" s="1166"/>
      <c r="E34" s="1166"/>
      <c r="F34" s="1166"/>
      <c r="G34" s="1166"/>
      <c r="H34" s="1166"/>
      <c r="I34" s="1166"/>
      <c r="J34" s="1166"/>
      <c r="K34" s="1166"/>
      <c r="L34" s="1298"/>
      <c r="M34" s="1166"/>
      <c r="N34" s="1166"/>
      <c r="O34" s="1166"/>
      <c r="S34" s="2447" t="s">
        <v>422</v>
      </c>
      <c r="T34" s="2447"/>
      <c r="U34" s="1290"/>
      <c r="V34" s="2448" t="str">
        <f>IF(TITLE_DATE_PR_CHANGE="",IF(TITLE_DATE_PR="","",TITLE_DATE_PR),TITLE_DATE_PR_CHANGE)</f>
        <v/>
      </c>
      <c r="W34" s="2448"/>
      <c r="X34" s="2448"/>
      <c r="Y34" s="2448"/>
      <c r="Z34" s="2448"/>
      <c r="AA34" s="2448"/>
      <c r="AB34" s="2448"/>
      <c r="AC34" s="1553"/>
      <c r="AD34" s="2448" t="str">
        <f>IF(TITLE_DATE_PR_CHANGE="",IF(TITLE_DATE_PR="","",TITLE_DATE_PR),TITLE_DATE_PR_CHANGE)</f>
        <v/>
      </c>
      <c r="AE34" s="2448"/>
      <c r="AF34" s="2448"/>
      <c r="AG34" s="2448"/>
      <c r="AH34" s="2448"/>
      <c r="AI34" s="2448"/>
      <c r="AJ34" s="2448"/>
      <c r="AK34" s="1553"/>
      <c r="AL34" s="1553"/>
      <c r="AM34" s="217"/>
      <c r="AN34" s="304"/>
      <c r="AO34" s="304"/>
      <c r="AP34" s="304"/>
      <c r="AQ34" s="304"/>
      <c r="AR34" s="304"/>
      <c r="AS34" s="354">
        <v>0</v>
      </c>
    </row>
    <row r="35" spans="1:45" s="2098" customFormat="1" ht="18.75" hidden="1" customHeight="1">
      <c r="A35" s="1166"/>
      <c r="B35" s="1166"/>
      <c r="C35" s="1166"/>
      <c r="D35" s="1166"/>
      <c r="E35" s="1166"/>
      <c r="F35" s="1166"/>
      <c r="G35" s="1166"/>
      <c r="H35" s="1166"/>
      <c r="I35" s="1166"/>
      <c r="J35" s="1166"/>
      <c r="K35" s="1166"/>
      <c r="L35" s="1298"/>
      <c r="M35" s="1166"/>
      <c r="N35" s="1166"/>
      <c r="O35" s="1166"/>
      <c r="S35" s="2447" t="s">
        <v>423</v>
      </c>
      <c r="T35" s="2447"/>
      <c r="U35" s="1290"/>
      <c r="V35" s="2449" t="str">
        <f>IF(TITLE_NUMBER_PR_CHANGE="",IF(TITLE_NUMBER_PR="","",TITLE_NUMBER_PR),TITLE_NUMBER_PR_CHANGE)</f>
        <v/>
      </c>
      <c r="W35" s="2449"/>
      <c r="X35" s="2449"/>
      <c r="Y35" s="2449"/>
      <c r="Z35" s="2449"/>
      <c r="AA35" s="2449"/>
      <c r="AB35" s="2449"/>
      <c r="AC35" s="1553"/>
      <c r="AD35" s="2449" t="str">
        <f>IF(TITLE_NUMBER_PR_CHANGE="",IF(TITLE_NUMBER_PR="","",TITLE_NUMBER_PR),TITLE_NUMBER_PR_CHANGE)</f>
        <v/>
      </c>
      <c r="AE35" s="2449"/>
      <c r="AF35" s="2449"/>
      <c r="AG35" s="2449"/>
      <c r="AH35" s="2449"/>
      <c r="AI35" s="2449"/>
      <c r="AJ35" s="2449"/>
      <c r="AK35" s="1553"/>
      <c r="AL35" s="1553"/>
      <c r="AM35" s="217"/>
      <c r="AN35" s="304"/>
      <c r="AO35" s="304"/>
      <c r="AP35" s="304"/>
      <c r="AQ35" s="304"/>
      <c r="AR35" s="304"/>
      <c r="AS35" s="354">
        <v>0</v>
      </c>
    </row>
    <row r="36" spans="1:45" s="209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424</v>
      </c>
      <c r="AD36" s="1553"/>
      <c r="AE36" s="1553"/>
      <c r="AF36" s="1553"/>
      <c r="AG36" s="1553"/>
      <c r="AH36" s="1553"/>
      <c r="AI36" s="1553"/>
      <c r="AJ36" s="1553"/>
      <c r="AK36" s="1560" t="s">
        <v>424</v>
      </c>
      <c r="AN36" s="304"/>
      <c r="AO36" s="304"/>
      <c r="AP36" s="304"/>
      <c r="AQ36" s="304"/>
      <c r="AR36" s="304"/>
      <c r="AS36" s="354">
        <v>0</v>
      </c>
    </row>
    <row r="37" spans="1:45" ht="14.65" customHeight="1">
      <c r="Q37" s="312"/>
      <c r="R37" s="312"/>
      <c r="S37" s="1193"/>
      <c r="T37" s="393"/>
      <c r="U37" s="1162"/>
      <c r="V37" s="2468"/>
      <c r="W37" s="2468"/>
      <c r="X37" s="2468"/>
      <c r="Y37" s="2468"/>
      <c r="Z37" s="2468"/>
      <c r="AA37" s="2468"/>
      <c r="AB37" s="2468"/>
      <c r="AC37" s="2468"/>
      <c r="AD37" s="2468"/>
      <c r="AE37" s="2468"/>
      <c r="AF37" s="2468"/>
      <c r="AG37" s="2468"/>
      <c r="AH37" s="2468"/>
      <c r="AI37" s="2468"/>
      <c r="AJ37" s="2468"/>
      <c r="AK37" s="2468"/>
      <c r="AS37" s="1549">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549">
        <v>14</v>
      </c>
    </row>
    <row r="39" spans="1:45" ht="14.65" customHeight="1">
      <c r="Q39" s="312"/>
      <c r="R39" s="312"/>
      <c r="S39" s="2469" t="s">
        <v>90</v>
      </c>
      <c r="T39" s="2417" t="s">
        <v>425</v>
      </c>
      <c r="U39" s="274"/>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549">
        <v>14</v>
      </c>
    </row>
    <row r="40" spans="1:45" ht="35.65" customHeight="1">
      <c r="Q40" s="312"/>
      <c r="R40" s="312"/>
      <c r="S40" s="2469"/>
      <c r="T40" s="2417"/>
      <c r="U40" s="954"/>
      <c r="V40" s="2387" t="s">
        <v>430</v>
      </c>
      <c r="W40" s="2465" t="s">
        <v>431</v>
      </c>
      <c r="X40" s="2310" t="s">
        <v>432</v>
      </c>
      <c r="Y40" s="2309"/>
      <c r="Z40" s="2310" t="s">
        <v>446</v>
      </c>
      <c r="AA40" s="2315"/>
      <c r="AB40" s="2309"/>
      <c r="AC40" s="2474"/>
      <c r="AD40" s="2387" t="s">
        <v>430</v>
      </c>
      <c r="AE40" s="2465" t="s">
        <v>431</v>
      </c>
      <c r="AF40" s="2310" t="s">
        <v>432</v>
      </c>
      <c r="AG40" s="2309"/>
      <c r="AH40" s="2310" t="s">
        <v>433</v>
      </c>
      <c r="AI40" s="2315"/>
      <c r="AJ40" s="2309"/>
      <c r="AK40" s="2474"/>
      <c r="AL40" s="2477"/>
      <c r="AM40" s="2328"/>
      <c r="AS40" s="1549">
        <v>34</v>
      </c>
    </row>
    <row r="41" spans="1:45" ht="35.65" customHeight="1">
      <c r="A41" s="1184"/>
      <c r="B41" s="1184" t="s">
        <v>134</v>
      </c>
      <c r="C41" s="1184" t="s">
        <v>135</v>
      </c>
      <c r="D41" s="1184" t="s">
        <v>136</v>
      </c>
      <c r="E41" s="1228" t="s">
        <v>434</v>
      </c>
      <c r="F41" s="1228" t="s">
        <v>435</v>
      </c>
      <c r="G41" s="1228" t="s">
        <v>436</v>
      </c>
      <c r="H41" s="1228" t="s">
        <v>437</v>
      </c>
      <c r="I41" s="1228" t="s">
        <v>438</v>
      </c>
      <c r="J41" s="1228" t="s">
        <v>439</v>
      </c>
      <c r="K41" s="1228" t="s">
        <v>440</v>
      </c>
      <c r="L41" s="1228" t="s">
        <v>415</v>
      </c>
      <c r="Q41" s="312"/>
      <c r="R41" s="312"/>
      <c r="S41" s="2469"/>
      <c r="T41" s="2417"/>
      <c r="U41" s="239"/>
      <c r="V41" s="2442"/>
      <c r="W41" s="2466"/>
      <c r="X41" s="1850" t="s">
        <v>441</v>
      </c>
      <c r="Y41" s="1850" t="s">
        <v>442</v>
      </c>
      <c r="Z41" s="1850" t="s">
        <v>443</v>
      </c>
      <c r="AA41" s="2422" t="s">
        <v>444</v>
      </c>
      <c r="AB41" s="2436"/>
      <c r="AC41" s="2475"/>
      <c r="AD41" s="2442"/>
      <c r="AE41" s="2466"/>
      <c r="AF41" s="1850" t="s">
        <v>441</v>
      </c>
      <c r="AG41" s="1850" t="s">
        <v>442</v>
      </c>
      <c r="AH41" s="1850" t="s">
        <v>443</v>
      </c>
      <c r="AI41" s="2422" t="s">
        <v>444</v>
      </c>
      <c r="AJ41" s="2436"/>
      <c r="AK41" s="2475"/>
      <c r="AL41" s="2478"/>
      <c r="AM41" s="2328"/>
      <c r="AS41" s="1549">
        <v>34</v>
      </c>
    </row>
    <row r="42" spans="1:45" s="2028"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108</v>
      </c>
      <c r="T42" s="1173" t="s">
        <v>109</v>
      </c>
      <c r="U42" s="1163" t="str">
        <f ca="1">OFFSET(U42,0,-1)</f>
        <v>2</v>
      </c>
      <c r="V42" s="1868">
        <f ca="1">OFFSET(V42,0,-1)+1</f>
        <v>3</v>
      </c>
      <c r="W42" s="1868"/>
      <c r="X42" s="1868">
        <f ca="1">OFFSET(X42,0,-1)+1</f>
        <v>1</v>
      </c>
      <c r="Y42" s="1868">
        <f ca="1">OFFSET(Y42,0,-1)+1</f>
        <v>2</v>
      </c>
      <c r="Z42" s="1868">
        <f ca="1">OFFSET(Z42,0,-1)+1</f>
        <v>3</v>
      </c>
      <c r="AA42" s="2467">
        <f ca="1">OFFSET(AA42,0,-1)+1</f>
        <v>4</v>
      </c>
      <c r="AB42" s="2467"/>
      <c r="AC42" s="1868">
        <f ca="1">OFFSET(AC42,0,-2)+1</f>
        <v>5</v>
      </c>
      <c r="AD42" s="1868">
        <f ca="1">OFFSET(AD42,0,-1)+1</f>
        <v>6</v>
      </c>
      <c r="AE42" s="1868"/>
      <c r="AF42" s="1868">
        <f ca="1">OFFSET(AF42,0,-1)+1</f>
        <v>1</v>
      </c>
      <c r="AG42" s="1868">
        <f ca="1">OFFSET(AG42,0,-1)+1</f>
        <v>2</v>
      </c>
      <c r="AH42" s="1868">
        <f ca="1">OFFSET(AH42,0,-1)+1</f>
        <v>3</v>
      </c>
      <c r="AI42" s="2467">
        <f ca="1">OFFSET(AI42,0,-1)+1</f>
        <v>4</v>
      </c>
      <c r="AJ42" s="2467"/>
      <c r="AK42" s="1868">
        <f ca="1">OFFSET(AK42,0,-2)+1</f>
        <v>5</v>
      </c>
      <c r="AL42" s="1163">
        <f ca="1">OFFSET(AL42,0,-1)</f>
        <v>5</v>
      </c>
      <c r="AM42" s="1868">
        <f ca="1">OFFSET(AM42,0,-1)+1</f>
        <v>6</v>
      </c>
      <c r="AN42" s="1554"/>
      <c r="AO42" s="1554"/>
      <c r="AP42" s="1554"/>
      <c r="AQ42" s="1554"/>
      <c r="AR42" s="1554"/>
      <c r="AS42" s="1559">
        <v>0</v>
      </c>
    </row>
    <row r="43" spans="1:45" ht="21.95" customHeight="1">
      <c r="A43" s="1185" t="s">
        <v>209</v>
      </c>
      <c r="B43" s="1185"/>
      <c r="C43" s="1185"/>
      <c r="D43" s="1185"/>
      <c r="E43" s="2482">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209</v>
      </c>
      <c r="B44" s="1185" t="s">
        <v>210</v>
      </c>
      <c r="C44" s="1185"/>
      <c r="D44" s="1185"/>
      <c r="E44" s="2483"/>
      <c r="F44" s="2482">
        <v>1</v>
      </c>
      <c r="G44" s="1185"/>
      <c r="H44" s="1185"/>
      <c r="I44" s="1185"/>
      <c r="J44" s="1185"/>
      <c r="K44" s="1185"/>
      <c r="L44" s="1228"/>
      <c r="M44" s="1528"/>
      <c r="N44" s="1528"/>
      <c r="O44" s="1528"/>
      <c r="P44" s="1852"/>
      <c r="Q44" s="288"/>
      <c r="R44" s="289"/>
      <c r="S44" s="1870" t="str">
        <f>INDEX(PT_DIFFERENTIATION_NUM_TER,MATCH(B44,PT_DIFFERENTIATION_TER_ID,0))</f>
        <v>.</v>
      </c>
      <c r="T44" s="1440"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1542"/>
      <c r="AP44" s="1542" t="str">
        <f t="shared" si="1"/>
        <v>Территория действия тарифа</v>
      </c>
      <c r="AQ44" s="1542"/>
      <c r="AR44" s="1542"/>
      <c r="AS44" s="1549">
        <v>21</v>
      </c>
    </row>
    <row r="45" spans="1:45" ht="24" customHeight="1">
      <c r="A45" s="1185" t="s">
        <v>209</v>
      </c>
      <c r="B45" s="1185" t="s">
        <v>210</v>
      </c>
      <c r="C45" s="1185" t="s">
        <v>211</v>
      </c>
      <c r="D45" s="1185"/>
      <c r="E45" s="2483"/>
      <c r="F45" s="2483"/>
      <c r="G45" s="2482">
        <v>1</v>
      </c>
      <c r="H45" s="1185"/>
      <c r="I45" s="1185"/>
      <c r="J45" s="1185"/>
      <c r="K45" s="1185"/>
      <c r="L45" s="1228"/>
      <c r="M45" s="1528"/>
      <c r="N45" s="1528"/>
      <c r="O45" s="1528"/>
      <c r="P45" s="290"/>
      <c r="Q45" s="288"/>
      <c r="R45" s="289"/>
      <c r="S45" s="1870"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1542"/>
      <c r="AP45" s="1542" t="str">
        <f t="shared" si="1"/>
        <v xml:space="preserve">Наименование системы теплоснабжения </v>
      </c>
      <c r="AQ45" s="1542"/>
      <c r="AR45" s="1542"/>
      <c r="AS45" s="1549">
        <v>23</v>
      </c>
    </row>
    <row r="46" spans="1:45" ht="21.95" customHeight="1">
      <c r="A46" s="1185" t="s">
        <v>209</v>
      </c>
      <c r="B46" s="1185" t="s">
        <v>210</v>
      </c>
      <c r="C46" s="1185" t="s">
        <v>211</v>
      </c>
      <c r="D46" s="1185" t="s">
        <v>212</v>
      </c>
      <c r="E46" s="2483"/>
      <c r="F46" s="2483"/>
      <c r="G46" s="2483"/>
      <c r="H46" s="2482">
        <v>1</v>
      </c>
      <c r="I46" s="1185"/>
      <c r="J46" s="1185"/>
      <c r="K46" s="1185"/>
      <c r="L46" s="1228"/>
      <c r="M46" s="1528"/>
      <c r="N46" s="1528"/>
      <c r="O46" s="1528"/>
      <c r="P46" s="290"/>
      <c r="Q46" s="288"/>
      <c r="R46" s="289"/>
      <c r="S46" s="1870"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1542"/>
      <c r="AP46" s="1542" t="str">
        <f t="shared" si="1"/>
        <v xml:space="preserve">Источник тепловой энергии  </v>
      </c>
      <c r="AQ46" s="1542"/>
      <c r="AR46" s="1542"/>
      <c r="AS46" s="1549">
        <v>21</v>
      </c>
    </row>
    <row r="47" spans="1:45" ht="49.5" customHeight="1">
      <c r="A47" s="1185" t="s">
        <v>209</v>
      </c>
      <c r="B47" s="1185" t="s">
        <v>210</v>
      </c>
      <c r="C47" s="1185" t="s">
        <v>211</v>
      </c>
      <c r="D47" s="1185" t="s">
        <v>212</v>
      </c>
      <c r="E47" s="2483"/>
      <c r="F47" s="2483"/>
      <c r="G47" s="2483"/>
      <c r="H47" s="2483"/>
      <c r="I47" s="2328" t="str">
        <f>S46&amp;".1"</f>
        <v>....1</v>
      </c>
      <c r="J47" s="1185"/>
      <c r="K47" s="1185"/>
      <c r="L47" s="1228" t="s">
        <v>400</v>
      </c>
      <c r="P47" s="2460">
        <v>1</v>
      </c>
      <c r="Q47" s="1866"/>
      <c r="R47" s="292"/>
      <c r="S47" s="1870" t="str">
        <f>$I47</f>
        <v>....1</v>
      </c>
      <c r="T47" s="222" t="s">
        <v>401</v>
      </c>
      <c r="U47" s="237"/>
      <c r="V47" s="2444"/>
      <c r="W47" s="2445"/>
      <c r="X47" s="2445"/>
      <c r="Y47" s="2445"/>
      <c r="Z47" s="2445"/>
      <c r="AA47" s="2445"/>
      <c r="AB47" s="2445"/>
      <c r="AC47" s="2446"/>
      <c r="AD47" s="2444"/>
      <c r="AE47" s="2445"/>
      <c r="AF47" s="2445"/>
      <c r="AG47" s="2445"/>
      <c r="AH47" s="2445"/>
      <c r="AI47" s="2445"/>
      <c r="AJ47" s="2445"/>
      <c r="AK47" s="2445"/>
      <c r="AL47" s="2446"/>
      <c r="AM47" s="1176" t="s">
        <v>402</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209</v>
      </c>
      <c r="B48" s="1185" t="s">
        <v>210</v>
      </c>
      <c r="C48" s="1185" t="s">
        <v>211</v>
      </c>
      <c r="D48" s="1185" t="s">
        <v>212</v>
      </c>
      <c r="E48" s="2483"/>
      <c r="F48" s="2483"/>
      <c r="G48" s="2483"/>
      <c r="H48" s="2483"/>
      <c r="I48" s="2310"/>
      <c r="J48" s="2328" t="str">
        <f>I47&amp;".1"</f>
        <v>....1.1</v>
      </c>
      <c r="K48" s="1185"/>
      <c r="L48" s="1228" t="s">
        <v>403</v>
      </c>
      <c r="P48" s="2460"/>
      <c r="Q48" s="2460">
        <v>1</v>
      </c>
      <c r="R48" s="293"/>
      <c r="S48" s="1870" t="str">
        <f>$J48</f>
        <v>....1.1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1542"/>
      <c r="AP48" s="1542" t="str">
        <f t="shared" si="1"/>
        <v>Группа потребителей</v>
      </c>
      <c r="AQ48" s="1542"/>
      <c r="AR48" s="1542"/>
      <c r="AS48" s="1549">
        <v>21</v>
      </c>
    </row>
    <row r="49" spans="1:45" ht="21.95" customHeight="1">
      <c r="A49" s="1185" t="s">
        <v>209</v>
      </c>
      <c r="B49" s="1185" t="s">
        <v>210</v>
      </c>
      <c r="C49" s="1185" t="s">
        <v>211</v>
      </c>
      <c r="D49" s="1185" t="s">
        <v>212</v>
      </c>
      <c r="E49" s="2483"/>
      <c r="F49" s="2483"/>
      <c r="G49" s="2483"/>
      <c r="H49" s="2483"/>
      <c r="I49" s="2310"/>
      <c r="J49" s="2310"/>
      <c r="K49" s="2328" t="str">
        <f>J48&amp;".1"</f>
        <v>....1.1.1</v>
      </c>
      <c r="L49" s="1228" t="s">
        <v>406</v>
      </c>
      <c r="P49" s="2460"/>
      <c r="Q49" s="2460"/>
      <c r="R49" s="293">
        <v>1</v>
      </c>
      <c r="S49" s="1870" t="str">
        <f>$K49</f>
        <v>....1.1.1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407</v>
      </c>
      <c r="AN49" s="1554" t="e">
        <f ca="1">STRCHECKDATE(V50:AL50)</f>
        <v>#NAME?</v>
      </c>
      <c r="AO49" s="1542"/>
      <c r="AP49" s="1542" t="str">
        <f t="shared" si="1"/>
        <v/>
      </c>
      <c r="AQ49" s="1542"/>
      <c r="AR49" s="1542"/>
      <c r="AS49" s="1549">
        <v>21</v>
      </c>
    </row>
    <row r="50" spans="1:45" ht="1.1499999999999999" customHeight="1">
      <c r="A50" s="1185" t="s">
        <v>209</v>
      </c>
      <c r="B50" s="1185" t="s">
        <v>210</v>
      </c>
      <c r="C50" s="1185" t="s">
        <v>211</v>
      </c>
      <c r="D50" s="1185" t="s">
        <v>212</v>
      </c>
      <c r="E50" s="2483"/>
      <c r="F50" s="2483"/>
      <c r="G50" s="2483"/>
      <c r="H50" s="2483"/>
      <c r="I50" s="2310"/>
      <c r="J50" s="2310"/>
      <c r="K50" s="2328"/>
      <c r="L50" s="1228"/>
      <c r="P50" s="2460"/>
      <c r="Q50" s="2460"/>
      <c r="R50" s="293"/>
      <c r="S50" s="1879"/>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1542"/>
      <c r="AP50" s="1542" t="str">
        <f t="shared" si="1"/>
        <v/>
      </c>
      <c r="AQ50" s="1542"/>
      <c r="AR50" s="1542"/>
      <c r="AS50" s="1549">
        <v>1</v>
      </c>
    </row>
    <row r="51" spans="1:45" ht="11.45" customHeight="1">
      <c r="A51" s="1185" t="s">
        <v>209</v>
      </c>
      <c r="B51" s="1185" t="s">
        <v>210</v>
      </c>
      <c r="C51" s="1185" t="s">
        <v>211</v>
      </c>
      <c r="D51" s="1185" t="s">
        <v>212</v>
      </c>
      <c r="E51" s="2483"/>
      <c r="F51" s="2483"/>
      <c r="G51" s="2483"/>
      <c r="H51" s="2483"/>
      <c r="I51" s="2310"/>
      <c r="J51" s="2328"/>
      <c r="K51" s="1185"/>
      <c r="L51" s="1228"/>
      <c r="P51" s="2460"/>
      <c r="Q51" s="2460"/>
      <c r="R51" s="292"/>
      <c r="S51" s="1196"/>
      <c r="T51" s="225" t="s">
        <v>408</v>
      </c>
      <c r="U51" s="536"/>
      <c r="V51" s="536"/>
      <c r="W51" s="536"/>
      <c r="X51" s="536"/>
      <c r="Y51" s="536"/>
      <c r="Z51" s="536"/>
      <c r="AA51" s="536"/>
      <c r="AB51" s="536"/>
      <c r="AC51" s="536"/>
      <c r="AD51" s="536"/>
      <c r="AE51" s="536"/>
      <c r="AF51" s="536"/>
      <c r="AG51" s="536"/>
      <c r="AH51" s="536"/>
      <c r="AI51" s="536"/>
      <c r="AJ51" s="536"/>
      <c r="AK51" s="536"/>
      <c r="AL51" s="261"/>
      <c r="AM51" s="2481"/>
      <c r="AO51" s="1542"/>
      <c r="AP51" s="1542" t="str">
        <f t="shared" si="1"/>
        <v>Добавить вид теплоносителя (параметры теплоносителя)</v>
      </c>
      <c r="AQ51" s="1542"/>
      <c r="AR51" s="1542"/>
      <c r="AS51" s="1549">
        <v>11</v>
      </c>
    </row>
    <row r="52" spans="1:45" ht="11.45" customHeight="1">
      <c r="A52" s="1185" t="s">
        <v>209</v>
      </c>
      <c r="B52" s="1185" t="s">
        <v>210</v>
      </c>
      <c r="C52" s="1185" t="s">
        <v>211</v>
      </c>
      <c r="D52" s="1185" t="s">
        <v>212</v>
      </c>
      <c r="E52" s="2483"/>
      <c r="F52" s="2483"/>
      <c r="G52" s="2483"/>
      <c r="H52" s="2483"/>
      <c r="I52" s="2328"/>
      <c r="J52" s="1185"/>
      <c r="K52" s="1185"/>
      <c r="L52" s="1228"/>
      <c r="P52" s="2460"/>
      <c r="Q52" s="1866"/>
      <c r="R52" s="292"/>
      <c r="S52" s="1196"/>
      <c r="T52" s="224" t="s">
        <v>409</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209</v>
      </c>
      <c r="B53" s="1185" t="s">
        <v>210</v>
      </c>
      <c r="C53" s="1185" t="s">
        <v>211</v>
      </c>
      <c r="D53" s="1185" t="s">
        <v>212</v>
      </c>
      <c r="E53" s="2483"/>
      <c r="F53" s="2483"/>
      <c r="G53" s="2483"/>
      <c r="H53" s="2482"/>
      <c r="I53" s="1185"/>
      <c r="J53" s="1185"/>
      <c r="K53" s="1185"/>
      <c r="L53" s="1228"/>
      <c r="M53" s="1528"/>
      <c r="N53" s="1528"/>
      <c r="O53" s="1553"/>
      <c r="P53" s="296"/>
      <c r="Q53" s="311"/>
      <c r="R53" s="291"/>
      <c r="S53" s="1196"/>
      <c r="T53" s="301" t="s">
        <v>410</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034" customFormat="1" ht="4.1500000000000004" customHeight="1">
      <c r="A54" s="1293" t="s">
        <v>209</v>
      </c>
      <c r="B54" s="1293" t="s">
        <v>210</v>
      </c>
      <c r="C54" s="1293" t="s">
        <v>211</v>
      </c>
      <c r="D54" s="1292"/>
      <c r="E54" s="2483"/>
      <c r="F54" s="2483"/>
      <c r="G54" s="2482"/>
      <c r="H54" s="1292"/>
      <c r="I54" s="1292"/>
      <c r="J54" s="1292"/>
      <c r="K54" s="1292"/>
      <c r="L54" s="1295"/>
      <c r="M54" s="1296"/>
      <c r="N54" s="1296"/>
      <c r="O54" s="287"/>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34" customFormat="1" ht="4.1500000000000004" customHeight="1">
      <c r="A55" s="1293" t="s">
        <v>209</v>
      </c>
      <c r="B55" s="1293" t="s">
        <v>210</v>
      </c>
      <c r="C55" s="1292"/>
      <c r="D55" s="1292"/>
      <c r="E55" s="2483"/>
      <c r="F55" s="2482"/>
      <c r="G55" s="1292"/>
      <c r="H55" s="1292"/>
      <c r="I55" s="1292"/>
      <c r="J55" s="1292"/>
      <c r="K55" s="1292"/>
      <c r="L55" s="1295"/>
      <c r="M55" s="1297"/>
      <c r="N55" s="1297"/>
      <c r="O55" s="287"/>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34" customFormat="1" ht="4.1500000000000004" customHeight="1">
      <c r="A56" s="1293" t="s">
        <v>209</v>
      </c>
      <c r="B56" s="1293"/>
      <c r="C56" s="1293"/>
      <c r="D56" s="1293"/>
      <c r="E56" s="2482"/>
      <c r="F56" s="1293"/>
      <c r="G56" s="1293"/>
      <c r="H56" s="1293"/>
      <c r="I56" s="1293"/>
      <c r="J56" s="1293"/>
      <c r="K56" s="1293"/>
      <c r="L56" s="1299"/>
      <c r="M56" s="1297"/>
      <c r="N56" s="1297"/>
      <c r="O56" s="287"/>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34" customFormat="1" ht="4.1500000000000004" customHeight="1">
      <c r="A57" s="1292"/>
      <c r="B57" s="1292"/>
      <c r="C57" s="1292"/>
      <c r="D57" s="1292"/>
      <c r="E57" s="1293"/>
      <c r="F57" s="1292"/>
      <c r="G57" s="1292"/>
      <c r="H57" s="1292"/>
      <c r="I57" s="1292"/>
      <c r="J57" s="1292"/>
      <c r="K57" s="1292"/>
      <c r="L57" s="1295"/>
      <c r="M57" s="1297"/>
      <c r="N57" s="1297"/>
      <c r="O57" s="287"/>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549">
        <v>27</v>
      </c>
    </row>
    <row r="60" spans="1:45" ht="65.25" customHeight="1">
      <c r="O60" s="155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549">
        <v>62</v>
      </c>
    </row>
    <row r="61" spans="1:45" ht="14.65" customHeight="1">
      <c r="O61" s="1553"/>
      <c r="AS61" s="1549">
        <v>14</v>
      </c>
    </row>
    <row r="62" spans="1:45" ht="18.75" customHeight="1">
      <c r="O62" s="1553"/>
      <c r="S62" s="1171"/>
      <c r="T62" s="2455"/>
      <c r="U62" s="2455"/>
      <c r="V62" s="2455"/>
      <c r="W62" s="2455"/>
      <c r="X62" s="2455"/>
      <c r="Y62" s="2455"/>
      <c r="Z62" s="2455"/>
      <c r="AA62" s="2455"/>
      <c r="AB62" s="2455"/>
      <c r="AC62" s="2455"/>
      <c r="AD62" s="2455"/>
      <c r="AE62" s="2455"/>
      <c r="AF62" s="2455"/>
      <c r="AG62" s="2455"/>
      <c r="AH62" s="2455"/>
      <c r="AI62" s="2455"/>
      <c r="AJ62" s="2455"/>
      <c r="AK62" s="2455"/>
      <c r="AL62" s="2455"/>
      <c r="AM62" s="2455"/>
      <c r="AS62" s="1549">
        <v>18</v>
      </c>
    </row>
    <row r="63" spans="1:45" ht="18.75" customHeight="1">
      <c r="O63" s="1553"/>
      <c r="T63" s="2455"/>
      <c r="U63" s="2455"/>
      <c r="V63" s="2455"/>
      <c r="W63" s="2455"/>
      <c r="X63" s="2455"/>
      <c r="Y63" s="2455"/>
      <c r="Z63" s="2455"/>
      <c r="AA63" s="2455"/>
      <c r="AB63" s="2455"/>
      <c r="AC63" s="2455"/>
      <c r="AD63" s="2455"/>
      <c r="AE63" s="2455"/>
      <c r="AF63" s="2455"/>
      <c r="AG63" s="2455"/>
      <c r="AH63" s="2455"/>
      <c r="AI63" s="2455"/>
      <c r="AJ63" s="2455"/>
      <c r="AK63" s="2455"/>
      <c r="AL63" s="2455"/>
      <c r="AM63" s="2455"/>
      <c r="AS63" s="1549">
        <v>18</v>
      </c>
    </row>
    <row r="64" spans="1:45" ht="29.25" customHeight="1">
      <c r="O64" s="1553"/>
      <c r="S64" s="1171"/>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62" hidden="1"/>
    <col min="2" max="2" width="11" style="2062" hidden="1" customWidth="1"/>
    <col min="3" max="3" width="10.5703125" style="2062" hidden="1"/>
    <col min="4" max="4" width="11.85546875" style="2062" hidden="1" customWidth="1"/>
    <col min="5" max="5" width="10" style="2062" hidden="1" customWidth="1"/>
    <col min="6" max="6" width="8.7109375" style="2062" hidden="1" customWidth="1"/>
    <col min="7" max="7" width="7.5703125" style="2062" hidden="1" customWidth="1"/>
    <col min="8" max="8" width="11.42578125" style="2062" hidden="1" customWidth="1"/>
    <col min="9" max="9" width="12" style="2062" hidden="1" customWidth="1"/>
    <col min="10" max="10" width="9.85546875" style="2062" hidden="1" customWidth="1"/>
    <col min="11" max="11" width="11.42578125" style="2062" hidden="1" customWidth="1"/>
    <col min="12" max="12" width="19.140625" style="2107" hidden="1" customWidth="1"/>
    <col min="13" max="14" width="12.28515625" style="2109" hidden="1" customWidth="1"/>
    <col min="15" max="15" width="23.42578125" style="2109" hidden="1" customWidth="1"/>
    <col min="16" max="16" width="3" style="2109" customWidth="1"/>
    <col min="17" max="18" width="3" style="2059" customWidth="1"/>
    <col min="19" max="19" width="12" style="2106" customWidth="1"/>
    <col min="20" max="20" width="31"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AS1" s="1549" t="s">
        <v>14</v>
      </c>
    </row>
    <row r="2" spans="1:45" ht="21" hidden="1" customHeight="1">
      <c r="A2" s="1185"/>
      <c r="B2" s="1185"/>
      <c r="C2" s="1185"/>
      <c r="D2" s="1185"/>
      <c r="E2" s="2482">
        <v>1</v>
      </c>
      <c r="F2" s="1185"/>
      <c r="G2" s="1185"/>
      <c r="H2" s="1185"/>
      <c r="I2" s="1185"/>
      <c r="J2" s="1185"/>
      <c r="K2" s="1185"/>
      <c r="L2" s="1228"/>
      <c r="M2" s="1528"/>
      <c r="N2" s="1528"/>
      <c r="O2" s="1528"/>
      <c r="P2" s="1508"/>
      <c r="Q2" s="296"/>
      <c r="R2" s="291"/>
      <c r="S2" s="1870" t="e">
        <f>INDEX(PT_DIFFERENTIATION_NUM_NTAR,MATCH(A2,PT_DIFFERENTIATION_NTAR_ID,0))</f>
        <v>#N/A</v>
      </c>
      <c r="T2" s="1443"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1542"/>
      <c r="AP2" s="1542" t="str">
        <f t="shared" ref="AP2:AP15" si="0">IF(T2="","",T2)</f>
        <v>Наименование тарифа</v>
      </c>
      <c r="AQ2" s="1542"/>
      <c r="AR2" s="1542"/>
      <c r="AS2" s="1549">
        <v>0</v>
      </c>
    </row>
    <row r="3" spans="1:45" ht="21" hidden="1" customHeight="1">
      <c r="A3" s="1185"/>
      <c r="B3" s="1185"/>
      <c r="C3" s="1185"/>
      <c r="D3" s="1185"/>
      <c r="E3" s="2483"/>
      <c r="F3" s="2482">
        <v>1</v>
      </c>
      <c r="G3" s="1185"/>
      <c r="H3" s="1185"/>
      <c r="I3" s="1185"/>
      <c r="J3" s="1185"/>
      <c r="K3" s="1185"/>
      <c r="L3" s="1228"/>
      <c r="M3" s="1528"/>
      <c r="N3" s="1528"/>
      <c r="O3" s="1528"/>
      <c r="P3" s="1852"/>
      <c r="Q3" s="288"/>
      <c r="R3" s="289"/>
      <c r="S3" s="1870" t="e">
        <f>INDEX(PT_DIFFERENTIATION_NUM_TER,MATCH(B3,PT_DIFFERENTIATION_TER_ID,0))</f>
        <v>#N/A</v>
      </c>
      <c r="T3" s="1440"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1542"/>
      <c r="AP3" s="1542" t="str">
        <f t="shared" si="0"/>
        <v>Территория действия тарифа</v>
      </c>
      <c r="AQ3" s="1542"/>
      <c r="AR3" s="1542"/>
      <c r="AS3" s="1549">
        <v>0</v>
      </c>
    </row>
    <row r="4" spans="1:45" ht="23.25" hidden="1" customHeight="1">
      <c r="A4" s="1185"/>
      <c r="B4" s="1185"/>
      <c r="C4" s="1185"/>
      <c r="D4" s="1185"/>
      <c r="E4" s="2483"/>
      <c r="F4" s="2483"/>
      <c r="G4" s="2482">
        <v>1</v>
      </c>
      <c r="H4" s="1185"/>
      <c r="I4" s="1185"/>
      <c r="J4" s="1185"/>
      <c r="K4" s="1185"/>
      <c r="L4" s="1228"/>
      <c r="M4" s="1528"/>
      <c r="N4" s="1528"/>
      <c r="O4" s="1528"/>
      <c r="P4" s="290"/>
      <c r="Q4" s="288"/>
      <c r="R4" s="289"/>
      <c r="S4" s="1870"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483"/>
      <c r="F5" s="2483"/>
      <c r="G5" s="2483"/>
      <c r="H5" s="2482">
        <v>1</v>
      </c>
      <c r="I5" s="1185"/>
      <c r="J5" s="1185"/>
      <c r="K5" s="1185"/>
      <c r="L5" s="1228"/>
      <c r="M5" s="1528"/>
      <c r="N5" s="1528"/>
      <c r="O5" s="1528"/>
      <c r="P5" s="290"/>
      <c r="Q5" s="288"/>
      <c r="R5" s="289"/>
      <c r="S5" s="1870"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1542"/>
      <c r="AP5" s="1542" t="str">
        <f t="shared" si="0"/>
        <v xml:space="preserve">Источник тепловой энергии  </v>
      </c>
      <c r="AQ5" s="1542"/>
      <c r="AR5" s="1542"/>
      <c r="AS5" s="1549">
        <v>0</v>
      </c>
    </row>
    <row r="6" spans="1:45" ht="47.25" hidden="1" customHeight="1">
      <c r="A6" s="1185"/>
      <c r="B6" s="1185"/>
      <c r="C6" s="1185"/>
      <c r="D6" s="1185"/>
      <c r="E6" s="2483"/>
      <c r="F6" s="2483"/>
      <c r="G6" s="2483"/>
      <c r="H6" s="2483"/>
      <c r="I6" s="2328" t="e">
        <f>S5&amp;".1"</f>
        <v>#N/A</v>
      </c>
      <c r="J6" s="1185"/>
      <c r="K6" s="1185"/>
      <c r="L6" s="1228" t="s">
        <v>400</v>
      </c>
      <c r="M6" s="1553"/>
      <c r="P6" s="2460">
        <v>1</v>
      </c>
      <c r="Q6" s="1866"/>
      <c r="R6" s="292"/>
      <c r="S6" s="1870" t="e">
        <f>$I6</f>
        <v>#N/A</v>
      </c>
      <c r="T6" s="222" t="s">
        <v>401</v>
      </c>
      <c r="U6" s="237"/>
      <c r="V6" s="2444"/>
      <c r="W6" s="2445"/>
      <c r="X6" s="2445"/>
      <c r="Y6" s="2445"/>
      <c r="Z6" s="2445"/>
      <c r="AA6" s="2445"/>
      <c r="AB6" s="2445"/>
      <c r="AC6" s="2446"/>
      <c r="AD6" s="2444"/>
      <c r="AE6" s="2445"/>
      <c r="AF6" s="2445"/>
      <c r="AG6" s="2445"/>
      <c r="AH6" s="2445"/>
      <c r="AI6" s="2445"/>
      <c r="AJ6" s="2445"/>
      <c r="AK6" s="2445"/>
      <c r="AL6" s="2446"/>
      <c r="AM6" s="1176" t="s">
        <v>402</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483"/>
      <c r="F7" s="2483"/>
      <c r="G7" s="2483"/>
      <c r="H7" s="2483"/>
      <c r="I7" s="2310"/>
      <c r="J7" s="2328" t="e">
        <f>I6&amp;".1"</f>
        <v>#N/A</v>
      </c>
      <c r="K7" s="1185"/>
      <c r="L7" s="1228" t="s">
        <v>403</v>
      </c>
      <c r="M7" s="1553"/>
      <c r="N7" s="1549"/>
      <c r="P7" s="2460"/>
      <c r="Q7" s="2460">
        <v>1</v>
      </c>
      <c r="R7" s="293"/>
      <c r="S7" s="1870"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1542"/>
      <c r="AP7" s="1542" t="str">
        <f t="shared" si="0"/>
        <v>Группа потребителей</v>
      </c>
      <c r="AQ7" s="1542"/>
      <c r="AR7" s="1542"/>
      <c r="AS7" s="1549">
        <v>0</v>
      </c>
    </row>
    <row r="8" spans="1:45" ht="21" hidden="1" customHeight="1">
      <c r="A8" s="1185"/>
      <c r="B8" s="1185"/>
      <c r="C8" s="1185"/>
      <c r="D8" s="1185"/>
      <c r="E8" s="2483"/>
      <c r="F8" s="2483"/>
      <c r="G8" s="2483"/>
      <c r="H8" s="2483"/>
      <c r="I8" s="2310"/>
      <c r="J8" s="2310"/>
      <c r="K8" s="2328" t="e">
        <f>J7&amp;".1"</f>
        <v>#N/A</v>
      </c>
      <c r="L8" s="1228" t="s">
        <v>406</v>
      </c>
      <c r="M8" s="1553"/>
      <c r="N8" s="1549"/>
      <c r="O8" s="1549"/>
      <c r="P8" s="2460"/>
      <c r="Q8" s="2460"/>
      <c r="R8" s="293">
        <v>1</v>
      </c>
      <c r="S8" s="1870" t="e">
        <f>$K8</f>
        <v>#N/A</v>
      </c>
      <c r="T8" s="1265"/>
      <c r="U8" s="237"/>
      <c r="V8" s="687"/>
      <c r="W8" s="262"/>
      <c r="X8" s="687"/>
      <c r="Y8" s="1175"/>
      <c r="Z8" s="2461"/>
      <c r="AA8" s="2338" t="s">
        <v>67</v>
      </c>
      <c r="AB8" s="2461"/>
      <c r="AC8" s="2338" t="s">
        <v>67</v>
      </c>
      <c r="AD8" s="687"/>
      <c r="AE8" s="262"/>
      <c r="AF8" s="687"/>
      <c r="AG8" s="1175"/>
      <c r="AH8" s="2461"/>
      <c r="AI8" s="2338" t="s">
        <v>67</v>
      </c>
      <c r="AJ8" s="2461"/>
      <c r="AK8" s="2338" t="s">
        <v>67</v>
      </c>
      <c r="AL8" s="262"/>
      <c r="AM8" s="2479" t="s">
        <v>407</v>
      </c>
      <c r="AN8" s="1554" t="e">
        <f ca="1">STRCHECKDATE(V9:AL9)</f>
        <v>#NAME?</v>
      </c>
      <c r="AO8" s="1542"/>
      <c r="AP8" s="1542" t="str">
        <f t="shared" si="0"/>
        <v/>
      </c>
      <c r="AQ8" s="1542"/>
      <c r="AR8" s="1542"/>
      <c r="AS8" s="1549">
        <v>0</v>
      </c>
    </row>
    <row r="9" spans="1:45" ht="0.75" hidden="1" customHeight="1">
      <c r="A9" s="1185"/>
      <c r="B9" s="1185"/>
      <c r="C9" s="1185"/>
      <c r="D9" s="1185"/>
      <c r="E9" s="2483"/>
      <c r="F9" s="2483"/>
      <c r="G9" s="2483"/>
      <c r="H9" s="2483"/>
      <c r="I9" s="2310"/>
      <c r="J9" s="2310"/>
      <c r="K9" s="2328"/>
      <c r="L9" s="1228"/>
      <c r="M9" s="1553"/>
      <c r="N9" s="1549"/>
      <c r="O9" s="1549"/>
      <c r="P9" s="2460"/>
      <c r="Q9" s="2460"/>
      <c r="R9" s="293"/>
      <c r="S9" s="1879"/>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1542"/>
      <c r="AP9" s="1542" t="str">
        <f t="shared" si="0"/>
        <v/>
      </c>
      <c r="AQ9" s="1542"/>
      <c r="AR9" s="1542"/>
      <c r="AS9" s="1549">
        <v>0</v>
      </c>
    </row>
    <row r="10" spans="1:45" ht="15" hidden="1" customHeight="1">
      <c r="A10" s="1185"/>
      <c r="B10" s="1185"/>
      <c r="C10" s="1185"/>
      <c r="D10" s="1185"/>
      <c r="E10" s="2483"/>
      <c r="F10" s="2483"/>
      <c r="G10" s="2483"/>
      <c r="H10" s="2483"/>
      <c r="I10" s="2310"/>
      <c r="J10" s="2328"/>
      <c r="K10" s="1185"/>
      <c r="L10" s="1228"/>
      <c r="M10" s="1553"/>
      <c r="N10" s="1549"/>
      <c r="P10" s="2460"/>
      <c r="Q10" s="2460"/>
      <c r="R10" s="292"/>
      <c r="S10" s="1196"/>
      <c r="T10" s="225" t="s">
        <v>408</v>
      </c>
      <c r="U10" s="536"/>
      <c r="V10" s="536"/>
      <c r="W10" s="536"/>
      <c r="X10" s="536"/>
      <c r="Y10" s="536"/>
      <c r="Z10" s="536"/>
      <c r="AA10" s="536"/>
      <c r="AB10" s="536"/>
      <c r="AC10" s="536"/>
      <c r="AD10" s="536"/>
      <c r="AE10" s="536"/>
      <c r="AF10" s="536"/>
      <c r="AG10" s="536"/>
      <c r="AH10" s="536"/>
      <c r="AI10" s="536"/>
      <c r="AJ10" s="536"/>
      <c r="AK10" s="536"/>
      <c r="AL10" s="261"/>
      <c r="AM10" s="248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483"/>
      <c r="F11" s="2483"/>
      <c r="G11" s="2483"/>
      <c r="H11" s="2483"/>
      <c r="I11" s="2328"/>
      <c r="J11" s="1185"/>
      <c r="K11" s="1185"/>
      <c r="L11" s="1228"/>
      <c r="M11" s="1553"/>
      <c r="P11" s="2460"/>
      <c r="Q11" s="1866"/>
      <c r="R11" s="292"/>
      <c r="S11" s="1196"/>
      <c r="T11" s="224" t="s">
        <v>409</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483"/>
      <c r="F12" s="2483"/>
      <c r="G12" s="2483"/>
      <c r="H12" s="2482"/>
      <c r="I12" s="1185"/>
      <c r="J12" s="1185"/>
      <c r="K12" s="1185"/>
      <c r="L12" s="1228"/>
      <c r="M12" s="1528"/>
      <c r="N12" s="1528"/>
      <c r="O12" s="1553"/>
      <c r="P12" s="296"/>
      <c r="Q12" s="311"/>
      <c r="R12" s="291"/>
      <c r="S12" s="1196"/>
      <c r="T12" s="301" t="s">
        <v>410</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034" customFormat="1" ht="0.75" hidden="1" customHeight="1">
      <c r="A13" s="1886"/>
      <c r="B13" s="1886"/>
      <c r="C13" s="1886"/>
      <c r="D13" s="1886"/>
      <c r="E13" s="2483"/>
      <c r="F13" s="2483"/>
      <c r="G13" s="2482"/>
      <c r="H13" s="1886"/>
      <c r="I13" s="1886"/>
      <c r="J13" s="1886"/>
      <c r="K13" s="1886"/>
      <c r="L13" s="1298"/>
      <c r="M13" s="1528"/>
      <c r="N13" s="1528"/>
      <c r="O13" s="155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34" customFormat="1" ht="0.75" hidden="1" customHeight="1">
      <c r="A14" s="1886"/>
      <c r="B14" s="1886"/>
      <c r="C14" s="1886"/>
      <c r="D14" s="1886"/>
      <c r="E14" s="2483"/>
      <c r="F14" s="2482"/>
      <c r="G14" s="1886"/>
      <c r="H14" s="1886"/>
      <c r="I14" s="1886"/>
      <c r="J14" s="1886"/>
      <c r="K14" s="1886"/>
      <c r="L14" s="1298"/>
      <c r="M14" s="1887"/>
      <c r="N14" s="1887"/>
      <c r="O14" s="1553"/>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34" customFormat="1" ht="0.75" hidden="1" customHeight="1">
      <c r="A15" s="1886"/>
      <c r="B15" s="1886"/>
      <c r="C15" s="1886"/>
      <c r="D15" s="1886"/>
      <c r="E15" s="2482"/>
      <c r="F15" s="1886"/>
      <c r="G15" s="1886"/>
      <c r="H15" s="1886"/>
      <c r="I15" s="1886"/>
      <c r="J15" s="1886"/>
      <c r="K15" s="1886"/>
      <c r="L15" s="1298"/>
      <c r="M15" s="1887"/>
      <c r="N15" s="1887"/>
      <c r="O15" s="1553"/>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454"/>
      <c r="AI17" s="2453" t="s">
        <v>67</v>
      </c>
      <c r="AJ17" s="2454"/>
      <c r="AK17" s="2453" t="s">
        <v>67</v>
      </c>
      <c r="AS17" s="1549">
        <v>0</v>
      </c>
    </row>
    <row r="18" spans="1:45" ht="14.25" hidden="1" customHeight="1">
      <c r="AD18" s="1278"/>
      <c r="AE18" s="1278"/>
      <c r="AF18" s="1278"/>
      <c r="AG18" s="265" t="str">
        <f>AH17&amp;"-"&amp;AJ17</f>
        <v>-</v>
      </c>
      <c r="AH18" s="2453"/>
      <c r="AI18" s="2453"/>
      <c r="AJ18" s="2453"/>
      <c r="AK18" s="2453"/>
      <c r="AS18" s="1549">
        <v>0</v>
      </c>
    </row>
    <row r="19" spans="1:45" ht="14.25" hidden="1" customHeight="1">
      <c r="AS19" s="1549">
        <v>0</v>
      </c>
    </row>
    <row r="20" spans="1:45" s="2056" customFormat="1" ht="14.25" hidden="1" customHeight="1">
      <c r="A20" s="1549"/>
      <c r="B20" s="1549"/>
      <c r="C20" s="1549"/>
      <c r="D20" s="1549"/>
      <c r="E20" s="1549"/>
      <c r="F20" s="1549"/>
      <c r="G20" s="1549"/>
      <c r="H20" s="1549"/>
      <c r="I20" s="1549"/>
      <c r="J20" s="1549"/>
      <c r="K20" s="1549"/>
      <c r="L20" s="1851"/>
      <c r="M20" s="1877"/>
      <c r="N20" s="1877"/>
      <c r="O20" s="1263" t="s">
        <v>414</v>
      </c>
      <c r="P20" s="1280"/>
      <c r="Q20" s="1289"/>
      <c r="R20" s="1289"/>
      <c r="S20" s="665"/>
      <c r="Z20" s="1285"/>
      <c r="AB20" s="1285"/>
      <c r="AH20" s="1285"/>
      <c r="AJ20" s="1285"/>
      <c r="AN20" s="1554"/>
      <c r="AO20" s="1554"/>
      <c r="AP20" s="1554"/>
      <c r="AQ20" s="1554"/>
      <c r="AR20" s="1554"/>
      <c r="AS20" s="1284">
        <v>0</v>
      </c>
    </row>
    <row r="21" spans="1:45" s="205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056" customFormat="1" ht="14.25" hidden="1" customHeight="1">
      <c r="A22" s="1549"/>
      <c r="B22" s="1549"/>
      <c r="C22" s="1549"/>
      <c r="D22" s="1549"/>
      <c r="E22" s="1549"/>
      <c r="F22" s="1549"/>
      <c r="G22" s="1549"/>
      <c r="H22" s="1549"/>
      <c r="I22" s="1549"/>
      <c r="J22" s="1549"/>
      <c r="K22" s="1549"/>
      <c r="L22" s="1851"/>
      <c r="M22" s="1877"/>
      <c r="N22" s="1877"/>
      <c r="O22" s="1228" t="s">
        <v>415</v>
      </c>
      <c r="P22" s="1280"/>
      <c r="Q22" s="1289"/>
      <c r="R22" s="1289"/>
      <c r="S22" s="665"/>
      <c r="T22" s="1284" t="s">
        <v>416</v>
      </c>
      <c r="AA22" s="531" t="s">
        <v>417</v>
      </c>
      <c r="AC22" s="531" t="s">
        <v>418</v>
      </c>
      <c r="AD22" s="1284" t="s">
        <v>416</v>
      </c>
      <c r="AI22" s="531" t="s">
        <v>419</v>
      </c>
      <c r="AK22" s="531" t="s">
        <v>418</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4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7"/>
      <c r="U26" s="2437"/>
      <c r="V26" s="2437"/>
      <c r="W26" s="2437"/>
      <c r="X26" s="2437"/>
      <c r="Y26" s="2437"/>
      <c r="Z26" s="2437"/>
      <c r="AA26" s="2437"/>
      <c r="AB26" s="2437"/>
      <c r="AC26" s="2437"/>
      <c r="AD26" s="2437"/>
      <c r="AE26" s="2437"/>
      <c r="AF26" s="2437"/>
      <c r="AG26" s="2437"/>
      <c r="AH26" s="2437"/>
      <c r="AI26" s="2437"/>
      <c r="AJ26" s="2437"/>
      <c r="AK26" s="1161"/>
      <c r="AS26" s="1549">
        <v>14</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098" customFormat="1" ht="25.5" hidden="1" customHeight="1">
      <c r="A29" s="1166"/>
      <c r="B29" s="1166"/>
      <c r="C29" s="1166"/>
      <c r="D29" s="1166"/>
      <c r="E29" s="1166"/>
      <c r="F29" s="1166"/>
      <c r="G29" s="1166"/>
      <c r="H29" s="1166"/>
      <c r="I29" s="1166"/>
      <c r="J29" s="1166"/>
      <c r="K29" s="1166"/>
      <c r="L29" s="1298"/>
      <c r="M29" s="1166"/>
      <c r="N29" s="1166"/>
      <c r="O29" s="1166"/>
      <c r="S29" s="2447" t="s">
        <v>43</v>
      </c>
      <c r="T29" s="2447"/>
      <c r="U29" s="1290"/>
      <c r="V29" s="2449" t="str">
        <f>IF(TITLE_NAME_OR_PR_CHANGE="",IF(TITLE_NAME_OR_PR="","",TITLE_NAME_OR_PR),TITLE_NAME_OR_PR_CHANGE)</f>
        <v/>
      </c>
      <c r="W29" s="2449"/>
      <c r="X29" s="2449"/>
      <c r="Y29" s="2449"/>
      <c r="Z29" s="2449"/>
      <c r="AA29" s="2449"/>
      <c r="AB29" s="2449"/>
      <c r="AC29" s="1553"/>
      <c r="AD29" s="2449" t="str">
        <f>IF(TITLE_NAME_OR_PR_CHANGE="",IF(TITLE_NAME_OR_PR="","",TITLE_NAME_OR_PR),TITLE_NAME_OR_PR_CHANGE)</f>
        <v/>
      </c>
      <c r="AE29" s="2449"/>
      <c r="AF29" s="2449"/>
      <c r="AG29" s="2449"/>
      <c r="AH29" s="2449"/>
      <c r="AI29" s="2449"/>
      <c r="AJ29" s="2449"/>
      <c r="AK29" s="1553"/>
      <c r="AL29" s="1553"/>
      <c r="AM29" s="217"/>
      <c r="AN29" s="304"/>
      <c r="AO29" s="304"/>
      <c r="AP29" s="304"/>
      <c r="AQ29" s="304"/>
      <c r="AR29" s="304"/>
      <c r="AS29" s="354">
        <v>0</v>
      </c>
    </row>
    <row r="30" spans="1:45" s="2098" customFormat="1" ht="18.75" hidden="1" customHeight="1">
      <c r="A30" s="1166"/>
      <c r="B30" s="1166"/>
      <c r="C30" s="1166"/>
      <c r="D30" s="1166"/>
      <c r="E30" s="1166"/>
      <c r="F30" s="1166"/>
      <c r="G30" s="1166"/>
      <c r="H30" s="1166"/>
      <c r="I30" s="1166"/>
      <c r="J30" s="1166"/>
      <c r="K30" s="1166"/>
      <c r="L30" s="1298"/>
      <c r="M30" s="1166"/>
      <c r="N30" s="1166"/>
      <c r="O30" s="1166"/>
      <c r="S30" s="2447" t="s">
        <v>420</v>
      </c>
      <c r="T30" s="2447"/>
      <c r="U30" s="1290"/>
      <c r="V30" s="2448" t="str">
        <f>IF(TITLE_DATE_PR_CHANGE="",IF(TITLE_DATE_PR="","",TITLE_DATE_PR),TITLE_DATE_PR_CHANGE)</f>
        <v/>
      </c>
      <c r="W30" s="2448"/>
      <c r="X30" s="2448"/>
      <c r="Y30" s="2448"/>
      <c r="Z30" s="2448"/>
      <c r="AA30" s="2448"/>
      <c r="AB30" s="2448"/>
      <c r="AC30" s="1553"/>
      <c r="AD30" s="2448" t="str">
        <f>IF(TITLE_DATE_PR_CHANGE="",IF(TITLE_DATE_PR="","",TITLE_DATE_PR),TITLE_DATE_PR_CHANGE)</f>
        <v/>
      </c>
      <c r="AE30" s="2448"/>
      <c r="AF30" s="2448"/>
      <c r="AG30" s="2448"/>
      <c r="AH30" s="2448"/>
      <c r="AI30" s="2448"/>
      <c r="AJ30" s="2448"/>
      <c r="AK30" s="1553"/>
      <c r="AL30" s="1553"/>
      <c r="AM30" s="217"/>
      <c r="AN30" s="304"/>
      <c r="AO30" s="304"/>
      <c r="AP30" s="304"/>
      <c r="AQ30" s="304"/>
      <c r="AR30" s="304"/>
      <c r="AS30" s="354">
        <v>0</v>
      </c>
    </row>
    <row r="31" spans="1:45" s="2098" customFormat="1" ht="18.75" hidden="1" customHeight="1">
      <c r="A31" s="1166"/>
      <c r="B31" s="1166"/>
      <c r="C31" s="1166"/>
      <c r="D31" s="1166"/>
      <c r="E31" s="1166"/>
      <c r="F31" s="1166"/>
      <c r="G31" s="1166"/>
      <c r="H31" s="1166"/>
      <c r="I31" s="1166"/>
      <c r="J31" s="1166"/>
      <c r="K31" s="1166"/>
      <c r="L31" s="1298"/>
      <c r="M31" s="1166"/>
      <c r="N31" s="1166"/>
      <c r="O31" s="1166"/>
      <c r="S31" s="2447" t="s">
        <v>421</v>
      </c>
      <c r="T31" s="2447"/>
      <c r="U31" s="1290"/>
      <c r="V31" s="2449" t="str">
        <f>IF(TITLE_NUMBER_PR_CHANGE="",IF(TITLE_NUMBER_PR="","",TITLE_NUMBER_PR),TITLE_NUMBER_PR_CHANGE)</f>
        <v/>
      </c>
      <c r="W31" s="2449"/>
      <c r="X31" s="2449"/>
      <c r="Y31" s="2449"/>
      <c r="Z31" s="2449"/>
      <c r="AA31" s="2449"/>
      <c r="AB31" s="2449"/>
      <c r="AC31" s="1553"/>
      <c r="AD31" s="2449" t="str">
        <f>IF(TITLE_NUMBER_PR_CHANGE="",IF(TITLE_NUMBER_PR="","",TITLE_NUMBER_PR),TITLE_NUMBER_PR_CHANGE)</f>
        <v/>
      </c>
      <c r="AE31" s="2449"/>
      <c r="AF31" s="2449"/>
      <c r="AG31" s="2449"/>
      <c r="AH31" s="2449"/>
      <c r="AI31" s="2449"/>
      <c r="AJ31" s="2449"/>
      <c r="AK31" s="1553"/>
      <c r="AL31" s="1553"/>
      <c r="AM31" s="217"/>
      <c r="AN31" s="304"/>
      <c r="AO31" s="304"/>
      <c r="AP31" s="304"/>
      <c r="AQ31" s="304"/>
      <c r="AR31" s="304"/>
      <c r="AS31" s="354">
        <v>0</v>
      </c>
    </row>
    <row r="32" spans="1:45" s="2098" customFormat="1" ht="18.75" hidden="1" customHeight="1">
      <c r="A32" s="1166"/>
      <c r="B32" s="1166"/>
      <c r="C32" s="1166"/>
      <c r="D32" s="1166"/>
      <c r="E32" s="1166"/>
      <c r="F32" s="1166"/>
      <c r="G32" s="1166"/>
      <c r="H32" s="1166"/>
      <c r="I32" s="1166"/>
      <c r="J32" s="1166"/>
      <c r="K32" s="1166"/>
      <c r="L32" s="1298"/>
      <c r="M32" s="1166"/>
      <c r="N32" s="1166"/>
      <c r="O32" s="1166"/>
      <c r="S32" s="2447" t="s">
        <v>44</v>
      </c>
      <c r="T32" s="2447"/>
      <c r="U32" s="1290"/>
      <c r="V32" s="2449" t="str">
        <f>IF(TITLE_IST_PUB_CHANGE="",IF(TITLE_IST_PUB="","",TITLE_IST_PUB),TITLE_IST_PUB_CHANGE)</f>
        <v/>
      </c>
      <c r="W32" s="2449"/>
      <c r="X32" s="2449"/>
      <c r="Y32" s="2449"/>
      <c r="Z32" s="2449"/>
      <c r="AA32" s="2449"/>
      <c r="AB32" s="2449"/>
      <c r="AC32" s="1553"/>
      <c r="AD32" s="2449" t="str">
        <f>IF(TITLE_IST_PUB_CHANGE="",IF(TITLE_IST_PUB="","",TITLE_IST_PUB),TITLE_IST_PUB_CHANGE)</f>
        <v/>
      </c>
      <c r="AE32" s="2449"/>
      <c r="AF32" s="2449"/>
      <c r="AG32" s="2449"/>
      <c r="AH32" s="2449"/>
      <c r="AI32" s="2449"/>
      <c r="AJ32" s="2449"/>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098" customFormat="1" ht="18.75" hidden="1" customHeight="1">
      <c r="A34" s="1166"/>
      <c r="B34" s="1166"/>
      <c r="C34" s="1166"/>
      <c r="D34" s="1166"/>
      <c r="E34" s="1166"/>
      <c r="F34" s="1166"/>
      <c r="G34" s="1166"/>
      <c r="H34" s="1166"/>
      <c r="I34" s="1166"/>
      <c r="J34" s="1166"/>
      <c r="K34" s="1166"/>
      <c r="L34" s="1298"/>
      <c r="M34" s="1166"/>
      <c r="N34" s="1166"/>
      <c r="O34" s="1166"/>
      <c r="S34" s="2447" t="s">
        <v>422</v>
      </c>
      <c r="T34" s="2447"/>
      <c r="U34" s="1290"/>
      <c r="V34" s="2448" t="str">
        <f>IF(TITLE_DATE_PR_CHANGE="",IF(TITLE_DATE_PR="","",TITLE_DATE_PR),TITLE_DATE_PR_CHANGE)</f>
        <v/>
      </c>
      <c r="W34" s="2448"/>
      <c r="X34" s="2448"/>
      <c r="Y34" s="2448"/>
      <c r="Z34" s="2448"/>
      <c r="AA34" s="2448"/>
      <c r="AB34" s="2448"/>
      <c r="AC34" s="1553"/>
      <c r="AD34" s="2448" t="str">
        <f>IF(TITLE_DATE_PR_CHANGE="",IF(TITLE_DATE_PR="","",TITLE_DATE_PR),TITLE_DATE_PR_CHANGE)</f>
        <v/>
      </c>
      <c r="AE34" s="2448"/>
      <c r="AF34" s="2448"/>
      <c r="AG34" s="2448"/>
      <c r="AH34" s="2448"/>
      <c r="AI34" s="2448"/>
      <c r="AJ34" s="2448"/>
      <c r="AK34" s="1553"/>
      <c r="AL34" s="1553"/>
      <c r="AM34" s="217"/>
      <c r="AN34" s="304"/>
      <c r="AO34" s="304"/>
      <c r="AP34" s="304"/>
      <c r="AQ34" s="304"/>
      <c r="AR34" s="304"/>
      <c r="AS34" s="354">
        <v>0</v>
      </c>
    </row>
    <row r="35" spans="1:45" s="2098" customFormat="1" ht="18.75" hidden="1" customHeight="1">
      <c r="A35" s="1166"/>
      <c r="B35" s="1166"/>
      <c r="C35" s="1166"/>
      <c r="D35" s="1166"/>
      <c r="E35" s="1166"/>
      <c r="F35" s="1166"/>
      <c r="G35" s="1166"/>
      <c r="H35" s="1166"/>
      <c r="I35" s="1166"/>
      <c r="J35" s="1166"/>
      <c r="K35" s="1166"/>
      <c r="L35" s="1298"/>
      <c r="M35" s="1166"/>
      <c r="N35" s="1166"/>
      <c r="O35" s="1166"/>
      <c r="S35" s="2447" t="s">
        <v>423</v>
      </c>
      <c r="T35" s="2447"/>
      <c r="U35" s="1290"/>
      <c r="V35" s="2449" t="str">
        <f>IF(TITLE_NUMBER_PR_CHANGE="",IF(TITLE_NUMBER_PR="","",TITLE_NUMBER_PR),TITLE_NUMBER_PR_CHANGE)</f>
        <v/>
      </c>
      <c r="W35" s="2449"/>
      <c r="X35" s="2449"/>
      <c r="Y35" s="2449"/>
      <c r="Z35" s="2449"/>
      <c r="AA35" s="2449"/>
      <c r="AB35" s="2449"/>
      <c r="AC35" s="1553"/>
      <c r="AD35" s="2449" t="str">
        <f>IF(TITLE_NUMBER_PR_CHANGE="",IF(TITLE_NUMBER_PR="","",TITLE_NUMBER_PR),TITLE_NUMBER_PR_CHANGE)</f>
        <v/>
      </c>
      <c r="AE35" s="2449"/>
      <c r="AF35" s="2449"/>
      <c r="AG35" s="2449"/>
      <c r="AH35" s="2449"/>
      <c r="AI35" s="2449"/>
      <c r="AJ35" s="2449"/>
      <c r="AK35" s="1553"/>
      <c r="AL35" s="1553"/>
      <c r="AM35" s="217"/>
      <c r="AN35" s="304"/>
      <c r="AO35" s="304"/>
      <c r="AP35" s="304"/>
      <c r="AQ35" s="304"/>
      <c r="AR35" s="304"/>
      <c r="AS35" s="354">
        <v>0</v>
      </c>
    </row>
    <row r="36" spans="1:45" s="209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424</v>
      </c>
      <c r="AD36" s="1553"/>
      <c r="AE36" s="1553"/>
      <c r="AF36" s="1553"/>
      <c r="AG36" s="1553"/>
      <c r="AH36" s="1553"/>
      <c r="AI36" s="1553"/>
      <c r="AJ36" s="1553"/>
      <c r="AK36" s="1560" t="s">
        <v>424</v>
      </c>
      <c r="AN36" s="304"/>
      <c r="AO36" s="304"/>
      <c r="AP36" s="304"/>
      <c r="AQ36" s="304"/>
      <c r="AR36" s="304"/>
      <c r="AS36" s="354">
        <v>0</v>
      </c>
    </row>
    <row r="37" spans="1:45" ht="14.65" customHeight="1">
      <c r="Q37" s="312"/>
      <c r="R37" s="312"/>
      <c r="S37" s="1193"/>
      <c r="T37" s="393"/>
      <c r="U37" s="1162"/>
      <c r="V37" s="2468"/>
      <c r="W37" s="2468"/>
      <c r="X37" s="2468"/>
      <c r="Y37" s="2468"/>
      <c r="Z37" s="2468"/>
      <c r="AA37" s="2468"/>
      <c r="AB37" s="2468"/>
      <c r="AC37" s="2468"/>
      <c r="AD37" s="2468"/>
      <c r="AE37" s="2468"/>
      <c r="AF37" s="2468"/>
      <c r="AG37" s="2468"/>
      <c r="AH37" s="2468"/>
      <c r="AI37" s="2468"/>
      <c r="AJ37" s="2468"/>
      <c r="AK37" s="2468"/>
      <c r="AS37" s="1549">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549">
        <v>14</v>
      </c>
    </row>
    <row r="39" spans="1:45" ht="14.65" customHeight="1">
      <c r="Q39" s="312"/>
      <c r="R39" s="312"/>
      <c r="S39" s="2469" t="s">
        <v>90</v>
      </c>
      <c r="T39" s="2417" t="s">
        <v>425</v>
      </c>
      <c r="U39" s="274"/>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549">
        <v>14</v>
      </c>
    </row>
    <row r="40" spans="1:45" ht="35.65" customHeight="1">
      <c r="Q40" s="312"/>
      <c r="R40" s="312"/>
      <c r="S40" s="2469"/>
      <c r="T40" s="2417"/>
      <c r="U40" s="954"/>
      <c r="V40" s="2387" t="s">
        <v>430</v>
      </c>
      <c r="W40" s="2465" t="s">
        <v>431</v>
      </c>
      <c r="X40" s="2310" t="s">
        <v>432</v>
      </c>
      <c r="Y40" s="2309"/>
      <c r="Z40" s="2310" t="s">
        <v>446</v>
      </c>
      <c r="AA40" s="2315"/>
      <c r="AB40" s="2309"/>
      <c r="AC40" s="2474"/>
      <c r="AD40" s="2387" t="s">
        <v>430</v>
      </c>
      <c r="AE40" s="2465" t="s">
        <v>431</v>
      </c>
      <c r="AF40" s="2310" t="s">
        <v>432</v>
      </c>
      <c r="AG40" s="2309"/>
      <c r="AH40" s="2310" t="s">
        <v>433</v>
      </c>
      <c r="AI40" s="2315"/>
      <c r="AJ40" s="2309"/>
      <c r="AK40" s="2474"/>
      <c r="AL40" s="2477"/>
      <c r="AM40" s="2328"/>
      <c r="AS40" s="1549">
        <v>34</v>
      </c>
    </row>
    <row r="41" spans="1:45" ht="35.65" customHeight="1">
      <c r="A41" s="1184"/>
      <c r="B41" s="1184" t="s">
        <v>134</v>
      </c>
      <c r="C41" s="1184" t="s">
        <v>135</v>
      </c>
      <c r="D41" s="1184" t="s">
        <v>136</v>
      </c>
      <c r="E41" s="1228" t="s">
        <v>434</v>
      </c>
      <c r="F41" s="1228" t="s">
        <v>435</v>
      </c>
      <c r="G41" s="1228" t="s">
        <v>436</v>
      </c>
      <c r="H41" s="1228" t="s">
        <v>437</v>
      </c>
      <c r="I41" s="1228" t="s">
        <v>438</v>
      </c>
      <c r="J41" s="1228" t="s">
        <v>439</v>
      </c>
      <c r="K41" s="1228" t="s">
        <v>440</v>
      </c>
      <c r="L41" s="1228" t="s">
        <v>415</v>
      </c>
      <c r="Q41" s="312"/>
      <c r="R41" s="312"/>
      <c r="S41" s="2469"/>
      <c r="T41" s="2417"/>
      <c r="U41" s="239"/>
      <c r="V41" s="2442"/>
      <c r="W41" s="2466"/>
      <c r="X41" s="1850" t="s">
        <v>441</v>
      </c>
      <c r="Y41" s="1850" t="s">
        <v>442</v>
      </c>
      <c r="Z41" s="1850" t="s">
        <v>443</v>
      </c>
      <c r="AA41" s="2422" t="s">
        <v>444</v>
      </c>
      <c r="AB41" s="2436"/>
      <c r="AC41" s="2475"/>
      <c r="AD41" s="2442"/>
      <c r="AE41" s="2466"/>
      <c r="AF41" s="1850" t="s">
        <v>441</v>
      </c>
      <c r="AG41" s="1850" t="s">
        <v>442</v>
      </c>
      <c r="AH41" s="1850" t="s">
        <v>443</v>
      </c>
      <c r="AI41" s="2422" t="s">
        <v>444</v>
      </c>
      <c r="AJ41" s="2436"/>
      <c r="AK41" s="2475"/>
      <c r="AL41" s="2478"/>
      <c r="AM41" s="2328"/>
      <c r="AS41" s="1549">
        <v>34</v>
      </c>
    </row>
    <row r="42" spans="1:45" s="2028"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108</v>
      </c>
      <c r="T42" s="1173" t="s">
        <v>109</v>
      </c>
      <c r="U42" s="1163" t="str">
        <f ca="1">OFFSET(U42,0,-1)</f>
        <v>2</v>
      </c>
      <c r="V42" s="1868">
        <f ca="1">OFFSET(V42,0,-1)+1</f>
        <v>3</v>
      </c>
      <c r="W42" s="1868"/>
      <c r="X42" s="1868">
        <f ca="1">OFFSET(X42,0,-1)+1</f>
        <v>1</v>
      </c>
      <c r="Y42" s="1868">
        <f ca="1">OFFSET(Y42,0,-1)+1</f>
        <v>2</v>
      </c>
      <c r="Z42" s="1868">
        <f ca="1">OFFSET(Z42,0,-1)+1</f>
        <v>3</v>
      </c>
      <c r="AA42" s="2467">
        <f ca="1">OFFSET(AA42,0,-1)+1</f>
        <v>4</v>
      </c>
      <c r="AB42" s="2467"/>
      <c r="AC42" s="1868">
        <f ca="1">OFFSET(AC42,0,-2)+1</f>
        <v>5</v>
      </c>
      <c r="AD42" s="1868">
        <f ca="1">OFFSET(AD42,0,-1)+1</f>
        <v>6</v>
      </c>
      <c r="AE42" s="1868"/>
      <c r="AF42" s="1868">
        <f ca="1">OFFSET(AF42,0,-1)+1</f>
        <v>1</v>
      </c>
      <c r="AG42" s="1868">
        <f ca="1">OFFSET(AG42,0,-1)+1</f>
        <v>2</v>
      </c>
      <c r="AH42" s="1868">
        <f ca="1">OFFSET(AH42,0,-1)+1</f>
        <v>3</v>
      </c>
      <c r="AI42" s="2467">
        <f ca="1">OFFSET(AI42,0,-1)+1</f>
        <v>4</v>
      </c>
      <c r="AJ42" s="2467"/>
      <c r="AK42" s="1868">
        <f ca="1">OFFSET(AK42,0,-2)+1</f>
        <v>5</v>
      </c>
      <c r="AL42" s="1163">
        <f ca="1">OFFSET(AL42,0,-1)</f>
        <v>5</v>
      </c>
      <c r="AM42" s="1868">
        <f ca="1">OFFSET(AM42,0,-1)+1</f>
        <v>6</v>
      </c>
      <c r="AN42" s="1554"/>
      <c r="AO42" s="1554"/>
      <c r="AP42" s="1554"/>
      <c r="AQ42" s="1554"/>
      <c r="AR42" s="1554"/>
      <c r="AS42" s="1559">
        <v>0</v>
      </c>
    </row>
    <row r="43" spans="1:45" ht="21.95" customHeight="1">
      <c r="A43" s="1185" t="s">
        <v>209</v>
      </c>
      <c r="B43" s="1185"/>
      <c r="C43" s="1185"/>
      <c r="D43" s="1185"/>
      <c r="E43" s="2482">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209</v>
      </c>
      <c r="B44" s="1185" t="s">
        <v>210</v>
      </c>
      <c r="C44" s="1185"/>
      <c r="D44" s="1185"/>
      <c r="E44" s="2483"/>
      <c r="F44" s="2482">
        <v>1</v>
      </c>
      <c r="G44" s="1185"/>
      <c r="H44" s="1185"/>
      <c r="I44" s="1185"/>
      <c r="J44" s="1185"/>
      <c r="K44" s="1185"/>
      <c r="L44" s="1228"/>
      <c r="M44" s="1528"/>
      <c r="N44" s="1528"/>
      <c r="O44" s="1528"/>
      <c r="P44" s="1852"/>
      <c r="Q44" s="288"/>
      <c r="R44" s="289"/>
      <c r="S44" s="1870" t="str">
        <f>INDEX(PT_DIFFERENTIATION_NUM_TER,MATCH(B44,PT_DIFFERENTIATION_TER_ID,0))</f>
        <v>.</v>
      </c>
      <c r="T44" s="1440"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1542"/>
      <c r="AP44" s="1542" t="str">
        <f t="shared" si="1"/>
        <v>Территория действия тарифа</v>
      </c>
      <c r="AQ44" s="1542"/>
      <c r="AR44" s="1542"/>
      <c r="AS44" s="1549">
        <v>21</v>
      </c>
    </row>
    <row r="45" spans="1:45" ht="24" customHeight="1">
      <c r="A45" s="1185" t="s">
        <v>209</v>
      </c>
      <c r="B45" s="1185" t="s">
        <v>210</v>
      </c>
      <c r="C45" s="1185" t="s">
        <v>211</v>
      </c>
      <c r="D45" s="1185"/>
      <c r="E45" s="2483"/>
      <c r="F45" s="2483"/>
      <c r="G45" s="2482">
        <v>1</v>
      </c>
      <c r="H45" s="1185"/>
      <c r="I45" s="1185"/>
      <c r="J45" s="1185"/>
      <c r="K45" s="1185"/>
      <c r="L45" s="1228"/>
      <c r="M45" s="1528"/>
      <c r="N45" s="1528"/>
      <c r="O45" s="1528"/>
      <c r="P45" s="290"/>
      <c r="Q45" s="288"/>
      <c r="R45" s="289"/>
      <c r="S45" s="1870"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1542"/>
      <c r="AP45" s="1542" t="str">
        <f t="shared" si="1"/>
        <v xml:space="preserve">Наименование системы теплоснабжения </v>
      </c>
      <c r="AQ45" s="1542"/>
      <c r="AR45" s="1542"/>
      <c r="AS45" s="1549">
        <v>23</v>
      </c>
    </row>
    <row r="46" spans="1:45" ht="21.95" customHeight="1">
      <c r="A46" s="1185" t="s">
        <v>209</v>
      </c>
      <c r="B46" s="1185" t="s">
        <v>210</v>
      </c>
      <c r="C46" s="1185" t="s">
        <v>211</v>
      </c>
      <c r="D46" s="1185" t="s">
        <v>212</v>
      </c>
      <c r="E46" s="2483"/>
      <c r="F46" s="2483"/>
      <c r="G46" s="2483"/>
      <c r="H46" s="2482">
        <v>1</v>
      </c>
      <c r="I46" s="1185"/>
      <c r="J46" s="1185"/>
      <c r="K46" s="1185"/>
      <c r="L46" s="1228"/>
      <c r="M46" s="1528"/>
      <c r="N46" s="1528"/>
      <c r="O46" s="1528"/>
      <c r="P46" s="290"/>
      <c r="Q46" s="288"/>
      <c r="R46" s="289"/>
      <c r="S46" s="1870"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1542"/>
      <c r="AP46" s="1542" t="str">
        <f t="shared" si="1"/>
        <v xml:space="preserve">Источник тепловой энергии  </v>
      </c>
      <c r="AQ46" s="1542"/>
      <c r="AR46" s="1542"/>
      <c r="AS46" s="1549">
        <v>21</v>
      </c>
    </row>
    <row r="47" spans="1:45" ht="49.5" customHeight="1">
      <c r="A47" s="1185" t="s">
        <v>209</v>
      </c>
      <c r="B47" s="1185" t="s">
        <v>210</v>
      </c>
      <c r="C47" s="1185" t="s">
        <v>211</v>
      </c>
      <c r="D47" s="1185" t="s">
        <v>212</v>
      </c>
      <c r="E47" s="2483"/>
      <c r="F47" s="2483"/>
      <c r="G47" s="2483"/>
      <c r="H47" s="2483"/>
      <c r="I47" s="2328" t="str">
        <f>S46&amp;".1"</f>
        <v>....1</v>
      </c>
      <c r="J47" s="1185"/>
      <c r="K47" s="1185"/>
      <c r="L47" s="1228" t="s">
        <v>400</v>
      </c>
      <c r="P47" s="2460">
        <v>1</v>
      </c>
      <c r="Q47" s="1866"/>
      <c r="R47" s="292"/>
      <c r="S47" s="1870" t="str">
        <f>$I47</f>
        <v>....1</v>
      </c>
      <c r="T47" s="222" t="s">
        <v>401</v>
      </c>
      <c r="U47" s="237"/>
      <c r="V47" s="2444"/>
      <c r="W47" s="2445"/>
      <c r="X47" s="2445"/>
      <c r="Y47" s="2445"/>
      <c r="Z47" s="2445"/>
      <c r="AA47" s="2445"/>
      <c r="AB47" s="2445"/>
      <c r="AC47" s="2446"/>
      <c r="AD47" s="2444"/>
      <c r="AE47" s="2445"/>
      <c r="AF47" s="2445"/>
      <c r="AG47" s="2445"/>
      <c r="AH47" s="2445"/>
      <c r="AI47" s="2445"/>
      <c r="AJ47" s="2445"/>
      <c r="AK47" s="2445"/>
      <c r="AL47" s="2446"/>
      <c r="AM47" s="1176" t="s">
        <v>402</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209</v>
      </c>
      <c r="B48" s="1185" t="s">
        <v>210</v>
      </c>
      <c r="C48" s="1185" t="s">
        <v>211</v>
      </c>
      <c r="D48" s="1185" t="s">
        <v>212</v>
      </c>
      <c r="E48" s="2483"/>
      <c r="F48" s="2483"/>
      <c r="G48" s="2483"/>
      <c r="H48" s="2483"/>
      <c r="I48" s="2310"/>
      <c r="J48" s="2328" t="str">
        <f>I47&amp;".1"</f>
        <v>....1.1</v>
      </c>
      <c r="K48" s="1185"/>
      <c r="L48" s="1228" t="s">
        <v>403</v>
      </c>
      <c r="P48" s="2460"/>
      <c r="Q48" s="2460">
        <v>1</v>
      </c>
      <c r="R48" s="293"/>
      <c r="S48" s="1870" t="str">
        <f>$J48</f>
        <v>....1.1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1542"/>
      <c r="AP48" s="1542" t="str">
        <f t="shared" si="1"/>
        <v>Группа потребителей</v>
      </c>
      <c r="AQ48" s="1542"/>
      <c r="AR48" s="1542"/>
      <c r="AS48" s="1549">
        <v>21</v>
      </c>
    </row>
    <row r="49" spans="1:45" ht="21.95" customHeight="1">
      <c r="A49" s="1185" t="s">
        <v>209</v>
      </c>
      <c r="B49" s="1185" t="s">
        <v>210</v>
      </c>
      <c r="C49" s="1185" t="s">
        <v>211</v>
      </c>
      <c r="D49" s="1185" t="s">
        <v>212</v>
      </c>
      <c r="E49" s="2483"/>
      <c r="F49" s="2483"/>
      <c r="G49" s="2483"/>
      <c r="H49" s="2483"/>
      <c r="I49" s="2310"/>
      <c r="J49" s="2310"/>
      <c r="K49" s="2328" t="str">
        <f>J48&amp;".1"</f>
        <v>....1.1.1</v>
      </c>
      <c r="L49" s="1228" t="s">
        <v>406</v>
      </c>
      <c r="P49" s="2460"/>
      <c r="Q49" s="2460"/>
      <c r="R49" s="293">
        <v>1</v>
      </c>
      <c r="S49" s="1870" t="str">
        <f>$K49</f>
        <v>....1.1.1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407</v>
      </c>
      <c r="AN49" s="1554" t="e">
        <f ca="1">STRCHECKDATE(V50:AL50)</f>
        <v>#NAME?</v>
      </c>
      <c r="AO49" s="1542"/>
      <c r="AP49" s="1542" t="str">
        <f t="shared" si="1"/>
        <v/>
      </c>
      <c r="AQ49" s="1542"/>
      <c r="AR49" s="1542"/>
      <c r="AS49" s="1549">
        <v>21</v>
      </c>
    </row>
    <row r="50" spans="1:45" ht="1.1499999999999999" customHeight="1">
      <c r="A50" s="1185" t="s">
        <v>209</v>
      </c>
      <c r="B50" s="1185" t="s">
        <v>210</v>
      </c>
      <c r="C50" s="1185" t="s">
        <v>211</v>
      </c>
      <c r="D50" s="1185" t="s">
        <v>212</v>
      </c>
      <c r="E50" s="2483"/>
      <c r="F50" s="2483"/>
      <c r="G50" s="2483"/>
      <c r="H50" s="2483"/>
      <c r="I50" s="2310"/>
      <c r="J50" s="2310"/>
      <c r="K50" s="2328"/>
      <c r="L50" s="1228"/>
      <c r="P50" s="2460"/>
      <c r="Q50" s="2460"/>
      <c r="R50" s="293"/>
      <c r="S50" s="1879"/>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1542"/>
      <c r="AP50" s="1542" t="str">
        <f t="shared" si="1"/>
        <v/>
      </c>
      <c r="AQ50" s="1542"/>
      <c r="AR50" s="1542"/>
      <c r="AS50" s="1549">
        <v>1</v>
      </c>
    </row>
    <row r="51" spans="1:45" ht="11.45" customHeight="1">
      <c r="A51" s="1185" t="s">
        <v>209</v>
      </c>
      <c r="B51" s="1185" t="s">
        <v>210</v>
      </c>
      <c r="C51" s="1185" t="s">
        <v>211</v>
      </c>
      <c r="D51" s="1185" t="s">
        <v>212</v>
      </c>
      <c r="E51" s="2483"/>
      <c r="F51" s="2483"/>
      <c r="G51" s="2483"/>
      <c r="H51" s="2483"/>
      <c r="I51" s="2310"/>
      <c r="J51" s="2328"/>
      <c r="K51" s="1185"/>
      <c r="L51" s="1228"/>
      <c r="P51" s="2460"/>
      <c r="Q51" s="2460"/>
      <c r="R51" s="292"/>
      <c r="S51" s="1196"/>
      <c r="T51" s="225" t="s">
        <v>408</v>
      </c>
      <c r="U51" s="536"/>
      <c r="V51" s="536"/>
      <c r="W51" s="536"/>
      <c r="X51" s="536"/>
      <c r="Y51" s="536"/>
      <c r="Z51" s="536"/>
      <c r="AA51" s="536"/>
      <c r="AB51" s="536"/>
      <c r="AC51" s="536"/>
      <c r="AD51" s="536"/>
      <c r="AE51" s="536"/>
      <c r="AF51" s="536"/>
      <c r="AG51" s="536"/>
      <c r="AH51" s="536"/>
      <c r="AI51" s="536"/>
      <c r="AJ51" s="536"/>
      <c r="AK51" s="536"/>
      <c r="AL51" s="261"/>
      <c r="AM51" s="2481"/>
      <c r="AO51" s="1542"/>
      <c r="AP51" s="1542" t="str">
        <f t="shared" si="1"/>
        <v>Добавить вид теплоносителя (параметры теплоносителя)</v>
      </c>
      <c r="AQ51" s="1542"/>
      <c r="AR51" s="1542"/>
      <c r="AS51" s="1549">
        <v>11</v>
      </c>
    </row>
    <row r="52" spans="1:45" ht="11.45" customHeight="1">
      <c r="A52" s="1185" t="s">
        <v>209</v>
      </c>
      <c r="B52" s="1185" t="s">
        <v>210</v>
      </c>
      <c r="C52" s="1185" t="s">
        <v>211</v>
      </c>
      <c r="D52" s="1185" t="s">
        <v>212</v>
      </c>
      <c r="E52" s="2483"/>
      <c r="F52" s="2483"/>
      <c r="G52" s="2483"/>
      <c r="H52" s="2483"/>
      <c r="I52" s="2328"/>
      <c r="J52" s="1185"/>
      <c r="K52" s="1185"/>
      <c r="L52" s="1228"/>
      <c r="P52" s="2460"/>
      <c r="Q52" s="1866"/>
      <c r="R52" s="292"/>
      <c r="S52" s="1196"/>
      <c r="T52" s="224" t="s">
        <v>409</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209</v>
      </c>
      <c r="B53" s="1185" t="s">
        <v>210</v>
      </c>
      <c r="C53" s="1185" t="s">
        <v>211</v>
      </c>
      <c r="D53" s="1185" t="s">
        <v>212</v>
      </c>
      <c r="E53" s="2483"/>
      <c r="F53" s="2483"/>
      <c r="G53" s="2483"/>
      <c r="H53" s="2482"/>
      <c r="I53" s="1185"/>
      <c r="J53" s="1185"/>
      <c r="K53" s="1185"/>
      <c r="L53" s="1228"/>
      <c r="M53" s="1528"/>
      <c r="N53" s="1528"/>
      <c r="O53" s="1553"/>
      <c r="P53" s="296"/>
      <c r="Q53" s="311"/>
      <c r="R53" s="291"/>
      <c r="S53" s="1196"/>
      <c r="T53" s="301" t="s">
        <v>410</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034" customFormat="1" ht="1.1499999999999999" customHeight="1">
      <c r="A54" s="1185" t="s">
        <v>209</v>
      </c>
      <c r="B54" s="1185" t="s">
        <v>210</v>
      </c>
      <c r="C54" s="1185" t="s">
        <v>211</v>
      </c>
      <c r="D54" s="1886"/>
      <c r="E54" s="2483"/>
      <c r="F54" s="2483"/>
      <c r="G54" s="2482"/>
      <c r="H54" s="1886"/>
      <c r="I54" s="1886"/>
      <c r="J54" s="1886"/>
      <c r="K54" s="1886"/>
      <c r="L54" s="1298"/>
      <c r="M54" s="1528"/>
      <c r="N54" s="1528"/>
      <c r="O54" s="155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34" customFormat="1" ht="1.1499999999999999" customHeight="1">
      <c r="A55" s="1185" t="s">
        <v>209</v>
      </c>
      <c r="B55" s="1185" t="s">
        <v>210</v>
      </c>
      <c r="C55" s="1886"/>
      <c r="D55" s="1886"/>
      <c r="E55" s="2483"/>
      <c r="F55" s="2482"/>
      <c r="G55" s="1886"/>
      <c r="H55" s="1886"/>
      <c r="I55" s="1886"/>
      <c r="J55" s="1886"/>
      <c r="K55" s="1886"/>
      <c r="L55" s="1298"/>
      <c r="M55" s="1887"/>
      <c r="N55" s="1887"/>
      <c r="O55" s="1553"/>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34" customFormat="1" ht="1.1499999999999999" customHeight="1">
      <c r="A56" s="1185" t="s">
        <v>209</v>
      </c>
      <c r="B56" s="1185"/>
      <c r="C56" s="1185"/>
      <c r="D56" s="1185"/>
      <c r="E56" s="2482"/>
      <c r="F56" s="1185"/>
      <c r="G56" s="1185"/>
      <c r="H56" s="1185"/>
      <c r="I56" s="1185"/>
      <c r="J56" s="1185"/>
      <c r="K56" s="1185"/>
      <c r="L56" s="1228"/>
      <c r="M56" s="1887"/>
      <c r="N56" s="1887"/>
      <c r="O56" s="1553"/>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34"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549">
        <v>27</v>
      </c>
    </row>
    <row r="60" spans="1:45" ht="65.25" customHeight="1">
      <c r="O60" s="155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549">
        <v>62</v>
      </c>
    </row>
    <row r="61" spans="1:45" ht="14.65" customHeight="1">
      <c r="O61" s="1553"/>
      <c r="AS61" s="1549">
        <v>14</v>
      </c>
    </row>
    <row r="62" spans="1:45" ht="18.75" customHeight="1">
      <c r="O62" s="1553"/>
      <c r="S62" s="1171"/>
      <c r="T62" s="2455"/>
      <c r="U62" s="2455"/>
      <c r="V62" s="2455"/>
      <c r="W62" s="2455"/>
      <c r="X62" s="2455"/>
      <c r="Y62" s="2455"/>
      <c r="Z62" s="2455"/>
      <c r="AA62" s="2455"/>
      <c r="AB62" s="2455"/>
      <c r="AC62" s="2455"/>
      <c r="AD62" s="2455"/>
      <c r="AE62" s="2455"/>
      <c r="AF62" s="2455"/>
      <c r="AG62" s="2455"/>
      <c r="AH62" s="2455"/>
      <c r="AI62" s="2455"/>
      <c r="AJ62" s="2455"/>
      <c r="AK62" s="2455"/>
      <c r="AL62" s="2455"/>
      <c r="AM62" s="2455"/>
      <c r="AS62" s="1549">
        <v>18</v>
      </c>
    </row>
    <row r="63" spans="1:45" ht="18.75" customHeight="1">
      <c r="O63" s="1553"/>
      <c r="T63" s="2455"/>
      <c r="U63" s="2455"/>
      <c r="V63" s="2455"/>
      <c r="W63" s="2455"/>
      <c r="X63" s="2455"/>
      <c r="Y63" s="2455"/>
      <c r="Z63" s="2455"/>
      <c r="AA63" s="2455"/>
      <c r="AB63" s="2455"/>
      <c r="AC63" s="2455"/>
      <c r="AD63" s="2455"/>
      <c r="AE63" s="2455"/>
      <c r="AF63" s="2455"/>
      <c r="AG63" s="2455"/>
      <c r="AH63" s="2455"/>
      <c r="AI63" s="2455"/>
      <c r="AJ63" s="2455"/>
      <c r="AK63" s="2455"/>
      <c r="AL63" s="2455"/>
      <c r="AM63" s="2455"/>
      <c r="AS63" s="1549">
        <v>18</v>
      </c>
    </row>
    <row r="64" spans="1:45" ht="29.25" customHeight="1">
      <c r="O64" s="1553"/>
      <c r="S64" s="1171"/>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1" style="2062" customWidth="1"/>
    <col min="21" max="21" width="0.7109375" style="2062" hidden="1" customWidth="1"/>
    <col min="22" max="22" width="1.7109375" style="2062" hidden="1" customWidth="1"/>
    <col min="23" max="23" width="24.7109375" style="2062" hidden="1" customWidth="1"/>
    <col min="24" max="25" width="0.14062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0.140625" style="2062" customWidth="1"/>
    <col min="31" max="31" width="24" style="2062" customWidth="1"/>
    <col min="32" max="33" width="0.140625"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Y1" s="264"/>
      <c r="Z1" s="264"/>
      <c r="AG1" s="264"/>
      <c r="AH1" s="264"/>
      <c r="AS1" s="1073" t="s">
        <v>14</v>
      </c>
    </row>
    <row r="2" spans="1:45" ht="21" hidden="1" customHeight="1">
      <c r="A2" s="1281"/>
      <c r="B2" s="1281"/>
      <c r="C2" s="1281"/>
      <c r="D2" s="1281"/>
      <c r="E2" s="2456">
        <v>1</v>
      </c>
      <c r="F2" s="1281"/>
      <c r="G2" s="1281"/>
      <c r="H2" s="1281"/>
      <c r="I2" s="1281"/>
      <c r="J2" s="1281"/>
      <c r="K2" s="1281"/>
      <c r="L2" s="1282"/>
      <c r="M2" s="1283"/>
      <c r="N2" s="1283"/>
      <c r="O2" s="1283"/>
      <c r="P2" s="297"/>
      <c r="Q2" s="296"/>
      <c r="R2" s="291"/>
      <c r="S2" s="1254" t="e">
        <f>INDEX(PT_DIFFERENTIATION_NUM_NTAR,MATCH(A2,PT_DIFFERENTIATION_NTAR_ID,0))</f>
        <v>#N/A</v>
      </c>
      <c r="T2" s="235"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436"/>
      <c r="AP2" s="436" t="str">
        <f t="shared" ref="AP2:AP15" si="0">IF(T2="","",T2)</f>
        <v>Наименование тарифа</v>
      </c>
      <c r="AQ2" s="436"/>
      <c r="AR2" s="436"/>
      <c r="AS2" s="1073">
        <v>0</v>
      </c>
    </row>
    <row r="3" spans="1:45" ht="21" hidden="1" customHeight="1">
      <c r="A3" s="1281"/>
      <c r="B3" s="1281"/>
      <c r="C3" s="1281"/>
      <c r="D3" s="1281"/>
      <c r="E3" s="2457"/>
      <c r="F3" s="2456">
        <v>1</v>
      </c>
      <c r="G3" s="1281"/>
      <c r="H3" s="1281"/>
      <c r="I3" s="1281"/>
      <c r="J3" s="1281"/>
      <c r="K3" s="1281"/>
      <c r="L3" s="1282"/>
      <c r="M3" s="1283"/>
      <c r="N3" s="1283"/>
      <c r="O3" s="1283"/>
      <c r="P3" s="1250"/>
      <c r="Q3" s="288"/>
      <c r="R3" s="289"/>
      <c r="S3" s="1254" t="e">
        <f>INDEX(PT_DIFFERENTIATION_NUM_TER,MATCH(B3,PT_DIFFERENTIATION_TER_ID,0))</f>
        <v>#N/A</v>
      </c>
      <c r="T3" s="245"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436"/>
      <c r="AP3" s="436" t="str">
        <f t="shared" si="0"/>
        <v>Территория действия тарифа</v>
      </c>
      <c r="AQ3" s="436"/>
      <c r="AR3" s="436"/>
      <c r="AS3" s="1073">
        <v>0</v>
      </c>
    </row>
    <row r="4" spans="1:45" ht="23.25" hidden="1" customHeight="1">
      <c r="A4" s="1281"/>
      <c r="B4" s="1281"/>
      <c r="C4" s="1281"/>
      <c r="D4" s="1281"/>
      <c r="E4" s="2457"/>
      <c r="F4" s="2457"/>
      <c r="G4" s="2456">
        <v>1</v>
      </c>
      <c r="H4" s="1281"/>
      <c r="I4" s="1281"/>
      <c r="J4" s="1281"/>
      <c r="K4" s="1281"/>
      <c r="L4" s="1282"/>
      <c r="M4" s="1283"/>
      <c r="N4" s="1283"/>
      <c r="O4" s="1283"/>
      <c r="P4" s="290"/>
      <c r="Q4" s="288"/>
      <c r="R4" s="289"/>
      <c r="S4" s="1254"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57"/>
      <c r="F5" s="2457"/>
      <c r="G5" s="2457"/>
      <c r="H5" s="2456">
        <v>1</v>
      </c>
      <c r="I5" s="1281"/>
      <c r="J5" s="1281"/>
      <c r="K5" s="1281"/>
      <c r="L5" s="1282"/>
      <c r="M5" s="1283"/>
      <c r="N5" s="1283"/>
      <c r="O5" s="1283"/>
      <c r="P5" s="290"/>
      <c r="Q5" s="288"/>
      <c r="R5" s="289"/>
      <c r="S5" s="1254"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436"/>
      <c r="AP5" s="436" t="str">
        <f t="shared" si="0"/>
        <v xml:space="preserve">Источник тепловой энергии  </v>
      </c>
      <c r="AQ5" s="436"/>
      <c r="AR5" s="436"/>
      <c r="AS5" s="1073">
        <v>0</v>
      </c>
    </row>
    <row r="6" spans="1:45" ht="47.25" hidden="1" customHeight="1">
      <c r="A6" s="1281"/>
      <c r="B6" s="1281"/>
      <c r="C6" s="1281"/>
      <c r="D6" s="1281"/>
      <c r="E6" s="2457"/>
      <c r="F6" s="2457"/>
      <c r="G6" s="2457"/>
      <c r="H6" s="2457"/>
      <c r="I6" s="2458" t="e">
        <f>S5&amp;".1"</f>
        <v>#N/A</v>
      </c>
      <c r="J6" s="1281"/>
      <c r="K6" s="1281"/>
      <c r="L6" s="1282" t="s">
        <v>400</v>
      </c>
      <c r="M6" s="473"/>
      <c r="P6" s="2460">
        <v>1</v>
      </c>
      <c r="Q6" s="1249"/>
      <c r="R6" s="292"/>
      <c r="S6" s="1254" t="e">
        <f>$I6</f>
        <v>#N/A</v>
      </c>
      <c r="T6" s="222" t="s">
        <v>401</v>
      </c>
      <c r="U6" s="237"/>
      <c r="V6" s="2444"/>
      <c r="W6" s="2445"/>
      <c r="X6" s="2445"/>
      <c r="Y6" s="2445"/>
      <c r="Z6" s="2445"/>
      <c r="AA6" s="2445"/>
      <c r="AB6" s="2445"/>
      <c r="AC6" s="2446"/>
      <c r="AD6" s="2444"/>
      <c r="AE6" s="2445"/>
      <c r="AF6" s="2445"/>
      <c r="AG6" s="2445"/>
      <c r="AH6" s="2445"/>
      <c r="AI6" s="2445"/>
      <c r="AJ6" s="2445"/>
      <c r="AK6" s="2445"/>
      <c r="AL6" s="2446"/>
      <c r="AM6" s="1176" t="s">
        <v>402</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457"/>
      <c r="F7" s="2457"/>
      <c r="G7" s="2457"/>
      <c r="H7" s="2457"/>
      <c r="I7" s="2459"/>
      <c r="J7" s="2458" t="e">
        <f>I6&amp;".1"</f>
        <v>#N/A</v>
      </c>
      <c r="K7" s="1281"/>
      <c r="L7" s="1282" t="s">
        <v>403</v>
      </c>
      <c r="M7" s="473"/>
      <c r="N7" s="1284"/>
      <c r="P7" s="2460"/>
      <c r="Q7" s="2460">
        <v>1</v>
      </c>
      <c r="R7" s="293"/>
      <c r="S7" s="1254"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436"/>
      <c r="AP7" s="436" t="str">
        <f t="shared" si="0"/>
        <v>Группа потребителей</v>
      </c>
      <c r="AQ7" s="436"/>
      <c r="AR7" s="436"/>
      <c r="AS7" s="1073">
        <v>0</v>
      </c>
    </row>
    <row r="8" spans="1:45" ht="21" hidden="1" customHeight="1">
      <c r="A8" s="1281"/>
      <c r="B8" s="1281"/>
      <c r="C8" s="1281"/>
      <c r="D8" s="1281"/>
      <c r="E8" s="2457"/>
      <c r="F8" s="2457"/>
      <c r="G8" s="2457"/>
      <c r="H8" s="2457"/>
      <c r="I8" s="2459"/>
      <c r="J8" s="2459"/>
      <c r="K8" s="2458" t="e">
        <f>J7&amp;".1"</f>
        <v>#N/A</v>
      </c>
      <c r="L8" s="1282" t="s">
        <v>406</v>
      </c>
      <c r="M8" s="473"/>
      <c r="N8" s="1284"/>
      <c r="O8" s="1284"/>
      <c r="P8" s="2460"/>
      <c r="Q8" s="2460"/>
      <c r="R8" s="293">
        <v>1</v>
      </c>
      <c r="S8" s="1254" t="e">
        <f>$K8</f>
        <v>#N/A</v>
      </c>
      <c r="T8" s="1265"/>
      <c r="U8" s="237"/>
      <c r="V8" s="262"/>
      <c r="W8" s="687"/>
      <c r="X8" s="262"/>
      <c r="Y8" s="320"/>
      <c r="Z8" s="2461"/>
      <c r="AA8" s="2338" t="s">
        <v>67</v>
      </c>
      <c r="AB8" s="2461"/>
      <c r="AC8" s="2338" t="s">
        <v>67</v>
      </c>
      <c r="AD8" s="262"/>
      <c r="AE8" s="687"/>
      <c r="AF8" s="262"/>
      <c r="AG8" s="320"/>
      <c r="AH8" s="2461"/>
      <c r="AI8" s="2338" t="s">
        <v>67</v>
      </c>
      <c r="AJ8" s="2461"/>
      <c r="AK8" s="2338" t="s">
        <v>67</v>
      </c>
      <c r="AL8" s="262"/>
      <c r="AM8" s="2479" t="s">
        <v>407</v>
      </c>
      <c r="AN8" s="447" t="e">
        <f ca="1">STRCHECKDATE(V9:AL9)</f>
        <v>#NAME?</v>
      </c>
      <c r="AO8" s="436"/>
      <c r="AP8" s="436" t="str">
        <f t="shared" si="0"/>
        <v/>
      </c>
      <c r="AQ8" s="436"/>
      <c r="AR8" s="436"/>
      <c r="AS8" s="1073">
        <v>0</v>
      </c>
    </row>
    <row r="9" spans="1:45" ht="0.75" hidden="1" customHeight="1">
      <c r="A9" s="1281"/>
      <c r="B9" s="1281"/>
      <c r="C9" s="1281"/>
      <c r="D9" s="1281"/>
      <c r="E9" s="2457"/>
      <c r="F9" s="2457"/>
      <c r="G9" s="2457"/>
      <c r="H9" s="2457"/>
      <c r="I9" s="2459"/>
      <c r="J9" s="2459"/>
      <c r="K9" s="2458"/>
      <c r="L9" s="1282"/>
      <c r="M9" s="473"/>
      <c r="N9" s="1284"/>
      <c r="O9" s="1284"/>
      <c r="P9" s="2460"/>
      <c r="Q9" s="2460"/>
      <c r="R9" s="293"/>
      <c r="S9" s="1260"/>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436"/>
      <c r="AP9" s="436" t="str">
        <f t="shared" si="0"/>
        <v/>
      </c>
      <c r="AQ9" s="436"/>
      <c r="AR9" s="436"/>
      <c r="AS9" s="1073">
        <v>0</v>
      </c>
    </row>
    <row r="10" spans="1:45" ht="15" hidden="1" customHeight="1">
      <c r="A10" s="1281"/>
      <c r="B10" s="1281"/>
      <c r="C10" s="1281"/>
      <c r="D10" s="1281"/>
      <c r="E10" s="2457"/>
      <c r="F10" s="2457"/>
      <c r="G10" s="2457"/>
      <c r="H10" s="2457"/>
      <c r="I10" s="2459"/>
      <c r="J10" s="2458"/>
      <c r="K10" s="1281"/>
      <c r="L10" s="1282"/>
      <c r="M10" s="473"/>
      <c r="N10" s="1284"/>
      <c r="P10" s="2460"/>
      <c r="Q10" s="2460"/>
      <c r="R10" s="292"/>
      <c r="S10" s="1196"/>
      <c r="T10" s="225" t="s">
        <v>408</v>
      </c>
      <c r="U10" s="303"/>
      <c r="V10" s="303"/>
      <c r="W10" s="303"/>
      <c r="X10" s="303"/>
      <c r="Y10" s="303"/>
      <c r="Z10" s="303"/>
      <c r="AA10" s="303"/>
      <c r="AB10" s="303"/>
      <c r="AC10" s="303"/>
      <c r="AD10" s="303"/>
      <c r="AE10" s="303"/>
      <c r="AF10" s="303"/>
      <c r="AG10" s="303"/>
      <c r="AH10" s="303"/>
      <c r="AI10" s="303"/>
      <c r="AJ10" s="303"/>
      <c r="AK10" s="303"/>
      <c r="AL10" s="261"/>
      <c r="AM10" s="24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57"/>
      <c r="F11" s="2457"/>
      <c r="G11" s="2457"/>
      <c r="H11" s="2457"/>
      <c r="I11" s="2458"/>
      <c r="J11" s="1281"/>
      <c r="K11" s="1281"/>
      <c r="L11" s="1282"/>
      <c r="M11" s="473"/>
      <c r="P11" s="2460"/>
      <c r="Q11" s="1249"/>
      <c r="R11" s="292"/>
      <c r="S11" s="1196"/>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57"/>
      <c r="F12" s="2457"/>
      <c r="G12" s="2457"/>
      <c r="H12" s="2456"/>
      <c r="I12" s="1281"/>
      <c r="J12" s="1281"/>
      <c r="K12" s="1281"/>
      <c r="L12" s="1282"/>
      <c r="M12" s="1283"/>
      <c r="N12" s="1283"/>
      <c r="O12" s="473"/>
      <c r="P12" s="296"/>
      <c r="Q12" s="311"/>
      <c r="R12" s="291"/>
      <c r="S12" s="1196"/>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034" customFormat="1" ht="0.75" hidden="1" customHeight="1">
      <c r="A13" s="1232"/>
      <c r="B13" s="1232"/>
      <c r="C13" s="1232"/>
      <c r="D13" s="1232"/>
      <c r="E13" s="2457"/>
      <c r="F13" s="2457"/>
      <c r="G13" s="2456"/>
      <c r="H13" s="1232"/>
      <c r="I13" s="1232"/>
      <c r="J13" s="1232"/>
      <c r="K13" s="1232"/>
      <c r="L13" s="1257"/>
      <c r="M13" s="1233"/>
      <c r="N13" s="123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34" customFormat="1" ht="0.75" hidden="1" customHeight="1">
      <c r="A14" s="1232"/>
      <c r="B14" s="1232"/>
      <c r="C14" s="1232"/>
      <c r="D14" s="1232"/>
      <c r="E14" s="2457"/>
      <c r="F14" s="2456"/>
      <c r="G14" s="1232"/>
      <c r="H14" s="1232"/>
      <c r="I14" s="1232"/>
      <c r="J14" s="1232"/>
      <c r="K14" s="1232"/>
      <c r="L14" s="1257"/>
      <c r="M14" s="1239"/>
      <c r="N14" s="1239"/>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34" customFormat="1" ht="0.75" hidden="1" customHeight="1">
      <c r="A15" s="1232"/>
      <c r="B15" s="1232"/>
      <c r="C15" s="1232"/>
      <c r="D15" s="1232"/>
      <c r="E15" s="2456"/>
      <c r="F15" s="1232"/>
      <c r="G15" s="1232"/>
      <c r="H15" s="1232"/>
      <c r="I15" s="1232"/>
      <c r="J15" s="1232"/>
      <c r="K15" s="1232"/>
      <c r="L15" s="1257"/>
      <c r="M15" s="1239"/>
      <c r="N15" s="1239"/>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54"/>
      <c r="AI17" s="2453" t="s">
        <v>67</v>
      </c>
      <c r="AJ17" s="2454"/>
      <c r="AK17" s="2453" t="s">
        <v>67</v>
      </c>
      <c r="AS17" s="1073">
        <v>0</v>
      </c>
    </row>
    <row r="18" spans="1:45" ht="14.25" hidden="1" customHeight="1">
      <c r="AD18" s="1278"/>
      <c r="AE18" s="1278"/>
      <c r="AF18" s="1278"/>
      <c r="AG18" s="265" t="str">
        <f>AH17&amp;"-"&amp;AJ17</f>
        <v>-</v>
      </c>
      <c r="AH18" s="2453"/>
      <c r="AI18" s="2453"/>
      <c r="AJ18" s="2453"/>
      <c r="AK18" s="2453"/>
      <c r="AS18" s="1073">
        <v>0</v>
      </c>
    </row>
    <row r="19" spans="1:45" ht="14.25" hidden="1" customHeight="1">
      <c r="AK19" s="264"/>
      <c r="AS19" s="1073">
        <v>0</v>
      </c>
    </row>
    <row r="20" spans="1:45" s="2056" customFormat="1" ht="22.5" hidden="1" customHeight="1">
      <c r="L20" s="1247"/>
      <c r="M20" s="1280"/>
      <c r="N20" s="1280"/>
      <c r="O20" s="1285" t="s">
        <v>414</v>
      </c>
      <c r="P20" s="1280"/>
      <c r="Q20" s="1289"/>
      <c r="R20" s="1289"/>
      <c r="S20" s="665"/>
      <c r="Z20" s="1285"/>
      <c r="AB20" s="1285"/>
      <c r="AC20" s="1284"/>
      <c r="AH20" s="1285"/>
      <c r="AJ20" s="1285"/>
      <c r="AK20" s="1284"/>
      <c r="AN20" s="447"/>
      <c r="AO20" s="447"/>
      <c r="AP20" s="447"/>
      <c r="AQ20" s="447"/>
      <c r="AR20" s="447"/>
      <c r="AS20" s="1078">
        <v>0</v>
      </c>
    </row>
    <row r="21" spans="1:45" s="205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56" customFormat="1" ht="33.75" hidden="1" customHeight="1">
      <c r="L22" s="1247"/>
      <c r="M22" s="1280"/>
      <c r="N22" s="1280"/>
      <c r="O22" s="1282" t="s">
        <v>415</v>
      </c>
      <c r="P22" s="1280"/>
      <c r="Q22" s="1289"/>
      <c r="R22" s="1289"/>
      <c r="S22" s="665"/>
      <c r="T22" s="1078" t="s">
        <v>416</v>
      </c>
      <c r="AA22" s="123" t="s">
        <v>417</v>
      </c>
      <c r="AC22" s="123" t="s">
        <v>418</v>
      </c>
      <c r="AD22" s="1078" t="s">
        <v>416</v>
      </c>
      <c r="AI22" s="123" t="s">
        <v>419</v>
      </c>
      <c r="AK22" s="123" t="s">
        <v>418</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29.25" customHeight="1">
      <c r="Q26" s="312"/>
      <c r="R26" s="312"/>
      <c r="S26" s="24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7"/>
      <c r="U26" s="2437"/>
      <c r="V26" s="2437"/>
      <c r="W26" s="2437"/>
      <c r="X26" s="2437"/>
      <c r="Y26" s="2437"/>
      <c r="Z26" s="2437"/>
      <c r="AA26" s="2437"/>
      <c r="AB26" s="2437"/>
      <c r="AC26" s="2437"/>
      <c r="AD26" s="2437"/>
      <c r="AE26" s="2437"/>
      <c r="AF26" s="2437"/>
      <c r="AG26" s="2437"/>
      <c r="AH26" s="2437"/>
      <c r="AI26" s="2437"/>
      <c r="AJ26" s="2437"/>
      <c r="AK26" s="1161"/>
      <c r="AS26" s="1073">
        <v>28</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098" customFormat="1" ht="25.5" hidden="1" customHeight="1">
      <c r="A29" s="1286"/>
      <c r="B29" s="1286"/>
      <c r="C29" s="1286"/>
      <c r="D29" s="1286"/>
      <c r="E29" s="1286"/>
      <c r="F29" s="1286"/>
      <c r="G29" s="1286"/>
      <c r="H29" s="1286"/>
      <c r="I29" s="1286"/>
      <c r="J29" s="1286"/>
      <c r="K29" s="1286"/>
      <c r="L29" s="1287"/>
      <c r="M29" s="1286"/>
      <c r="N29" s="1286"/>
      <c r="O29" s="1286"/>
      <c r="S29" s="2447" t="s">
        <v>43</v>
      </c>
      <c r="T29" s="2447"/>
      <c r="U29" s="1290"/>
      <c r="V29" s="2449" t="str">
        <f>IF(TITLE_NAME_OR_PR_CHANGE="",IF(TITLE_NAME_OR_PR="","",TITLE_NAME_OR_PR),TITLE_NAME_OR_PR_CHANGE)</f>
        <v/>
      </c>
      <c r="W29" s="2449"/>
      <c r="X29" s="2449"/>
      <c r="Y29" s="2449"/>
      <c r="Z29" s="2449"/>
      <c r="AA29" s="2449"/>
      <c r="AB29" s="2449"/>
      <c r="AC29" s="263"/>
      <c r="AD29" s="2449" t="str">
        <f>IF(TITLE_NAME_OR_PR_CHANGE="",IF(TITLE_NAME_OR_PR="","",TITLE_NAME_OR_PR),TITLE_NAME_OR_PR_CHANGE)</f>
        <v/>
      </c>
      <c r="AE29" s="2449"/>
      <c r="AF29" s="2449"/>
      <c r="AG29" s="2449"/>
      <c r="AH29" s="2449"/>
      <c r="AI29" s="2449"/>
      <c r="AJ29" s="2449"/>
      <c r="AK29" s="263"/>
      <c r="AL29" s="263"/>
      <c r="AM29" s="217"/>
      <c r="AN29" s="304"/>
      <c r="AO29" s="304"/>
      <c r="AP29" s="304"/>
      <c r="AQ29" s="304"/>
      <c r="AR29" s="304"/>
      <c r="AS29" s="354">
        <v>0</v>
      </c>
    </row>
    <row r="30" spans="1:45" s="2098" customFormat="1" ht="18.75" hidden="1" customHeight="1">
      <c r="A30" s="1286"/>
      <c r="B30" s="1286"/>
      <c r="C30" s="1286"/>
      <c r="D30" s="1286"/>
      <c r="E30" s="1286"/>
      <c r="F30" s="1286"/>
      <c r="G30" s="1286"/>
      <c r="H30" s="1286"/>
      <c r="I30" s="1286"/>
      <c r="J30" s="1286"/>
      <c r="K30" s="1286"/>
      <c r="L30" s="1287"/>
      <c r="M30" s="1286"/>
      <c r="N30" s="1286"/>
      <c r="O30" s="1286"/>
      <c r="S30" s="2447" t="s">
        <v>420</v>
      </c>
      <c r="T30" s="2447"/>
      <c r="U30" s="1290"/>
      <c r="V30" s="2448" t="str">
        <f>IF(TITLE_DATE_PR_CHANGE="",IF(TITLE_DATE_PR="","",TITLE_DATE_PR),TITLE_DATE_PR_CHANGE)</f>
        <v/>
      </c>
      <c r="W30" s="2448"/>
      <c r="X30" s="2448"/>
      <c r="Y30" s="2448"/>
      <c r="Z30" s="2448"/>
      <c r="AA30" s="2448"/>
      <c r="AB30" s="2448"/>
      <c r="AC30" s="263"/>
      <c r="AD30" s="2448" t="str">
        <f>IF(TITLE_DATE_PR_CHANGE="",IF(TITLE_DATE_PR="","",TITLE_DATE_PR),TITLE_DATE_PR_CHANGE)</f>
        <v/>
      </c>
      <c r="AE30" s="2448"/>
      <c r="AF30" s="2448"/>
      <c r="AG30" s="2448"/>
      <c r="AH30" s="2448"/>
      <c r="AI30" s="2448"/>
      <c r="AJ30" s="2448"/>
      <c r="AK30" s="263"/>
      <c r="AL30" s="263"/>
      <c r="AM30" s="217"/>
      <c r="AN30" s="304"/>
      <c r="AO30" s="304"/>
      <c r="AP30" s="304"/>
      <c r="AQ30" s="304"/>
      <c r="AR30" s="304"/>
      <c r="AS30" s="354">
        <v>0</v>
      </c>
    </row>
    <row r="31" spans="1:45" s="2098" customFormat="1" ht="18.75" hidden="1" customHeight="1">
      <c r="A31" s="1286"/>
      <c r="B31" s="1286"/>
      <c r="C31" s="1286"/>
      <c r="D31" s="1286"/>
      <c r="E31" s="1286"/>
      <c r="F31" s="1286"/>
      <c r="G31" s="1286"/>
      <c r="H31" s="1286"/>
      <c r="I31" s="1286"/>
      <c r="J31" s="1286"/>
      <c r="K31" s="1286"/>
      <c r="L31" s="1287"/>
      <c r="M31" s="1286"/>
      <c r="N31" s="1286"/>
      <c r="O31" s="1286"/>
      <c r="S31" s="2447" t="s">
        <v>421</v>
      </c>
      <c r="T31" s="2447"/>
      <c r="U31" s="1290"/>
      <c r="V31" s="2449" t="str">
        <f>IF(TITLE_NUMBER_PR_CHANGE="",IF(TITLE_NUMBER_PR="","",TITLE_NUMBER_PR),TITLE_NUMBER_PR_CHANGE)</f>
        <v/>
      </c>
      <c r="W31" s="2449"/>
      <c r="X31" s="2449"/>
      <c r="Y31" s="2449"/>
      <c r="Z31" s="2449"/>
      <c r="AA31" s="2449"/>
      <c r="AB31" s="2449"/>
      <c r="AC31" s="263"/>
      <c r="AD31" s="2449" t="str">
        <f>IF(TITLE_NUMBER_PR_CHANGE="",IF(TITLE_NUMBER_PR="","",TITLE_NUMBER_PR),TITLE_NUMBER_PR_CHANGE)</f>
        <v/>
      </c>
      <c r="AE31" s="2449"/>
      <c r="AF31" s="2449"/>
      <c r="AG31" s="2449"/>
      <c r="AH31" s="2449"/>
      <c r="AI31" s="2449"/>
      <c r="AJ31" s="2449"/>
      <c r="AK31" s="263"/>
      <c r="AL31" s="263"/>
      <c r="AM31" s="217"/>
      <c r="AN31" s="304"/>
      <c r="AO31" s="304"/>
      <c r="AP31" s="304"/>
      <c r="AQ31" s="304"/>
      <c r="AR31" s="304"/>
      <c r="AS31" s="354">
        <v>0</v>
      </c>
    </row>
    <row r="32" spans="1:45" s="2098" customFormat="1" ht="18.75" hidden="1" customHeight="1">
      <c r="A32" s="1286"/>
      <c r="B32" s="1286"/>
      <c r="C32" s="1286"/>
      <c r="D32" s="1286"/>
      <c r="E32" s="1286"/>
      <c r="F32" s="1286"/>
      <c r="G32" s="1286"/>
      <c r="H32" s="1286"/>
      <c r="I32" s="1286"/>
      <c r="J32" s="1286"/>
      <c r="K32" s="1286"/>
      <c r="L32" s="1287"/>
      <c r="M32" s="1286"/>
      <c r="N32" s="1286"/>
      <c r="O32" s="1286"/>
      <c r="S32" s="2447" t="s">
        <v>44</v>
      </c>
      <c r="T32" s="2447"/>
      <c r="U32" s="1290"/>
      <c r="V32" s="2449" t="str">
        <f>IF(TITLE_IST_PUB_CHANGE="",IF(TITLE_IST_PUB="","",TITLE_IST_PUB),TITLE_IST_PUB_CHANGE)</f>
        <v/>
      </c>
      <c r="W32" s="2449"/>
      <c r="X32" s="2449"/>
      <c r="Y32" s="2449"/>
      <c r="Z32" s="2449"/>
      <c r="AA32" s="2449"/>
      <c r="AB32" s="2449"/>
      <c r="AC32" s="263"/>
      <c r="AD32" s="2449" t="str">
        <f>IF(TITLE_IST_PUB_CHANGE="",IF(TITLE_IST_PUB="","",TITLE_IST_PUB),TITLE_IST_PUB_CHANGE)</f>
        <v/>
      </c>
      <c r="AE32" s="2449"/>
      <c r="AF32" s="2449"/>
      <c r="AG32" s="2449"/>
      <c r="AH32" s="2449"/>
      <c r="AI32" s="2449"/>
      <c r="AJ32" s="2449"/>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098" customFormat="1" ht="18.75" hidden="1" customHeight="1">
      <c r="A34" s="1286"/>
      <c r="B34" s="1286"/>
      <c r="C34" s="1286"/>
      <c r="D34" s="1286"/>
      <c r="E34" s="1286"/>
      <c r="F34" s="1286"/>
      <c r="G34" s="1286"/>
      <c r="H34" s="1286"/>
      <c r="I34" s="1286"/>
      <c r="J34" s="1286"/>
      <c r="K34" s="1286"/>
      <c r="L34" s="1287"/>
      <c r="M34" s="1286"/>
      <c r="N34" s="1286"/>
      <c r="O34" s="1286"/>
      <c r="S34" s="2447" t="s">
        <v>422</v>
      </c>
      <c r="T34" s="2447"/>
      <c r="U34" s="1290"/>
      <c r="V34" s="2448" t="str">
        <f>IF(TITLE_DATE_PR_CHANGE="",IF(TITLE_DATE_PR="","",TITLE_DATE_PR),TITLE_DATE_PR_CHANGE)</f>
        <v/>
      </c>
      <c r="W34" s="2448"/>
      <c r="X34" s="2448"/>
      <c r="Y34" s="2448"/>
      <c r="Z34" s="2448"/>
      <c r="AA34" s="2448"/>
      <c r="AB34" s="2448"/>
      <c r="AC34" s="263"/>
      <c r="AD34" s="2448" t="str">
        <f>IF(TITLE_DATE_PR_CHANGE="",IF(TITLE_DATE_PR="","",TITLE_DATE_PR),TITLE_DATE_PR_CHANGE)</f>
        <v/>
      </c>
      <c r="AE34" s="2448"/>
      <c r="AF34" s="2448"/>
      <c r="AG34" s="2448"/>
      <c r="AH34" s="2448"/>
      <c r="AI34" s="2448"/>
      <c r="AJ34" s="2448"/>
      <c r="AK34" s="263"/>
      <c r="AL34" s="263"/>
      <c r="AM34" s="217"/>
      <c r="AN34" s="304"/>
      <c r="AO34" s="304"/>
      <c r="AP34" s="304"/>
      <c r="AQ34" s="304"/>
      <c r="AR34" s="304"/>
      <c r="AS34" s="354">
        <v>0</v>
      </c>
    </row>
    <row r="35" spans="1:45" s="2098" customFormat="1" ht="18.75" hidden="1" customHeight="1">
      <c r="A35" s="1286"/>
      <c r="B35" s="1286"/>
      <c r="C35" s="1286"/>
      <c r="D35" s="1286"/>
      <c r="E35" s="1286"/>
      <c r="F35" s="1286"/>
      <c r="G35" s="1286"/>
      <c r="H35" s="1286"/>
      <c r="I35" s="1286"/>
      <c r="J35" s="1286"/>
      <c r="K35" s="1286"/>
      <c r="L35" s="1287"/>
      <c r="M35" s="1286"/>
      <c r="N35" s="1286"/>
      <c r="O35" s="1286"/>
      <c r="S35" s="2447" t="s">
        <v>423</v>
      </c>
      <c r="T35" s="2447"/>
      <c r="U35" s="1290"/>
      <c r="V35" s="2449" t="str">
        <f>IF(TITLE_NUMBER_PR_CHANGE="",IF(TITLE_NUMBER_PR="","",TITLE_NUMBER_PR),TITLE_NUMBER_PR_CHANGE)</f>
        <v/>
      </c>
      <c r="W35" s="2449"/>
      <c r="X35" s="2449"/>
      <c r="Y35" s="2449"/>
      <c r="Z35" s="2449"/>
      <c r="AA35" s="2449"/>
      <c r="AB35" s="2449"/>
      <c r="AC35" s="263"/>
      <c r="AD35" s="2449" t="str">
        <f>IF(TITLE_NUMBER_PR_CHANGE="",IF(TITLE_NUMBER_PR="","",TITLE_NUMBER_PR),TITLE_NUMBER_PR_CHANGE)</f>
        <v/>
      </c>
      <c r="AE35" s="2449"/>
      <c r="AF35" s="2449"/>
      <c r="AG35" s="2449"/>
      <c r="AH35" s="2449"/>
      <c r="AI35" s="2449"/>
      <c r="AJ35" s="2449"/>
      <c r="AK35" s="263"/>
      <c r="AL35" s="263"/>
      <c r="AM35" s="217"/>
      <c r="AN35" s="304"/>
      <c r="AO35" s="304"/>
      <c r="AP35" s="304"/>
      <c r="AQ35" s="304"/>
      <c r="AR35" s="304"/>
      <c r="AS35" s="354">
        <v>0</v>
      </c>
    </row>
    <row r="36" spans="1:45" s="2098"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193"/>
      <c r="T37" s="299"/>
      <c r="U37" s="1162"/>
      <c r="V37" s="2468"/>
      <c r="W37" s="2468"/>
      <c r="X37" s="2468"/>
      <c r="Y37" s="2468"/>
      <c r="Z37" s="2468"/>
      <c r="AA37" s="2468"/>
      <c r="AB37" s="2468"/>
      <c r="AC37" s="2468"/>
      <c r="AD37" s="2468"/>
      <c r="AE37" s="2468"/>
      <c r="AF37" s="2468"/>
      <c r="AG37" s="2468"/>
      <c r="AH37" s="2468"/>
      <c r="AI37" s="2468"/>
      <c r="AJ37" s="2468"/>
      <c r="AK37" s="2468"/>
      <c r="AS37" s="1073">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073">
        <v>14</v>
      </c>
    </row>
    <row r="39" spans="1:45" ht="14.65" customHeight="1">
      <c r="Q39" s="312"/>
      <c r="R39" s="312"/>
      <c r="S39" s="2469" t="s">
        <v>90</v>
      </c>
      <c r="T39" s="2417" t="s">
        <v>425</v>
      </c>
      <c r="U39" s="238"/>
      <c r="V39" s="2470" t="s">
        <v>426</v>
      </c>
      <c r="W39" s="2471"/>
      <c r="X39" s="2486"/>
      <c r="Y39" s="2486"/>
      <c r="Z39" s="2471"/>
      <c r="AA39" s="2471"/>
      <c r="AB39" s="2472"/>
      <c r="AC39" s="2473" t="s">
        <v>427</v>
      </c>
      <c r="AD39" s="2470" t="s">
        <v>426</v>
      </c>
      <c r="AE39" s="2471"/>
      <c r="AF39" s="2486"/>
      <c r="AG39" s="2486"/>
      <c r="AH39" s="2471"/>
      <c r="AI39" s="2471"/>
      <c r="AJ39" s="2472"/>
      <c r="AK39" s="2473" t="s">
        <v>428</v>
      </c>
      <c r="AL39" s="2476" t="s">
        <v>429</v>
      </c>
      <c r="AM39" s="2328"/>
      <c r="AS39" s="1073">
        <v>14</v>
      </c>
    </row>
    <row r="40" spans="1:45" ht="24" customHeight="1">
      <c r="Q40" s="312"/>
      <c r="R40" s="312"/>
      <c r="S40" s="2469"/>
      <c r="T40" s="2417"/>
      <c r="U40" s="954"/>
      <c r="V40" s="2484" t="s">
        <v>430</v>
      </c>
      <c r="W40" s="2388" t="s">
        <v>431</v>
      </c>
      <c r="X40" s="1294" t="s">
        <v>432</v>
      </c>
      <c r="Y40" s="1294"/>
      <c r="Z40" s="2315" t="s">
        <v>433</v>
      </c>
      <c r="AA40" s="2315"/>
      <c r="AB40" s="2309"/>
      <c r="AC40" s="2474"/>
      <c r="AD40" s="2484" t="s">
        <v>430</v>
      </c>
      <c r="AE40" s="2388" t="s">
        <v>431</v>
      </c>
      <c r="AF40" s="1294" t="s">
        <v>432</v>
      </c>
      <c r="AG40" s="1294"/>
      <c r="AH40" s="2315" t="s">
        <v>433</v>
      </c>
      <c r="AI40" s="2315"/>
      <c r="AJ40" s="2309"/>
      <c r="AK40" s="2474"/>
      <c r="AL40" s="2477"/>
      <c r="AM40" s="2328"/>
      <c r="AS40" s="1073">
        <v>23</v>
      </c>
    </row>
    <row r="41" spans="1:45" s="2065" customFormat="1" ht="24" customHeight="1">
      <c r="A41" s="1288"/>
      <c r="B41" s="1288" t="s">
        <v>134</v>
      </c>
      <c r="C41" s="1288" t="s">
        <v>135</v>
      </c>
      <c r="D41" s="1288" t="s">
        <v>136</v>
      </c>
      <c r="E41" s="1282" t="s">
        <v>434</v>
      </c>
      <c r="F41" s="1282" t="s">
        <v>435</v>
      </c>
      <c r="G41" s="1282" t="s">
        <v>436</v>
      </c>
      <c r="H41" s="1282" t="s">
        <v>437</v>
      </c>
      <c r="I41" s="1282" t="s">
        <v>438</v>
      </c>
      <c r="J41" s="1282" t="s">
        <v>439</v>
      </c>
      <c r="K41" s="1282" t="s">
        <v>440</v>
      </c>
      <c r="L41" s="1282" t="s">
        <v>415</v>
      </c>
      <c r="M41" s="1280"/>
      <c r="N41" s="1280"/>
      <c r="O41" s="1280"/>
      <c r="P41" s="1246"/>
      <c r="Q41" s="312"/>
      <c r="R41" s="312"/>
      <c r="S41" s="2469"/>
      <c r="T41" s="2417"/>
      <c r="U41" s="239"/>
      <c r="V41" s="2485"/>
      <c r="W41" s="2393"/>
      <c r="X41" s="1291" t="s">
        <v>441</v>
      </c>
      <c r="Y41" s="1291" t="s">
        <v>442</v>
      </c>
      <c r="Z41" s="1252" t="s">
        <v>443</v>
      </c>
      <c r="AA41" s="2422" t="s">
        <v>444</v>
      </c>
      <c r="AB41" s="2436"/>
      <c r="AC41" s="2475"/>
      <c r="AD41" s="2485"/>
      <c r="AE41" s="2393"/>
      <c r="AF41" s="1291" t="s">
        <v>441</v>
      </c>
      <c r="AG41" s="1291" t="s">
        <v>442</v>
      </c>
      <c r="AH41" s="1252" t="s">
        <v>443</v>
      </c>
      <c r="AI41" s="2422" t="s">
        <v>444</v>
      </c>
      <c r="AJ41" s="2436"/>
      <c r="AK41" s="2475"/>
      <c r="AL41" s="2478"/>
      <c r="AM41" s="2328"/>
      <c r="AN41" s="447"/>
      <c r="AO41" s="436"/>
      <c r="AP41" s="436"/>
      <c r="AQ41" s="436"/>
      <c r="AR41" s="436"/>
      <c r="AS41" s="518">
        <v>23</v>
      </c>
    </row>
    <row r="42" spans="1:45" s="20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9">
        <f ca="1">OFFSET(X42,0,-1)+1</f>
        <v>1</v>
      </c>
      <c r="Y42" s="1259">
        <f ca="1">OFFSET(Y42,0,-1)+1</f>
        <v>2</v>
      </c>
      <c r="Z42" s="1253">
        <f ca="1">OFFSET(Z42,0,-1)+1</f>
        <v>3</v>
      </c>
      <c r="AA42" s="2467">
        <f ca="1">OFFSET(AA42,0,-1)+1</f>
        <v>4</v>
      </c>
      <c r="AB42" s="2467"/>
      <c r="AC42" s="1253">
        <f ca="1">OFFSET(AC42,0,-2)+1</f>
        <v>5</v>
      </c>
      <c r="AD42" s="1253">
        <f ca="1">OFFSET(AD42,0,-1)+1</f>
        <v>6</v>
      </c>
      <c r="AE42" s="1253"/>
      <c r="AF42" s="1259">
        <f ca="1">OFFSET(AF42,0,-1)+1</f>
        <v>1</v>
      </c>
      <c r="AG42" s="1259">
        <f ca="1">OFFSET(AG42,0,-1)+1</f>
        <v>2</v>
      </c>
      <c r="AH42" s="1253">
        <f ca="1">OFFSET(AH42,0,-1)+1</f>
        <v>3</v>
      </c>
      <c r="AI42" s="2467">
        <f ca="1">OFFSET(AI42,0,-1)+1</f>
        <v>4</v>
      </c>
      <c r="AJ42" s="2467"/>
      <c r="AK42" s="1253">
        <f ca="1">OFFSET(AK42,0,-2)+1</f>
        <v>5</v>
      </c>
      <c r="AL42" s="1163">
        <f ca="1">OFFSET(AL42,0,-1)</f>
        <v>5</v>
      </c>
      <c r="AM42" s="1253">
        <f ca="1">OFFSET(AM42,0,-1)+1</f>
        <v>6</v>
      </c>
      <c r="AN42" s="447"/>
      <c r="AO42" s="447"/>
      <c r="AP42" s="447"/>
      <c r="AQ42" s="447"/>
      <c r="AR42" s="447"/>
      <c r="AS42" s="432">
        <v>0</v>
      </c>
    </row>
    <row r="43" spans="1:45" ht="21.95" customHeight="1">
      <c r="A43" s="1281" t="s">
        <v>191</v>
      </c>
      <c r="B43" s="1281"/>
      <c r="C43" s="1281"/>
      <c r="D43" s="1281"/>
      <c r="E43" s="2456">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191</v>
      </c>
      <c r="B44" s="1281" t="s">
        <v>192</v>
      </c>
      <c r="C44" s="1281"/>
      <c r="D44" s="1281"/>
      <c r="E44" s="2457"/>
      <c r="F44" s="2456">
        <v>1</v>
      </c>
      <c r="G44" s="1281"/>
      <c r="H44" s="1281"/>
      <c r="I44" s="1281"/>
      <c r="J44" s="1281"/>
      <c r="K44" s="1281"/>
      <c r="L44" s="1282"/>
      <c r="M44" s="1283"/>
      <c r="N44" s="1283"/>
      <c r="O44" s="1283"/>
      <c r="P44" s="1250"/>
      <c r="Q44" s="288"/>
      <c r="R44" s="289"/>
      <c r="S44" s="1254" t="str">
        <f>INDEX(PT_DIFFERENTIATION_NUM_TER,MATCH(B44,PT_DIFFERENTIATION_TER_ID,0))</f>
        <v>.</v>
      </c>
      <c r="T44" s="245"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436"/>
      <c r="AP44" s="436" t="str">
        <f t="shared" si="1"/>
        <v>Территория действия тарифа</v>
      </c>
      <c r="AQ44" s="436"/>
      <c r="AR44" s="436"/>
      <c r="AS44" s="1073">
        <v>21</v>
      </c>
    </row>
    <row r="45" spans="1:45" ht="24" customHeight="1">
      <c r="A45" s="1281" t="s">
        <v>191</v>
      </c>
      <c r="B45" s="1281" t="s">
        <v>192</v>
      </c>
      <c r="C45" s="1281" t="s">
        <v>193</v>
      </c>
      <c r="D45" s="1281"/>
      <c r="E45" s="2457"/>
      <c r="F45" s="2457"/>
      <c r="G45" s="2456">
        <v>1</v>
      </c>
      <c r="H45" s="1281"/>
      <c r="I45" s="1281"/>
      <c r="J45" s="1281"/>
      <c r="K45" s="1281"/>
      <c r="L45" s="1282"/>
      <c r="M45" s="1283"/>
      <c r="N45" s="1283"/>
      <c r="O45" s="1283"/>
      <c r="P45" s="290"/>
      <c r="Q45" s="288"/>
      <c r="R45" s="289"/>
      <c r="S45" s="1254"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436"/>
      <c r="AP45" s="436" t="str">
        <f t="shared" si="1"/>
        <v xml:space="preserve">Наименование системы теплоснабжения </v>
      </c>
      <c r="AQ45" s="436"/>
      <c r="AR45" s="436"/>
      <c r="AS45" s="1073">
        <v>23</v>
      </c>
    </row>
    <row r="46" spans="1:45" ht="21.95" customHeight="1">
      <c r="A46" s="1281" t="s">
        <v>191</v>
      </c>
      <c r="B46" s="1281" t="s">
        <v>192</v>
      </c>
      <c r="C46" s="1281" t="s">
        <v>193</v>
      </c>
      <c r="D46" s="1281" t="s">
        <v>194</v>
      </c>
      <c r="E46" s="2457"/>
      <c r="F46" s="2457"/>
      <c r="G46" s="2457"/>
      <c r="H46" s="2456">
        <v>1</v>
      </c>
      <c r="I46" s="1281"/>
      <c r="J46" s="1281"/>
      <c r="K46" s="1281"/>
      <c r="L46" s="1282"/>
      <c r="M46" s="1283"/>
      <c r="N46" s="1283"/>
      <c r="O46" s="1283"/>
      <c r="P46" s="290"/>
      <c r="Q46" s="288"/>
      <c r="R46" s="289"/>
      <c r="S46" s="1254"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436"/>
      <c r="AP46" s="436" t="str">
        <f t="shared" si="1"/>
        <v xml:space="preserve">Источник тепловой энергии  </v>
      </c>
      <c r="AQ46" s="436"/>
      <c r="AR46" s="436"/>
      <c r="AS46" s="1073">
        <v>21</v>
      </c>
    </row>
    <row r="47" spans="1:45" ht="49.5" customHeight="1">
      <c r="A47" s="1281" t="s">
        <v>191</v>
      </c>
      <c r="B47" s="1281" t="s">
        <v>192</v>
      </c>
      <c r="C47" s="1281" t="s">
        <v>193</v>
      </c>
      <c r="D47" s="1281" t="s">
        <v>194</v>
      </c>
      <c r="E47" s="2457"/>
      <c r="F47" s="2457"/>
      <c r="G47" s="2457"/>
      <c r="H47" s="2457"/>
      <c r="I47" s="2458" t="str">
        <f>S46&amp;".1"</f>
        <v>....1</v>
      </c>
      <c r="J47" s="1281"/>
      <c r="K47" s="1281"/>
      <c r="L47" s="1282" t="s">
        <v>400</v>
      </c>
      <c r="P47" s="2460">
        <v>1</v>
      </c>
      <c r="Q47" s="1249"/>
      <c r="R47" s="292"/>
      <c r="S47" s="1254" t="str">
        <f>$I47</f>
        <v>....1</v>
      </c>
      <c r="T47" s="222" t="s">
        <v>401</v>
      </c>
      <c r="U47" s="237"/>
      <c r="V47" s="2444"/>
      <c r="W47" s="2445"/>
      <c r="X47" s="2445"/>
      <c r="Y47" s="2445"/>
      <c r="Z47" s="2445"/>
      <c r="AA47" s="2445"/>
      <c r="AB47" s="2445"/>
      <c r="AC47" s="2446"/>
      <c r="AD47" s="2444"/>
      <c r="AE47" s="2445"/>
      <c r="AF47" s="2445"/>
      <c r="AG47" s="2445"/>
      <c r="AH47" s="2445"/>
      <c r="AI47" s="2445"/>
      <c r="AJ47" s="2445"/>
      <c r="AK47" s="2445"/>
      <c r="AL47" s="2446"/>
      <c r="AM47" s="1176" t="s">
        <v>402</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191</v>
      </c>
      <c r="B48" s="1281" t="s">
        <v>192</v>
      </c>
      <c r="C48" s="1281" t="s">
        <v>193</v>
      </c>
      <c r="D48" s="1281" t="s">
        <v>194</v>
      </c>
      <c r="E48" s="2457"/>
      <c r="F48" s="2457"/>
      <c r="G48" s="2457"/>
      <c r="H48" s="2457"/>
      <c r="I48" s="2459"/>
      <c r="J48" s="2458" t="str">
        <f>I47&amp;".1"</f>
        <v>....1.1</v>
      </c>
      <c r="K48" s="1281"/>
      <c r="L48" s="1282" t="s">
        <v>403</v>
      </c>
      <c r="P48" s="2460"/>
      <c r="Q48" s="2460">
        <v>1</v>
      </c>
      <c r="R48" s="293"/>
      <c r="S48" s="1254" t="str">
        <f>$J48</f>
        <v>....1.1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436"/>
      <c r="AP48" s="436" t="str">
        <f t="shared" si="1"/>
        <v>Группа потребителей</v>
      </c>
      <c r="AQ48" s="436"/>
      <c r="AR48" s="436"/>
      <c r="AS48" s="1073">
        <v>21</v>
      </c>
    </row>
    <row r="49" spans="1:45" ht="21.95" customHeight="1">
      <c r="A49" s="1281" t="s">
        <v>191</v>
      </c>
      <c r="B49" s="1281" t="s">
        <v>192</v>
      </c>
      <c r="C49" s="1281" t="s">
        <v>193</v>
      </c>
      <c r="D49" s="1281" t="s">
        <v>194</v>
      </c>
      <c r="E49" s="2457"/>
      <c r="F49" s="2457"/>
      <c r="G49" s="2457"/>
      <c r="H49" s="2457"/>
      <c r="I49" s="2459"/>
      <c r="J49" s="2459"/>
      <c r="K49" s="2458" t="str">
        <f>J48&amp;".1"</f>
        <v>....1.1.1</v>
      </c>
      <c r="L49" s="1282" t="s">
        <v>406</v>
      </c>
      <c r="P49" s="2460"/>
      <c r="Q49" s="2460"/>
      <c r="R49" s="293">
        <v>1</v>
      </c>
      <c r="S49" s="1254" t="str">
        <f>$K49</f>
        <v>....1.1.1</v>
      </c>
      <c r="T49" s="1265"/>
      <c r="U49" s="237"/>
      <c r="V49" s="262"/>
      <c r="W49" s="687"/>
      <c r="X49" s="262"/>
      <c r="Y49" s="320"/>
      <c r="Z49" s="2461"/>
      <c r="AA49" s="2338" t="s">
        <v>67</v>
      </c>
      <c r="AB49" s="2461"/>
      <c r="AC49" s="2338" t="s">
        <v>67</v>
      </c>
      <c r="AD49" s="262"/>
      <c r="AE49" s="687"/>
      <c r="AF49" s="262"/>
      <c r="AG49" s="320"/>
      <c r="AH49" s="2461"/>
      <c r="AI49" s="2338" t="s">
        <v>67</v>
      </c>
      <c r="AJ49" s="2463"/>
      <c r="AK49" s="2338" t="s">
        <v>67</v>
      </c>
      <c r="AL49" s="1266"/>
      <c r="AM49" s="2479" t="s">
        <v>407</v>
      </c>
      <c r="AN49" s="447" t="e">
        <f ca="1">STRCHECKDATE(V50:AL50)</f>
        <v>#NAME?</v>
      </c>
      <c r="AO49" s="436"/>
      <c r="AP49" s="436" t="str">
        <f t="shared" si="1"/>
        <v/>
      </c>
      <c r="AQ49" s="436"/>
      <c r="AR49" s="436"/>
      <c r="AS49" s="1073">
        <v>21</v>
      </c>
    </row>
    <row r="50" spans="1:45" ht="1.1499999999999999" customHeight="1">
      <c r="A50" s="1281" t="s">
        <v>191</v>
      </c>
      <c r="B50" s="1281" t="s">
        <v>192</v>
      </c>
      <c r="C50" s="1281" t="s">
        <v>193</v>
      </c>
      <c r="D50" s="1281" t="s">
        <v>194</v>
      </c>
      <c r="E50" s="2457"/>
      <c r="F50" s="2457"/>
      <c r="G50" s="2457"/>
      <c r="H50" s="2457"/>
      <c r="I50" s="2459"/>
      <c r="J50" s="2459"/>
      <c r="K50" s="2458"/>
      <c r="L50" s="1282"/>
      <c r="P50" s="2460"/>
      <c r="Q50" s="2460"/>
      <c r="R50" s="293"/>
      <c r="S50" s="1260"/>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436"/>
      <c r="AP50" s="436" t="str">
        <f t="shared" si="1"/>
        <v/>
      </c>
      <c r="AQ50" s="436"/>
      <c r="AR50" s="436"/>
      <c r="AS50" s="1073">
        <v>1</v>
      </c>
    </row>
    <row r="51" spans="1:45" ht="11.45" customHeight="1">
      <c r="A51" s="1281" t="s">
        <v>191</v>
      </c>
      <c r="B51" s="1281" t="s">
        <v>192</v>
      </c>
      <c r="C51" s="1281" t="s">
        <v>193</v>
      </c>
      <c r="D51" s="1281" t="s">
        <v>194</v>
      </c>
      <c r="E51" s="2457"/>
      <c r="F51" s="2457"/>
      <c r="G51" s="2457"/>
      <c r="H51" s="2457"/>
      <c r="I51" s="2459"/>
      <c r="J51" s="2458"/>
      <c r="K51" s="1281"/>
      <c r="L51" s="1282"/>
      <c r="P51" s="2460"/>
      <c r="Q51" s="2460"/>
      <c r="R51" s="292"/>
      <c r="S51" s="1196"/>
      <c r="T51" s="225" t="s">
        <v>408</v>
      </c>
      <c r="U51" s="303"/>
      <c r="V51" s="303"/>
      <c r="W51" s="303"/>
      <c r="X51" s="303"/>
      <c r="Y51" s="303"/>
      <c r="Z51" s="303"/>
      <c r="AA51" s="303"/>
      <c r="AB51" s="303"/>
      <c r="AC51" s="303"/>
      <c r="AD51" s="303"/>
      <c r="AE51" s="303"/>
      <c r="AF51" s="303"/>
      <c r="AG51" s="303"/>
      <c r="AH51" s="303"/>
      <c r="AI51" s="303"/>
      <c r="AJ51" s="303"/>
      <c r="AK51" s="303"/>
      <c r="AL51" s="261"/>
      <c r="AM51" s="2481"/>
      <c r="AO51" s="436"/>
      <c r="AP51" s="436" t="str">
        <f t="shared" si="1"/>
        <v>Добавить вид теплоносителя (параметры теплоносителя)</v>
      </c>
      <c r="AQ51" s="436"/>
      <c r="AR51" s="436"/>
      <c r="AS51" s="1073">
        <v>11</v>
      </c>
    </row>
    <row r="52" spans="1:45" ht="11.45" customHeight="1">
      <c r="A52" s="1281" t="s">
        <v>191</v>
      </c>
      <c r="B52" s="1281" t="s">
        <v>192</v>
      </c>
      <c r="C52" s="1281" t="s">
        <v>193</v>
      </c>
      <c r="D52" s="1281" t="s">
        <v>194</v>
      </c>
      <c r="E52" s="2457"/>
      <c r="F52" s="2457"/>
      <c r="G52" s="2457"/>
      <c r="H52" s="2457"/>
      <c r="I52" s="2458"/>
      <c r="J52" s="1281"/>
      <c r="K52" s="1281"/>
      <c r="L52" s="1282"/>
      <c r="P52" s="2460"/>
      <c r="Q52" s="1249"/>
      <c r="R52" s="292"/>
      <c r="S52" s="1196"/>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191</v>
      </c>
      <c r="B53" s="1281" t="s">
        <v>192</v>
      </c>
      <c r="C53" s="1281" t="s">
        <v>193</v>
      </c>
      <c r="D53" s="1281" t="s">
        <v>194</v>
      </c>
      <c r="E53" s="2457"/>
      <c r="F53" s="2457"/>
      <c r="G53" s="2457"/>
      <c r="H53" s="2456"/>
      <c r="I53" s="1281"/>
      <c r="J53" s="1281"/>
      <c r="K53" s="1281"/>
      <c r="L53" s="1282"/>
      <c r="M53" s="1283"/>
      <c r="N53" s="1283"/>
      <c r="O53" s="473"/>
      <c r="P53" s="296"/>
      <c r="Q53" s="311"/>
      <c r="R53" s="291"/>
      <c r="S53" s="1196"/>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034" customFormat="1" ht="1.1499999999999999" customHeight="1">
      <c r="A54" s="1261" t="s">
        <v>191</v>
      </c>
      <c r="B54" s="1261" t="s">
        <v>192</v>
      </c>
      <c r="C54" s="1261" t="s">
        <v>193</v>
      </c>
      <c r="D54" s="1232"/>
      <c r="E54" s="2457"/>
      <c r="F54" s="2457"/>
      <c r="G54" s="2456"/>
      <c r="H54" s="1232"/>
      <c r="I54" s="1232"/>
      <c r="J54" s="1232"/>
      <c r="K54" s="1232"/>
      <c r="L54" s="1257"/>
      <c r="M54" s="1233"/>
      <c r="N54" s="123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34" customFormat="1" ht="1.1499999999999999" customHeight="1">
      <c r="A55" s="1261" t="s">
        <v>191</v>
      </c>
      <c r="B55" s="1261" t="s">
        <v>192</v>
      </c>
      <c r="C55" s="1232"/>
      <c r="D55" s="1232"/>
      <c r="E55" s="2457"/>
      <c r="F55" s="2456"/>
      <c r="G55" s="1232"/>
      <c r="H55" s="1232"/>
      <c r="I55" s="1232"/>
      <c r="J55" s="1232"/>
      <c r="K55" s="1232"/>
      <c r="L55" s="1257"/>
      <c r="M55" s="1239"/>
      <c r="N55" s="1239"/>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34" customFormat="1" ht="1.1499999999999999" customHeight="1">
      <c r="A56" s="1261" t="s">
        <v>191</v>
      </c>
      <c r="B56" s="1261"/>
      <c r="C56" s="1261"/>
      <c r="D56" s="1261"/>
      <c r="E56" s="2456"/>
      <c r="F56" s="1261"/>
      <c r="G56" s="1261"/>
      <c r="H56" s="1261"/>
      <c r="I56" s="1261"/>
      <c r="J56" s="1261"/>
      <c r="K56" s="1261"/>
      <c r="L56" s="1264"/>
      <c r="M56" s="1239"/>
      <c r="N56" s="1239"/>
      <c r="O56" s="454"/>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3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073">
        <v>27</v>
      </c>
    </row>
    <row r="60" spans="1:45" ht="78.75" customHeight="1">
      <c r="O60" s="47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073">
        <v>75</v>
      </c>
    </row>
    <row r="61" spans="1:45" ht="14.65" customHeight="1">
      <c r="O61" s="473"/>
      <c r="AS61" s="1073">
        <v>14</v>
      </c>
    </row>
    <row r="62" spans="1:45" ht="18.75" customHeight="1">
      <c r="O62" s="473"/>
      <c r="S62" s="1171"/>
      <c r="T62" s="2455"/>
      <c r="U62" s="2455"/>
      <c r="V62" s="2455"/>
      <c r="W62" s="2455"/>
      <c r="X62" s="2455"/>
      <c r="Y62" s="2455"/>
      <c r="Z62" s="2455"/>
      <c r="AA62" s="2455"/>
      <c r="AB62" s="2455"/>
      <c r="AC62" s="2455"/>
      <c r="AD62" s="2455"/>
      <c r="AE62" s="2455"/>
      <c r="AF62" s="2455"/>
      <c r="AG62" s="2455"/>
      <c r="AH62" s="2455"/>
      <c r="AI62" s="2455"/>
      <c r="AJ62" s="2455"/>
      <c r="AK62" s="2455"/>
      <c r="AL62" s="2455"/>
      <c r="AM62" s="2455"/>
      <c r="AS62" s="1073">
        <v>18</v>
      </c>
    </row>
    <row r="63" spans="1:45" ht="18.75" customHeight="1">
      <c r="O63" s="473"/>
      <c r="T63" s="2455"/>
      <c r="U63" s="2455"/>
      <c r="V63" s="2455"/>
      <c r="W63" s="2455"/>
      <c r="X63" s="2455"/>
      <c r="Y63" s="2455"/>
      <c r="Z63" s="2455"/>
      <c r="AA63" s="2455"/>
      <c r="AB63" s="2455"/>
      <c r="AC63" s="2455"/>
      <c r="AD63" s="2455"/>
      <c r="AE63" s="2455"/>
      <c r="AF63" s="2455"/>
      <c r="AG63" s="2455"/>
      <c r="AH63" s="2455"/>
      <c r="AI63" s="2455"/>
      <c r="AJ63" s="2455"/>
      <c r="AK63" s="2455"/>
      <c r="AL63" s="2455"/>
      <c r="AM63" s="2455"/>
      <c r="AS63" s="1073">
        <v>18</v>
      </c>
    </row>
    <row r="64" spans="1:45" ht="39.75" customHeight="1">
      <c r="O64" s="473"/>
      <c r="S64" s="1171"/>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073">
        <v>38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7109375" style="2109" hidden="1" customWidth="1"/>
    <col min="17" max="18" width="3" style="2059" customWidth="1"/>
    <col min="19" max="19" width="12" style="2106" customWidth="1"/>
    <col min="20" max="20" width="31"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8.42578125" style="2062" hidden="1" customWidth="1"/>
  </cols>
  <sheetData>
    <row r="1" spans="1:45" ht="22.5" hidden="1" customHeight="1">
      <c r="Y1" s="264"/>
      <c r="Z1" s="264"/>
      <c r="AG1" s="264"/>
      <c r="AH1" s="264"/>
      <c r="AS1" s="1073" t="s">
        <v>14</v>
      </c>
    </row>
    <row r="2" spans="1:45" ht="21" hidden="1" customHeight="1">
      <c r="A2" s="1281"/>
      <c r="B2" s="1281"/>
      <c r="C2" s="1281"/>
      <c r="D2" s="1281"/>
      <c r="E2" s="2456">
        <v>1</v>
      </c>
      <c r="F2" s="1281"/>
      <c r="G2" s="1281"/>
      <c r="H2" s="1281"/>
      <c r="I2" s="1281"/>
      <c r="J2" s="1281"/>
      <c r="K2" s="1281"/>
      <c r="L2" s="1282"/>
      <c r="M2" s="1283"/>
      <c r="N2" s="1283"/>
      <c r="O2" s="1283"/>
      <c r="P2" s="297"/>
      <c r="Q2" s="296"/>
      <c r="R2" s="291"/>
      <c r="S2" s="1254" t="e">
        <f>INDEX(PT_DIFFERENTIATION_NUM_NTAR,MATCH(A2,PT_DIFFERENTIATION_NTAR_ID,0))</f>
        <v>#N/A</v>
      </c>
      <c r="T2" s="235"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436"/>
      <c r="AP2" s="436" t="str">
        <f t="shared" ref="AP2:AP15" si="0">IF(T2="","",T2)</f>
        <v>Наименование тарифа</v>
      </c>
      <c r="AQ2" s="436"/>
      <c r="AR2" s="436"/>
      <c r="AS2" s="1073">
        <v>0</v>
      </c>
    </row>
    <row r="3" spans="1:45" ht="21" hidden="1" customHeight="1">
      <c r="A3" s="1281"/>
      <c r="B3" s="1281"/>
      <c r="C3" s="1281"/>
      <c r="D3" s="1281"/>
      <c r="E3" s="2457"/>
      <c r="F3" s="2456">
        <v>1</v>
      </c>
      <c r="G3" s="1281"/>
      <c r="H3" s="1281"/>
      <c r="I3" s="1281"/>
      <c r="J3" s="1281"/>
      <c r="K3" s="1281"/>
      <c r="L3" s="1282"/>
      <c r="M3" s="1283"/>
      <c r="N3" s="1283"/>
      <c r="O3" s="1283"/>
      <c r="P3" s="1250"/>
      <c r="Q3" s="288"/>
      <c r="R3" s="289"/>
      <c r="S3" s="1254" t="e">
        <f>INDEX(PT_DIFFERENTIATION_NUM_TER,MATCH(B3,PT_DIFFERENTIATION_TER_ID,0))</f>
        <v>#N/A</v>
      </c>
      <c r="T3" s="245"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436"/>
      <c r="AP3" s="436" t="str">
        <f t="shared" si="0"/>
        <v>Территория действия тарифа</v>
      </c>
      <c r="AQ3" s="436"/>
      <c r="AR3" s="436"/>
      <c r="AS3" s="1073">
        <v>0</v>
      </c>
    </row>
    <row r="4" spans="1:45" ht="23.25" hidden="1" customHeight="1">
      <c r="A4" s="1281"/>
      <c r="B4" s="1281"/>
      <c r="C4" s="1281"/>
      <c r="D4" s="1281"/>
      <c r="E4" s="2457"/>
      <c r="F4" s="2457"/>
      <c r="G4" s="2456">
        <v>1</v>
      </c>
      <c r="H4" s="1281"/>
      <c r="I4" s="1281"/>
      <c r="J4" s="1281"/>
      <c r="K4" s="1281"/>
      <c r="L4" s="1282"/>
      <c r="M4" s="1283"/>
      <c r="N4" s="1283"/>
      <c r="O4" s="1283"/>
      <c r="P4" s="290"/>
      <c r="Q4" s="288"/>
      <c r="R4" s="289"/>
      <c r="S4" s="1254"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57"/>
      <c r="F5" s="2457"/>
      <c r="G5" s="2457"/>
      <c r="H5" s="2456">
        <v>1</v>
      </c>
      <c r="I5" s="1281"/>
      <c r="J5" s="1281"/>
      <c r="K5" s="1281"/>
      <c r="L5" s="1282"/>
      <c r="M5" s="1283"/>
      <c r="N5" s="1283"/>
      <c r="O5" s="1283"/>
      <c r="P5" s="290"/>
      <c r="Q5" s="288"/>
      <c r="R5" s="289"/>
      <c r="S5" s="1254"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436"/>
      <c r="AP5" s="436" t="str">
        <f t="shared" si="0"/>
        <v xml:space="preserve">Источник тепловой энергии  </v>
      </c>
      <c r="AQ5" s="436"/>
      <c r="AR5" s="436"/>
      <c r="AS5" s="1073">
        <v>0</v>
      </c>
    </row>
    <row r="6" spans="1:45" ht="14.25" hidden="1" customHeight="1">
      <c r="A6" s="1281"/>
      <c r="B6" s="1281"/>
      <c r="C6" s="1281"/>
      <c r="D6" s="1281"/>
      <c r="E6" s="2457"/>
      <c r="F6" s="2457"/>
      <c r="G6" s="2457"/>
      <c r="H6" s="2457"/>
      <c r="I6" s="2458" t="e">
        <f>S5&amp;".1"</f>
        <v>#N/A</v>
      </c>
      <c r="J6" s="1281"/>
      <c r="K6" s="1281"/>
      <c r="L6" s="1282" t="s">
        <v>400</v>
      </c>
      <c r="M6" s="473"/>
      <c r="P6" s="2460">
        <v>1</v>
      </c>
      <c r="Q6" s="1249"/>
      <c r="R6" s="292"/>
      <c r="S6" s="965"/>
      <c r="T6" s="1301"/>
      <c r="U6" s="1302"/>
      <c r="V6" s="2487"/>
      <c r="W6" s="2488"/>
      <c r="X6" s="2488"/>
      <c r="Y6" s="2488"/>
      <c r="Z6" s="2488"/>
      <c r="AA6" s="2488"/>
      <c r="AB6" s="2488"/>
      <c r="AC6" s="2489"/>
      <c r="AD6" s="2487"/>
      <c r="AE6" s="2488"/>
      <c r="AF6" s="2488"/>
      <c r="AG6" s="2488"/>
      <c r="AH6" s="2488"/>
      <c r="AI6" s="2488"/>
      <c r="AJ6" s="2488"/>
      <c r="AK6" s="2488"/>
      <c r="AL6" s="2489"/>
      <c r="AM6" s="1303"/>
      <c r="AO6" s="436"/>
      <c r="AP6" s="436" t="str">
        <f t="shared" si="0"/>
        <v/>
      </c>
      <c r="AQ6" s="436"/>
      <c r="AR6" s="436"/>
      <c r="AS6" s="1073">
        <v>0</v>
      </c>
    </row>
    <row r="7" spans="1:45" ht="21" hidden="1" customHeight="1">
      <c r="A7" s="1281"/>
      <c r="B7" s="1281"/>
      <c r="C7" s="1281"/>
      <c r="D7" s="1281"/>
      <c r="E7" s="2457"/>
      <c r="F7" s="2457"/>
      <c r="G7" s="2457"/>
      <c r="H7" s="2457"/>
      <c r="I7" s="2459"/>
      <c r="J7" s="2458" t="e">
        <f>I6&amp;".1"</f>
        <v>#N/A</v>
      </c>
      <c r="K7" s="1281"/>
      <c r="L7" s="1282" t="s">
        <v>403</v>
      </c>
      <c r="M7" s="473"/>
      <c r="N7" s="1284"/>
      <c r="P7" s="2460"/>
      <c r="Q7" s="2460">
        <v>1</v>
      </c>
      <c r="R7" s="293"/>
      <c r="S7" s="1254"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436"/>
      <c r="AP7" s="436" t="str">
        <f t="shared" si="0"/>
        <v>Группа потребителей</v>
      </c>
      <c r="AQ7" s="436"/>
      <c r="AR7" s="436"/>
      <c r="AS7" s="1073">
        <v>0</v>
      </c>
    </row>
    <row r="8" spans="1:45" ht="21" hidden="1" customHeight="1">
      <c r="A8" s="1281"/>
      <c r="B8" s="1281"/>
      <c r="C8" s="1281"/>
      <c r="D8" s="1281"/>
      <c r="E8" s="2457"/>
      <c r="F8" s="2457"/>
      <c r="G8" s="2457"/>
      <c r="H8" s="2457"/>
      <c r="I8" s="2459"/>
      <c r="J8" s="2459"/>
      <c r="K8" s="2458" t="e">
        <f>J7&amp;".1"</f>
        <v>#N/A</v>
      </c>
      <c r="L8" s="1282" t="s">
        <v>406</v>
      </c>
      <c r="M8" s="473"/>
      <c r="N8" s="1284"/>
      <c r="O8" s="1284"/>
      <c r="P8" s="2460"/>
      <c r="Q8" s="2460"/>
      <c r="R8" s="293">
        <v>1</v>
      </c>
      <c r="S8" s="1254" t="e">
        <f>$K8</f>
        <v>#N/A</v>
      </c>
      <c r="T8" s="1265"/>
      <c r="U8" s="237"/>
      <c r="V8" s="687"/>
      <c r="W8" s="262"/>
      <c r="X8" s="687"/>
      <c r="Y8" s="1175"/>
      <c r="Z8" s="2461"/>
      <c r="AA8" s="2338" t="s">
        <v>67</v>
      </c>
      <c r="AB8" s="2461"/>
      <c r="AC8" s="2338" t="s">
        <v>67</v>
      </c>
      <c r="AD8" s="687"/>
      <c r="AE8" s="262"/>
      <c r="AF8" s="687"/>
      <c r="AG8" s="1175"/>
      <c r="AH8" s="2461"/>
      <c r="AI8" s="2338" t="s">
        <v>67</v>
      </c>
      <c r="AJ8" s="2461"/>
      <c r="AK8" s="2338" t="s">
        <v>67</v>
      </c>
      <c r="AL8" s="262"/>
      <c r="AM8" s="2479" t="s">
        <v>407</v>
      </c>
      <c r="AN8" s="447" t="e">
        <f ca="1">STRCHECKDATE(V9:AL9)</f>
        <v>#NAME?</v>
      </c>
      <c r="AO8" s="436"/>
      <c r="AP8" s="436" t="str">
        <f t="shared" si="0"/>
        <v/>
      </c>
      <c r="AQ8" s="436"/>
      <c r="AR8" s="436"/>
      <c r="AS8" s="1073">
        <v>0</v>
      </c>
    </row>
    <row r="9" spans="1:45" ht="0.75" hidden="1" customHeight="1">
      <c r="A9" s="1281"/>
      <c r="B9" s="1281"/>
      <c r="C9" s="1281"/>
      <c r="D9" s="1281"/>
      <c r="E9" s="2457"/>
      <c r="F9" s="2457"/>
      <c r="G9" s="2457"/>
      <c r="H9" s="2457"/>
      <c r="I9" s="2459"/>
      <c r="J9" s="2459"/>
      <c r="K9" s="2458"/>
      <c r="L9" s="1282"/>
      <c r="M9" s="473"/>
      <c r="N9" s="1284"/>
      <c r="O9" s="1284"/>
      <c r="P9" s="2460"/>
      <c r="Q9" s="2460"/>
      <c r="R9" s="293"/>
      <c r="S9" s="1260"/>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436"/>
      <c r="AP9" s="436" t="str">
        <f t="shared" si="0"/>
        <v/>
      </c>
      <c r="AQ9" s="436"/>
      <c r="AR9" s="436"/>
      <c r="AS9" s="1073">
        <v>0</v>
      </c>
    </row>
    <row r="10" spans="1:45" ht="15" hidden="1" customHeight="1">
      <c r="A10" s="1281"/>
      <c r="B10" s="1281"/>
      <c r="C10" s="1281"/>
      <c r="D10" s="1281"/>
      <c r="E10" s="2457"/>
      <c r="F10" s="2457"/>
      <c r="G10" s="2457"/>
      <c r="H10" s="2457"/>
      <c r="I10" s="2459"/>
      <c r="J10" s="2458"/>
      <c r="K10" s="1281"/>
      <c r="L10" s="1282"/>
      <c r="M10" s="473"/>
      <c r="N10" s="1284"/>
      <c r="P10" s="2460"/>
      <c r="Q10" s="2460"/>
      <c r="R10" s="292"/>
      <c r="S10" s="1196"/>
      <c r="T10" s="224" t="s">
        <v>408</v>
      </c>
      <c r="U10" s="303"/>
      <c r="V10" s="303"/>
      <c r="W10" s="303"/>
      <c r="X10" s="303"/>
      <c r="Y10" s="303"/>
      <c r="Z10" s="303"/>
      <c r="AA10" s="303"/>
      <c r="AB10" s="303"/>
      <c r="AC10" s="303"/>
      <c r="AD10" s="303"/>
      <c r="AE10" s="303"/>
      <c r="AF10" s="303"/>
      <c r="AG10" s="303"/>
      <c r="AH10" s="303"/>
      <c r="AI10" s="303"/>
      <c r="AJ10" s="303"/>
      <c r="AK10" s="303"/>
      <c r="AL10" s="261"/>
      <c r="AM10" s="24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457"/>
      <c r="F11" s="2457"/>
      <c r="G11" s="2457"/>
      <c r="H11" s="2457"/>
      <c r="I11" s="2458"/>
      <c r="J11" s="1281"/>
      <c r="K11" s="1281"/>
      <c r="L11" s="1282"/>
      <c r="M11" s="473"/>
      <c r="P11" s="2460"/>
      <c r="Q11" s="1249"/>
      <c r="R11" s="292"/>
      <c r="S11" s="1196"/>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57"/>
      <c r="F12" s="2457"/>
      <c r="G12" s="2457"/>
      <c r="H12" s="2456"/>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034" customFormat="1" ht="0.75" hidden="1" customHeight="1">
      <c r="A13" s="1232"/>
      <c r="B13" s="1232"/>
      <c r="C13" s="1232"/>
      <c r="D13" s="1232"/>
      <c r="E13" s="2457"/>
      <c r="F13" s="2457"/>
      <c r="G13" s="2456"/>
      <c r="H13" s="1232"/>
      <c r="I13" s="1232"/>
      <c r="J13" s="1232"/>
      <c r="K13" s="1232"/>
      <c r="L13" s="1257"/>
      <c r="M13" s="1233"/>
      <c r="N13" s="123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34" customFormat="1" ht="0.75" hidden="1" customHeight="1">
      <c r="A14" s="1232"/>
      <c r="B14" s="1232"/>
      <c r="C14" s="1232"/>
      <c r="D14" s="1232"/>
      <c r="E14" s="2457"/>
      <c r="F14" s="2456"/>
      <c r="G14" s="1232"/>
      <c r="H14" s="1232"/>
      <c r="I14" s="1232"/>
      <c r="J14" s="1232"/>
      <c r="K14" s="1232"/>
      <c r="L14" s="1257"/>
      <c r="M14" s="1239"/>
      <c r="N14" s="1239"/>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34" customFormat="1" ht="0.75" hidden="1" customHeight="1">
      <c r="A15" s="1232"/>
      <c r="B15" s="1232"/>
      <c r="C15" s="1232"/>
      <c r="D15" s="1232"/>
      <c r="E15" s="2456"/>
      <c r="F15" s="1232"/>
      <c r="G15" s="1232"/>
      <c r="H15" s="1232"/>
      <c r="I15" s="1232"/>
      <c r="J15" s="1232"/>
      <c r="K15" s="1232"/>
      <c r="L15" s="1257"/>
      <c r="M15" s="1239"/>
      <c r="N15" s="1239"/>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54"/>
      <c r="AI17" s="2453" t="s">
        <v>67</v>
      </c>
      <c r="AJ17" s="2454"/>
      <c r="AK17" s="2453" t="s">
        <v>67</v>
      </c>
      <c r="AS17" s="1073">
        <v>0</v>
      </c>
    </row>
    <row r="18" spans="1:45" ht="14.25" hidden="1" customHeight="1">
      <c r="AD18" s="1278"/>
      <c r="AE18" s="1278"/>
      <c r="AF18" s="1278"/>
      <c r="AG18" s="265" t="str">
        <f>AH17&amp;"-"&amp;AJ17</f>
        <v>-</v>
      </c>
      <c r="AH18" s="2453"/>
      <c r="AI18" s="2453"/>
      <c r="AJ18" s="2453"/>
      <c r="AK18" s="2453"/>
      <c r="AS18" s="1073">
        <v>0</v>
      </c>
    </row>
    <row r="19" spans="1:45" ht="14.25" hidden="1" customHeight="1">
      <c r="AK19" s="264"/>
      <c r="AS19" s="1073">
        <v>0</v>
      </c>
    </row>
    <row r="20" spans="1:45" s="2056" customFormat="1" ht="22.5" hidden="1" customHeight="1">
      <c r="L20" s="1247"/>
      <c r="M20" s="1280"/>
      <c r="N20" s="1280"/>
      <c r="O20" s="1285" t="s">
        <v>414</v>
      </c>
      <c r="P20" s="1280"/>
      <c r="Q20" s="1289"/>
      <c r="R20" s="1289"/>
      <c r="S20" s="665"/>
      <c r="Z20" s="1285"/>
      <c r="AB20" s="1285"/>
      <c r="AC20" s="1284"/>
      <c r="AH20" s="1285"/>
      <c r="AJ20" s="1285"/>
      <c r="AK20" s="1284"/>
      <c r="AN20" s="447"/>
      <c r="AO20" s="447"/>
      <c r="AP20" s="447"/>
      <c r="AQ20" s="447"/>
      <c r="AR20" s="447"/>
      <c r="AS20" s="1078">
        <v>0</v>
      </c>
    </row>
    <row r="21" spans="1:45" s="205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56" customFormat="1" ht="14.25" hidden="1" customHeight="1">
      <c r="L22" s="1247"/>
      <c r="M22" s="1280"/>
      <c r="N22" s="1280"/>
      <c r="O22" s="1282" t="s">
        <v>415</v>
      </c>
      <c r="P22" s="1280"/>
      <c r="Q22" s="1289"/>
      <c r="R22" s="1289"/>
      <c r="S22" s="665"/>
      <c r="T22" s="1078" t="s">
        <v>416</v>
      </c>
      <c r="AA22" s="123" t="s">
        <v>417</v>
      </c>
      <c r="AC22" s="123" t="s">
        <v>418</v>
      </c>
      <c r="AD22" s="1078" t="s">
        <v>416</v>
      </c>
      <c r="AI22" s="123" t="s">
        <v>419</v>
      </c>
      <c r="AK22" s="123" t="s">
        <v>418</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63" customHeight="1">
      <c r="Q26" s="312"/>
      <c r="R26" s="312"/>
      <c r="S26" s="24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7"/>
      <c r="U26" s="2437"/>
      <c r="V26" s="2437"/>
      <c r="W26" s="2437"/>
      <c r="X26" s="2437"/>
      <c r="Y26" s="2437"/>
      <c r="Z26" s="2437"/>
      <c r="AA26" s="2437"/>
      <c r="AB26" s="2437"/>
      <c r="AC26" s="2437"/>
      <c r="AD26" s="2437"/>
      <c r="AE26" s="2437"/>
      <c r="AF26" s="2437"/>
      <c r="AG26" s="2437"/>
      <c r="AH26" s="2437"/>
      <c r="AI26" s="2437"/>
      <c r="AJ26" s="2437"/>
      <c r="AK26" s="1161"/>
      <c r="AS26" s="1073">
        <v>60</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098" customFormat="1" ht="25.5" hidden="1" customHeight="1">
      <c r="A29" s="1286"/>
      <c r="B29" s="1286"/>
      <c r="C29" s="1286"/>
      <c r="D29" s="1286"/>
      <c r="E29" s="1286"/>
      <c r="F29" s="1286"/>
      <c r="G29" s="1286"/>
      <c r="H29" s="1286"/>
      <c r="I29" s="1286"/>
      <c r="J29" s="1286"/>
      <c r="K29" s="1286"/>
      <c r="L29" s="1287"/>
      <c r="M29" s="1286"/>
      <c r="N29" s="1286"/>
      <c r="O29" s="1286"/>
      <c r="S29" s="2447" t="s">
        <v>43</v>
      </c>
      <c r="T29" s="2447"/>
      <c r="U29" s="1290"/>
      <c r="V29" s="2449" t="str">
        <f>IF(TITLE_NAME_OR_PR_CHANGE="",IF(TITLE_NAME_OR_PR="","",TITLE_NAME_OR_PR),TITLE_NAME_OR_PR_CHANGE)</f>
        <v/>
      </c>
      <c r="W29" s="2449"/>
      <c r="X29" s="2449"/>
      <c r="Y29" s="2449"/>
      <c r="Z29" s="2449"/>
      <c r="AA29" s="2449"/>
      <c r="AB29" s="2449"/>
      <c r="AC29" s="263"/>
      <c r="AD29" s="2449" t="str">
        <f>IF(TITLE_NAME_OR_PR_CHANGE="",IF(TITLE_NAME_OR_PR="","",TITLE_NAME_OR_PR),TITLE_NAME_OR_PR_CHANGE)</f>
        <v/>
      </c>
      <c r="AE29" s="2449"/>
      <c r="AF29" s="2449"/>
      <c r="AG29" s="2449"/>
      <c r="AH29" s="2449"/>
      <c r="AI29" s="2449"/>
      <c r="AJ29" s="2449"/>
      <c r="AK29" s="263"/>
      <c r="AL29" s="263"/>
      <c r="AM29" s="217"/>
      <c r="AN29" s="304"/>
      <c r="AO29" s="304"/>
      <c r="AP29" s="304"/>
      <c r="AQ29" s="304"/>
      <c r="AR29" s="304"/>
      <c r="AS29" s="354">
        <v>0</v>
      </c>
    </row>
    <row r="30" spans="1:45" s="2098" customFormat="1" ht="18.75" hidden="1" customHeight="1">
      <c r="A30" s="1286"/>
      <c r="B30" s="1286"/>
      <c r="C30" s="1286"/>
      <c r="D30" s="1286"/>
      <c r="E30" s="1286"/>
      <c r="F30" s="1286"/>
      <c r="G30" s="1286"/>
      <c r="H30" s="1286"/>
      <c r="I30" s="1286"/>
      <c r="J30" s="1286"/>
      <c r="K30" s="1286"/>
      <c r="L30" s="1287"/>
      <c r="M30" s="1286"/>
      <c r="N30" s="1286"/>
      <c r="O30" s="1286"/>
      <c r="S30" s="2447" t="s">
        <v>420</v>
      </c>
      <c r="T30" s="2447"/>
      <c r="U30" s="1290"/>
      <c r="V30" s="2448" t="str">
        <f>IF(TITLE_DATE_PR_CHANGE="",IF(TITLE_DATE_PR="","",TITLE_DATE_PR),TITLE_DATE_PR_CHANGE)</f>
        <v/>
      </c>
      <c r="W30" s="2448"/>
      <c r="X30" s="2448"/>
      <c r="Y30" s="2448"/>
      <c r="Z30" s="2448"/>
      <c r="AA30" s="2448"/>
      <c r="AB30" s="2448"/>
      <c r="AC30" s="263"/>
      <c r="AD30" s="2448" t="str">
        <f>IF(TITLE_DATE_PR_CHANGE="",IF(TITLE_DATE_PR="","",TITLE_DATE_PR),TITLE_DATE_PR_CHANGE)</f>
        <v/>
      </c>
      <c r="AE30" s="2448"/>
      <c r="AF30" s="2448"/>
      <c r="AG30" s="2448"/>
      <c r="AH30" s="2448"/>
      <c r="AI30" s="2448"/>
      <c r="AJ30" s="2448"/>
      <c r="AK30" s="263"/>
      <c r="AL30" s="263"/>
      <c r="AM30" s="217"/>
      <c r="AN30" s="304"/>
      <c r="AO30" s="304"/>
      <c r="AP30" s="304"/>
      <c r="AQ30" s="304"/>
      <c r="AR30" s="304"/>
      <c r="AS30" s="354">
        <v>0</v>
      </c>
    </row>
    <row r="31" spans="1:45" s="2098" customFormat="1" ht="18.75" hidden="1" customHeight="1">
      <c r="A31" s="1286"/>
      <c r="B31" s="1286"/>
      <c r="C31" s="1286"/>
      <c r="D31" s="1286"/>
      <c r="E31" s="1286"/>
      <c r="F31" s="1286"/>
      <c r="G31" s="1286"/>
      <c r="H31" s="1286"/>
      <c r="I31" s="1286"/>
      <c r="J31" s="1286"/>
      <c r="K31" s="1286"/>
      <c r="L31" s="1287"/>
      <c r="M31" s="1286"/>
      <c r="N31" s="1286"/>
      <c r="O31" s="1286"/>
      <c r="S31" s="2447" t="s">
        <v>421</v>
      </c>
      <c r="T31" s="2447"/>
      <c r="U31" s="1290"/>
      <c r="V31" s="2449" t="str">
        <f>IF(TITLE_NUMBER_PR_CHANGE="",IF(TITLE_NUMBER_PR="","",TITLE_NUMBER_PR),TITLE_NUMBER_PR_CHANGE)</f>
        <v/>
      </c>
      <c r="W31" s="2449"/>
      <c r="X31" s="2449"/>
      <c r="Y31" s="2449"/>
      <c r="Z31" s="2449"/>
      <c r="AA31" s="2449"/>
      <c r="AB31" s="2449"/>
      <c r="AC31" s="263"/>
      <c r="AD31" s="2449" t="str">
        <f>IF(TITLE_NUMBER_PR_CHANGE="",IF(TITLE_NUMBER_PR="","",TITLE_NUMBER_PR),TITLE_NUMBER_PR_CHANGE)</f>
        <v/>
      </c>
      <c r="AE31" s="2449"/>
      <c r="AF31" s="2449"/>
      <c r="AG31" s="2449"/>
      <c r="AH31" s="2449"/>
      <c r="AI31" s="2449"/>
      <c r="AJ31" s="2449"/>
      <c r="AK31" s="263"/>
      <c r="AL31" s="263"/>
      <c r="AM31" s="217"/>
      <c r="AN31" s="304"/>
      <c r="AO31" s="304"/>
      <c r="AP31" s="304"/>
      <c r="AQ31" s="304"/>
      <c r="AR31" s="304"/>
      <c r="AS31" s="354">
        <v>0</v>
      </c>
    </row>
    <row r="32" spans="1:45" s="2098" customFormat="1" ht="18.75" hidden="1" customHeight="1">
      <c r="A32" s="1286"/>
      <c r="B32" s="1286"/>
      <c r="C32" s="1286"/>
      <c r="D32" s="1286"/>
      <c r="E32" s="1286"/>
      <c r="F32" s="1286"/>
      <c r="G32" s="1286"/>
      <c r="H32" s="1286"/>
      <c r="I32" s="1286"/>
      <c r="J32" s="1286"/>
      <c r="K32" s="1286"/>
      <c r="L32" s="1287"/>
      <c r="M32" s="1286"/>
      <c r="N32" s="1286"/>
      <c r="O32" s="1286"/>
      <c r="S32" s="2447" t="s">
        <v>44</v>
      </c>
      <c r="T32" s="2447"/>
      <c r="U32" s="1290"/>
      <c r="V32" s="2449" t="str">
        <f>IF(TITLE_IST_PUB_CHANGE="",IF(TITLE_IST_PUB="","",TITLE_IST_PUB),TITLE_IST_PUB_CHANGE)</f>
        <v/>
      </c>
      <c r="W32" s="2449"/>
      <c r="X32" s="2449"/>
      <c r="Y32" s="2449"/>
      <c r="Z32" s="2449"/>
      <c r="AA32" s="2449"/>
      <c r="AB32" s="2449"/>
      <c r="AC32" s="263"/>
      <c r="AD32" s="2449" t="str">
        <f>IF(TITLE_IST_PUB_CHANGE="",IF(TITLE_IST_PUB="","",TITLE_IST_PUB),TITLE_IST_PUB_CHANGE)</f>
        <v/>
      </c>
      <c r="AE32" s="2449"/>
      <c r="AF32" s="2449"/>
      <c r="AG32" s="2449"/>
      <c r="AH32" s="2449"/>
      <c r="AI32" s="2449"/>
      <c r="AJ32" s="2449"/>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098" customFormat="1" ht="18.75" hidden="1" customHeight="1">
      <c r="A34" s="1286"/>
      <c r="B34" s="1286"/>
      <c r="C34" s="1286"/>
      <c r="D34" s="1286"/>
      <c r="E34" s="1286"/>
      <c r="F34" s="1286"/>
      <c r="G34" s="1286"/>
      <c r="H34" s="1286"/>
      <c r="I34" s="1286"/>
      <c r="J34" s="1286"/>
      <c r="K34" s="1286"/>
      <c r="L34" s="1287"/>
      <c r="M34" s="1286"/>
      <c r="N34" s="1286"/>
      <c r="O34" s="1286"/>
      <c r="S34" s="2447" t="s">
        <v>422</v>
      </c>
      <c r="T34" s="2447"/>
      <c r="U34" s="1290"/>
      <c r="V34" s="2448" t="str">
        <f>IF(TITLE_DATE_PR_CHANGE="",IF(TITLE_DATE_PR="","",TITLE_DATE_PR),TITLE_DATE_PR_CHANGE)</f>
        <v/>
      </c>
      <c r="W34" s="2448"/>
      <c r="X34" s="2448"/>
      <c r="Y34" s="2448"/>
      <c r="Z34" s="2448"/>
      <c r="AA34" s="2448"/>
      <c r="AB34" s="2448"/>
      <c r="AC34" s="263"/>
      <c r="AD34" s="2448" t="str">
        <f>IF(TITLE_DATE_PR_CHANGE="",IF(TITLE_DATE_PR="","",TITLE_DATE_PR),TITLE_DATE_PR_CHANGE)</f>
        <v/>
      </c>
      <c r="AE34" s="2448"/>
      <c r="AF34" s="2448"/>
      <c r="AG34" s="2448"/>
      <c r="AH34" s="2448"/>
      <c r="AI34" s="2448"/>
      <c r="AJ34" s="2448"/>
      <c r="AK34" s="263"/>
      <c r="AL34" s="263"/>
      <c r="AM34" s="217"/>
      <c r="AN34" s="304"/>
      <c r="AO34" s="304"/>
      <c r="AP34" s="304"/>
      <c r="AQ34" s="304"/>
      <c r="AR34" s="304"/>
      <c r="AS34" s="354">
        <v>0</v>
      </c>
    </row>
    <row r="35" spans="1:45" s="2098" customFormat="1" ht="18.75" hidden="1" customHeight="1">
      <c r="A35" s="1286"/>
      <c r="B35" s="1286"/>
      <c r="C35" s="1286"/>
      <c r="D35" s="1286"/>
      <c r="E35" s="1286"/>
      <c r="F35" s="1286"/>
      <c r="G35" s="1286"/>
      <c r="H35" s="1286"/>
      <c r="I35" s="1286"/>
      <c r="J35" s="1286"/>
      <c r="K35" s="1286"/>
      <c r="L35" s="1287"/>
      <c r="M35" s="1286"/>
      <c r="N35" s="1286"/>
      <c r="O35" s="1286"/>
      <c r="S35" s="2447" t="s">
        <v>423</v>
      </c>
      <c r="T35" s="2447"/>
      <c r="U35" s="1290"/>
      <c r="V35" s="2449" t="str">
        <f>IF(TITLE_NUMBER_PR_CHANGE="",IF(TITLE_NUMBER_PR="","",TITLE_NUMBER_PR),TITLE_NUMBER_PR_CHANGE)</f>
        <v/>
      </c>
      <c r="W35" s="2449"/>
      <c r="X35" s="2449"/>
      <c r="Y35" s="2449"/>
      <c r="Z35" s="2449"/>
      <c r="AA35" s="2449"/>
      <c r="AB35" s="2449"/>
      <c r="AC35" s="263"/>
      <c r="AD35" s="2449" t="str">
        <f>IF(TITLE_NUMBER_PR_CHANGE="",IF(TITLE_NUMBER_PR="","",TITLE_NUMBER_PR),TITLE_NUMBER_PR_CHANGE)</f>
        <v/>
      </c>
      <c r="AE35" s="2449"/>
      <c r="AF35" s="2449"/>
      <c r="AG35" s="2449"/>
      <c r="AH35" s="2449"/>
      <c r="AI35" s="2449"/>
      <c r="AJ35" s="2449"/>
      <c r="AK35" s="263"/>
      <c r="AL35" s="263"/>
      <c r="AM35" s="217"/>
      <c r="AN35" s="304"/>
      <c r="AO35" s="304"/>
      <c r="AP35" s="304"/>
      <c r="AQ35" s="304"/>
      <c r="AR35" s="304"/>
      <c r="AS35" s="354">
        <v>0</v>
      </c>
    </row>
    <row r="36" spans="1:45" s="2098"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193"/>
      <c r="T37" s="299"/>
      <c r="U37" s="1162"/>
      <c r="V37" s="2468"/>
      <c r="W37" s="2468"/>
      <c r="X37" s="2468"/>
      <c r="Y37" s="2468"/>
      <c r="Z37" s="2468"/>
      <c r="AA37" s="2468"/>
      <c r="AB37" s="2468"/>
      <c r="AC37" s="2468"/>
      <c r="AD37" s="2468"/>
      <c r="AE37" s="2468"/>
      <c r="AF37" s="2468"/>
      <c r="AG37" s="2468"/>
      <c r="AH37" s="2468"/>
      <c r="AI37" s="2468"/>
      <c r="AJ37" s="2468"/>
      <c r="AK37" s="2468"/>
      <c r="AS37" s="1073">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073">
        <v>14</v>
      </c>
    </row>
    <row r="39" spans="1:45" ht="14.65" customHeight="1">
      <c r="Q39" s="312"/>
      <c r="R39" s="312"/>
      <c r="S39" s="2469" t="s">
        <v>90</v>
      </c>
      <c r="T39" s="2417" t="s">
        <v>425</v>
      </c>
      <c r="U39" s="238"/>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073">
        <v>14</v>
      </c>
    </row>
    <row r="40" spans="1:45" ht="35.65" customHeight="1">
      <c r="Q40" s="312"/>
      <c r="R40" s="312"/>
      <c r="S40" s="2469"/>
      <c r="T40" s="2417"/>
      <c r="U40" s="954"/>
      <c r="V40" s="2387" t="s">
        <v>430</v>
      </c>
      <c r="W40" s="2465"/>
      <c r="X40" s="2310" t="s">
        <v>432</v>
      </c>
      <c r="Y40" s="2309"/>
      <c r="Z40" s="2310" t="s">
        <v>433</v>
      </c>
      <c r="AA40" s="2315"/>
      <c r="AB40" s="2309"/>
      <c r="AC40" s="2474"/>
      <c r="AD40" s="2387" t="s">
        <v>447</v>
      </c>
      <c r="AE40" s="2465"/>
      <c r="AF40" s="2310" t="s">
        <v>432</v>
      </c>
      <c r="AG40" s="2309"/>
      <c r="AH40" s="2310" t="s">
        <v>433</v>
      </c>
      <c r="AI40" s="2315"/>
      <c r="AJ40" s="2309"/>
      <c r="AK40" s="2474"/>
      <c r="AL40" s="2477"/>
      <c r="AM40" s="2328"/>
      <c r="AS40" s="1073">
        <v>34</v>
      </c>
    </row>
    <row r="41" spans="1:45" ht="35.65" customHeight="1">
      <c r="A41" s="1288"/>
      <c r="B41" s="1288" t="s">
        <v>134</v>
      </c>
      <c r="C41" s="1288" t="s">
        <v>135</v>
      </c>
      <c r="D41" s="1288" t="s">
        <v>136</v>
      </c>
      <c r="E41" s="1282" t="s">
        <v>434</v>
      </c>
      <c r="F41" s="1282" t="s">
        <v>435</v>
      </c>
      <c r="G41" s="1282" t="s">
        <v>436</v>
      </c>
      <c r="H41" s="1282" t="s">
        <v>437</v>
      </c>
      <c r="I41" s="1282" t="s">
        <v>438</v>
      </c>
      <c r="J41" s="1282" t="s">
        <v>439</v>
      </c>
      <c r="K41" s="1282" t="s">
        <v>440</v>
      </c>
      <c r="L41" s="1282" t="s">
        <v>415</v>
      </c>
      <c r="Q41" s="312"/>
      <c r="R41" s="312"/>
      <c r="S41" s="2469"/>
      <c r="T41" s="2417"/>
      <c r="U41" s="239"/>
      <c r="V41" s="2442"/>
      <c r="W41" s="2466"/>
      <c r="X41" s="1140" t="s">
        <v>441</v>
      </c>
      <c r="Y41" s="1140" t="s">
        <v>442</v>
      </c>
      <c r="Z41" s="1256" t="s">
        <v>443</v>
      </c>
      <c r="AA41" s="2422" t="s">
        <v>444</v>
      </c>
      <c r="AB41" s="2436"/>
      <c r="AC41" s="2475"/>
      <c r="AD41" s="2442"/>
      <c r="AE41" s="2466"/>
      <c r="AF41" s="1140" t="s">
        <v>441</v>
      </c>
      <c r="AG41" s="1140" t="s">
        <v>442</v>
      </c>
      <c r="AH41" s="1256" t="s">
        <v>443</v>
      </c>
      <c r="AI41" s="2422" t="s">
        <v>444</v>
      </c>
      <c r="AJ41" s="2436"/>
      <c r="AK41" s="2475"/>
      <c r="AL41" s="2478"/>
      <c r="AM41" s="2328"/>
      <c r="AS41" s="1073">
        <v>34</v>
      </c>
    </row>
    <row r="42" spans="1:45" s="20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467">
        <f ca="1">OFFSET(AA42,0,-1)+1</f>
        <v>4</v>
      </c>
      <c r="AB42" s="2467"/>
      <c r="AC42" s="1253">
        <f ca="1">OFFSET(AC42,0,-2)+1</f>
        <v>5</v>
      </c>
      <c r="AD42" s="1253">
        <f ca="1">OFFSET(AD42,0,-1)+1</f>
        <v>6</v>
      </c>
      <c r="AE42" s="1253"/>
      <c r="AF42" s="1253">
        <f ca="1">OFFSET(AF42,0,-1)+1</f>
        <v>1</v>
      </c>
      <c r="AG42" s="1253">
        <f ca="1">OFFSET(AG42,0,-1)+1</f>
        <v>2</v>
      </c>
      <c r="AH42" s="1253">
        <f ca="1">OFFSET(AH42,0,-1)+1</f>
        <v>3</v>
      </c>
      <c r="AI42" s="2467">
        <f ca="1">OFFSET(AI42,0,-1)+1</f>
        <v>4</v>
      </c>
      <c r="AJ42" s="2467"/>
      <c r="AK42" s="1253">
        <f ca="1">OFFSET(AK42,0,-2)+1</f>
        <v>5</v>
      </c>
      <c r="AL42" s="1163">
        <f ca="1">OFFSET(AL42,0,-1)</f>
        <v>5</v>
      </c>
      <c r="AM42" s="1253">
        <f ca="1">OFFSET(AM42,0,-1)+1</f>
        <v>6</v>
      </c>
      <c r="AN42" s="447"/>
      <c r="AO42" s="447"/>
      <c r="AP42" s="447"/>
      <c r="AQ42" s="447"/>
      <c r="AR42" s="447"/>
      <c r="AS42" s="432">
        <v>0</v>
      </c>
    </row>
    <row r="43" spans="1:45" ht="21.95" customHeight="1">
      <c r="A43" s="1281" t="s">
        <v>167</v>
      </c>
      <c r="B43" s="1281"/>
      <c r="C43" s="1281"/>
      <c r="D43" s="1281"/>
      <c r="E43" s="2456">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167</v>
      </c>
      <c r="B44" s="1281" t="s">
        <v>168</v>
      </c>
      <c r="C44" s="1281"/>
      <c r="D44" s="1281"/>
      <c r="E44" s="2457"/>
      <c r="F44" s="2456">
        <v>1</v>
      </c>
      <c r="G44" s="1281"/>
      <c r="H44" s="1281"/>
      <c r="I44" s="1281"/>
      <c r="J44" s="1281"/>
      <c r="K44" s="1281"/>
      <c r="L44" s="1282"/>
      <c r="M44" s="1283"/>
      <c r="N44" s="1283"/>
      <c r="O44" s="1283"/>
      <c r="P44" s="1250"/>
      <c r="Q44" s="288"/>
      <c r="R44" s="289"/>
      <c r="S44" s="1254" t="str">
        <f>INDEX(PT_DIFFERENTIATION_NUM_TER,MATCH(B44,PT_DIFFERENTIATION_TER_ID,0))</f>
        <v>.</v>
      </c>
      <c r="T44" s="245"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436"/>
      <c r="AP44" s="436" t="str">
        <f t="shared" si="1"/>
        <v>Территория действия тарифа</v>
      </c>
      <c r="AQ44" s="436"/>
      <c r="AR44" s="436"/>
      <c r="AS44" s="1073">
        <v>21</v>
      </c>
    </row>
    <row r="45" spans="1:45" ht="24" customHeight="1">
      <c r="A45" s="1281" t="s">
        <v>167</v>
      </c>
      <c r="B45" s="1281" t="s">
        <v>168</v>
      </c>
      <c r="C45" s="1281" t="s">
        <v>169</v>
      </c>
      <c r="D45" s="1281"/>
      <c r="E45" s="2457"/>
      <c r="F45" s="2457"/>
      <c r="G45" s="2456">
        <v>1</v>
      </c>
      <c r="H45" s="1281"/>
      <c r="I45" s="1281"/>
      <c r="J45" s="1281"/>
      <c r="K45" s="1281"/>
      <c r="L45" s="1282"/>
      <c r="M45" s="1283"/>
      <c r="N45" s="1283"/>
      <c r="O45" s="1283"/>
      <c r="P45" s="290"/>
      <c r="Q45" s="288"/>
      <c r="R45" s="289"/>
      <c r="S45" s="1254"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436"/>
      <c r="AP45" s="436" t="str">
        <f t="shared" si="1"/>
        <v xml:space="preserve">Наименование системы теплоснабжения </v>
      </c>
      <c r="AQ45" s="436"/>
      <c r="AR45" s="436"/>
      <c r="AS45" s="1073">
        <v>23</v>
      </c>
    </row>
    <row r="46" spans="1:45" ht="21.95" customHeight="1">
      <c r="A46" s="1281" t="s">
        <v>167</v>
      </c>
      <c r="B46" s="1281" t="s">
        <v>168</v>
      </c>
      <c r="C46" s="1281" t="s">
        <v>169</v>
      </c>
      <c r="D46" s="1281" t="s">
        <v>170</v>
      </c>
      <c r="E46" s="2457"/>
      <c r="F46" s="2457"/>
      <c r="G46" s="2457"/>
      <c r="H46" s="2456">
        <v>1</v>
      </c>
      <c r="I46" s="1281"/>
      <c r="J46" s="1281"/>
      <c r="K46" s="1281"/>
      <c r="L46" s="1282"/>
      <c r="M46" s="1283"/>
      <c r="N46" s="1283"/>
      <c r="O46" s="1283"/>
      <c r="P46" s="290"/>
      <c r="Q46" s="288"/>
      <c r="R46" s="289"/>
      <c r="S46" s="1254"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436"/>
      <c r="AP46" s="436" t="str">
        <f t="shared" si="1"/>
        <v xml:space="preserve">Источник тепловой энергии  </v>
      </c>
      <c r="AQ46" s="436"/>
      <c r="AR46" s="436"/>
      <c r="AS46" s="1073">
        <v>21</v>
      </c>
    </row>
    <row r="47" spans="1:45" s="2034" customFormat="1" ht="0" hidden="1" customHeight="1">
      <c r="A47" s="1261" t="s">
        <v>167</v>
      </c>
      <c r="B47" s="1261" t="s">
        <v>168</v>
      </c>
      <c r="C47" s="1261" t="s">
        <v>169</v>
      </c>
      <c r="D47" s="1261" t="s">
        <v>170</v>
      </c>
      <c r="E47" s="2457"/>
      <c r="F47" s="2457"/>
      <c r="G47" s="2457"/>
      <c r="H47" s="2457"/>
      <c r="I47" s="2458" t="str">
        <f>S46&amp;".1"</f>
        <v>....1</v>
      </c>
      <c r="J47" s="1261"/>
      <c r="K47" s="1261"/>
      <c r="L47" s="1264" t="s">
        <v>400</v>
      </c>
      <c r="M47" s="446"/>
      <c r="N47" s="446"/>
      <c r="O47" s="446"/>
      <c r="P47" s="2460">
        <v>1</v>
      </c>
      <c r="Q47" s="1249"/>
      <c r="R47" s="292"/>
      <c r="S47" s="965"/>
      <c r="T47" s="1301"/>
      <c r="U47" s="1302"/>
      <c r="V47" s="2487"/>
      <c r="W47" s="2488"/>
      <c r="X47" s="2488"/>
      <c r="Y47" s="2488"/>
      <c r="Z47" s="2488"/>
      <c r="AA47" s="2488"/>
      <c r="AB47" s="2488"/>
      <c r="AC47" s="2489"/>
      <c r="AD47" s="2487"/>
      <c r="AE47" s="2488"/>
      <c r="AF47" s="2488"/>
      <c r="AG47" s="2488"/>
      <c r="AH47" s="2488"/>
      <c r="AI47" s="2488"/>
      <c r="AJ47" s="2488"/>
      <c r="AK47" s="2488"/>
      <c r="AL47" s="2489"/>
      <c r="AM47" s="1303"/>
      <c r="AO47" s="436"/>
      <c r="AP47" s="436" t="str">
        <f t="shared" si="1"/>
        <v/>
      </c>
      <c r="AQ47" s="436"/>
      <c r="AR47" s="436"/>
      <c r="AS47" s="447">
        <v>0</v>
      </c>
    </row>
    <row r="48" spans="1:45" ht="21.95" customHeight="1">
      <c r="A48" s="1281" t="s">
        <v>167</v>
      </c>
      <c r="B48" s="1281" t="s">
        <v>168</v>
      </c>
      <c r="C48" s="1281" t="s">
        <v>169</v>
      </c>
      <c r="D48" s="1281" t="s">
        <v>170</v>
      </c>
      <c r="E48" s="2457"/>
      <c r="F48" s="2457"/>
      <c r="G48" s="2457"/>
      <c r="H48" s="2457"/>
      <c r="I48" s="2459"/>
      <c r="J48" s="2458" t="str">
        <f>S46&amp;".1"</f>
        <v>....1</v>
      </c>
      <c r="K48" s="1281"/>
      <c r="L48" s="1282" t="s">
        <v>403</v>
      </c>
      <c r="P48" s="2460"/>
      <c r="Q48" s="2460">
        <v>1</v>
      </c>
      <c r="R48" s="293"/>
      <c r="S48" s="1254" t="str">
        <f>$J48</f>
        <v>....1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436"/>
      <c r="AP48" s="436" t="str">
        <f t="shared" si="1"/>
        <v>Группа потребителей</v>
      </c>
      <c r="AQ48" s="436"/>
      <c r="AR48" s="436"/>
      <c r="AS48" s="1073">
        <v>21</v>
      </c>
    </row>
    <row r="49" spans="1:45" ht="21.95" customHeight="1">
      <c r="A49" s="1281" t="s">
        <v>167</v>
      </c>
      <c r="B49" s="1281" t="s">
        <v>168</v>
      </c>
      <c r="C49" s="1281" t="s">
        <v>169</v>
      </c>
      <c r="D49" s="1281" t="s">
        <v>170</v>
      </c>
      <c r="E49" s="2457"/>
      <c r="F49" s="2457"/>
      <c r="G49" s="2457"/>
      <c r="H49" s="2457"/>
      <c r="I49" s="2459"/>
      <c r="J49" s="2459"/>
      <c r="K49" s="2458" t="str">
        <f>J48&amp;".1"</f>
        <v>....1.1</v>
      </c>
      <c r="L49" s="1282" t="s">
        <v>406</v>
      </c>
      <c r="P49" s="2460"/>
      <c r="Q49" s="2460"/>
      <c r="R49" s="293">
        <v>1</v>
      </c>
      <c r="S49" s="1254" t="str">
        <f>$K49</f>
        <v>....1.1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448</v>
      </c>
      <c r="AN49" s="447" t="e">
        <f ca="1">STRCHECKDATE(V50:AL50)</f>
        <v>#NAME?</v>
      </c>
      <c r="AO49" s="436"/>
      <c r="AP49" s="436" t="str">
        <f t="shared" si="1"/>
        <v/>
      </c>
      <c r="AQ49" s="436"/>
      <c r="AR49" s="436"/>
      <c r="AS49" s="1073">
        <v>21</v>
      </c>
    </row>
    <row r="50" spans="1:45" ht="1.1499999999999999" customHeight="1">
      <c r="A50" s="1281" t="s">
        <v>167</v>
      </c>
      <c r="B50" s="1281" t="s">
        <v>168</v>
      </c>
      <c r="C50" s="1281" t="s">
        <v>169</v>
      </c>
      <c r="D50" s="1281" t="s">
        <v>170</v>
      </c>
      <c r="E50" s="2457"/>
      <c r="F50" s="2457"/>
      <c r="G50" s="2457"/>
      <c r="H50" s="2457"/>
      <c r="I50" s="2459"/>
      <c r="J50" s="2459"/>
      <c r="K50" s="2458"/>
      <c r="L50" s="1282"/>
      <c r="P50" s="2460"/>
      <c r="Q50" s="2460"/>
      <c r="R50" s="293"/>
      <c r="S50" s="1260"/>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436"/>
      <c r="AP50" s="436" t="str">
        <f t="shared" si="1"/>
        <v/>
      </c>
      <c r="AQ50" s="436"/>
      <c r="AR50" s="436"/>
      <c r="AS50" s="1073">
        <v>1</v>
      </c>
    </row>
    <row r="51" spans="1:45" ht="11.45" customHeight="1">
      <c r="A51" s="1281" t="s">
        <v>167</v>
      </c>
      <c r="B51" s="1281" t="s">
        <v>168</v>
      </c>
      <c r="C51" s="1281" t="s">
        <v>169</v>
      </c>
      <c r="D51" s="1281" t="s">
        <v>170</v>
      </c>
      <c r="E51" s="2457"/>
      <c r="F51" s="2457"/>
      <c r="G51" s="2457"/>
      <c r="H51" s="2457"/>
      <c r="I51" s="2459"/>
      <c r="J51" s="2458"/>
      <c r="K51" s="1281"/>
      <c r="L51" s="1282"/>
      <c r="P51" s="2460"/>
      <c r="Q51" s="2460"/>
      <c r="R51" s="292"/>
      <c r="S51" s="1196"/>
      <c r="T51" s="224" t="s">
        <v>408</v>
      </c>
      <c r="U51" s="303"/>
      <c r="V51" s="303"/>
      <c r="W51" s="303"/>
      <c r="X51" s="303"/>
      <c r="Y51" s="303"/>
      <c r="Z51" s="303"/>
      <c r="AA51" s="303"/>
      <c r="AB51" s="303"/>
      <c r="AC51" s="303"/>
      <c r="AD51" s="303"/>
      <c r="AE51" s="303"/>
      <c r="AF51" s="303"/>
      <c r="AG51" s="303"/>
      <c r="AH51" s="303"/>
      <c r="AI51" s="303"/>
      <c r="AJ51" s="303"/>
      <c r="AK51" s="303"/>
      <c r="AL51" s="261"/>
      <c r="AM51" s="2481"/>
      <c r="AO51" s="436"/>
      <c r="AP51" s="436" t="str">
        <f t="shared" si="1"/>
        <v>Добавить вид теплоносителя (параметры теплоносителя)</v>
      </c>
      <c r="AQ51" s="436"/>
      <c r="AR51" s="436"/>
      <c r="AS51" s="1073">
        <v>11</v>
      </c>
    </row>
    <row r="52" spans="1:45" ht="11.45" customHeight="1">
      <c r="A52" s="1281" t="s">
        <v>167</v>
      </c>
      <c r="B52" s="1281" t="s">
        <v>168</v>
      </c>
      <c r="C52" s="1281" t="s">
        <v>169</v>
      </c>
      <c r="D52" s="1281" t="s">
        <v>170</v>
      </c>
      <c r="E52" s="2457"/>
      <c r="F52" s="2457"/>
      <c r="G52" s="2457"/>
      <c r="H52" s="2457"/>
      <c r="I52" s="2458"/>
      <c r="J52" s="1281"/>
      <c r="K52" s="1281"/>
      <c r="L52" s="1282"/>
      <c r="P52" s="2460"/>
      <c r="Q52" s="1249"/>
      <c r="R52" s="292"/>
      <c r="S52" s="1196"/>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167</v>
      </c>
      <c r="B53" s="1281" t="s">
        <v>168</v>
      </c>
      <c r="C53" s="1281" t="s">
        <v>169</v>
      </c>
      <c r="D53" s="1281" t="s">
        <v>170</v>
      </c>
      <c r="E53" s="2457"/>
      <c r="F53" s="2457"/>
      <c r="G53" s="2457"/>
      <c r="H53" s="2456"/>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034" customFormat="1" ht="1.1499999999999999" customHeight="1">
      <c r="A54" s="1261" t="s">
        <v>167</v>
      </c>
      <c r="B54" s="1261" t="s">
        <v>168</v>
      </c>
      <c r="C54" s="1261" t="s">
        <v>169</v>
      </c>
      <c r="D54" s="1232"/>
      <c r="E54" s="2457"/>
      <c r="F54" s="2457"/>
      <c r="G54" s="2456"/>
      <c r="H54" s="1232"/>
      <c r="I54" s="1232"/>
      <c r="J54" s="1232"/>
      <c r="K54" s="1232"/>
      <c r="L54" s="1257"/>
      <c r="M54" s="1233"/>
      <c r="N54" s="123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34" customFormat="1" ht="1.1499999999999999" customHeight="1">
      <c r="A55" s="1261" t="s">
        <v>167</v>
      </c>
      <c r="B55" s="1261" t="s">
        <v>168</v>
      </c>
      <c r="C55" s="1232"/>
      <c r="D55" s="1232"/>
      <c r="E55" s="2457"/>
      <c r="F55" s="2456"/>
      <c r="G55" s="1232"/>
      <c r="H55" s="1232"/>
      <c r="I55" s="1232"/>
      <c r="J55" s="1232"/>
      <c r="K55" s="1232"/>
      <c r="L55" s="1257"/>
      <c r="M55" s="1239"/>
      <c r="N55" s="1239"/>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34" customFormat="1" ht="1.1499999999999999" customHeight="1">
      <c r="A56" s="1261" t="s">
        <v>167</v>
      </c>
      <c r="B56" s="1261"/>
      <c r="C56" s="1261"/>
      <c r="D56" s="1261"/>
      <c r="E56" s="2456"/>
      <c r="F56" s="1261"/>
      <c r="G56" s="1261"/>
      <c r="H56" s="1261"/>
      <c r="I56" s="1261"/>
      <c r="J56" s="1261"/>
      <c r="K56" s="1261"/>
      <c r="L56" s="1264"/>
      <c r="M56" s="1239"/>
      <c r="N56" s="1239"/>
      <c r="O56" s="454"/>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3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073">
        <v>19</v>
      </c>
    </row>
    <row r="60" spans="1:45" ht="29.25" customHeight="1">
      <c r="O60" s="47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073">
        <v>28</v>
      </c>
    </row>
    <row r="61" spans="1:45" ht="42" customHeight="1">
      <c r="O61" s="473"/>
      <c r="T61" s="2455"/>
      <c r="U61" s="2455"/>
      <c r="V61" s="2455"/>
      <c r="W61" s="2455"/>
      <c r="X61" s="2455"/>
      <c r="Y61" s="2455"/>
      <c r="Z61" s="2455"/>
      <c r="AA61" s="2455"/>
      <c r="AB61" s="2455"/>
      <c r="AC61" s="2455"/>
      <c r="AD61" s="2455"/>
      <c r="AE61" s="2455"/>
      <c r="AF61" s="2455"/>
      <c r="AG61" s="2455"/>
      <c r="AH61" s="2455"/>
      <c r="AI61" s="2455"/>
      <c r="AJ61" s="2455"/>
      <c r="AK61" s="2455"/>
      <c r="AL61" s="2455"/>
      <c r="AM61" s="2455"/>
      <c r="AS61" s="1073">
        <v>40</v>
      </c>
    </row>
    <row r="62" spans="1:45" ht="14.65" customHeight="1">
      <c r="O62" s="473"/>
      <c r="AS62" s="1073">
        <v>14</v>
      </c>
    </row>
    <row r="63" spans="1:45" ht="21" customHeight="1">
      <c r="O63" s="473"/>
      <c r="S63" s="1171"/>
      <c r="T63" s="2368"/>
      <c r="U63" s="2455"/>
      <c r="V63" s="2455"/>
      <c r="W63" s="2455"/>
      <c r="X63" s="2455"/>
      <c r="Y63" s="2455"/>
      <c r="Z63" s="2455"/>
      <c r="AA63" s="2455"/>
      <c r="AB63" s="2455"/>
      <c r="AC63" s="2455"/>
      <c r="AD63" s="2455"/>
      <c r="AE63" s="2455"/>
      <c r="AF63" s="2455"/>
      <c r="AG63" s="2455"/>
      <c r="AH63" s="2455"/>
      <c r="AI63" s="2455"/>
      <c r="AJ63" s="2455"/>
      <c r="AK63" s="2455"/>
      <c r="AL63" s="2455"/>
      <c r="AM63" s="2455"/>
      <c r="AS63" s="1073">
        <v>20</v>
      </c>
    </row>
    <row r="64" spans="1:45" ht="29.25" customHeight="1">
      <c r="O64" s="473"/>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073">
        <v>28</v>
      </c>
    </row>
    <row r="65" spans="1:45" ht="35.65" customHeight="1">
      <c r="T65" s="2455"/>
      <c r="U65" s="2455"/>
      <c r="V65" s="2455"/>
      <c r="W65" s="2455"/>
      <c r="X65" s="2455"/>
      <c r="Y65" s="2455"/>
      <c r="Z65" s="2455"/>
      <c r="AA65" s="2455"/>
      <c r="AB65" s="2455"/>
      <c r="AC65" s="2455"/>
      <c r="AD65" s="2455"/>
      <c r="AE65" s="2455"/>
      <c r="AF65" s="2455"/>
      <c r="AG65" s="2455"/>
      <c r="AH65" s="2455"/>
      <c r="AI65" s="2455"/>
      <c r="AJ65" s="2455"/>
      <c r="AK65" s="2455"/>
      <c r="AL65" s="2455"/>
      <c r="AM65" s="2455"/>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7109375" style="2109" hidden="1" customWidth="1"/>
    <col min="17" max="18" width="3" style="2059" customWidth="1"/>
    <col min="19" max="19" width="12" style="2106" customWidth="1"/>
    <col min="20" max="20" width="31"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A1" s="1786"/>
      <c r="Y1" s="264"/>
      <c r="Z1" s="264"/>
      <c r="AG1" s="264"/>
      <c r="AH1" s="264"/>
      <c r="AS1" s="1073" t="s">
        <v>14</v>
      </c>
    </row>
    <row r="2" spans="1:45" ht="21" hidden="1" customHeight="1">
      <c r="A2" s="1281"/>
      <c r="B2" s="1281"/>
      <c r="C2" s="1281"/>
      <c r="D2" s="1281"/>
      <c r="E2" s="2456">
        <v>1</v>
      </c>
      <c r="F2" s="1281"/>
      <c r="G2" s="1281"/>
      <c r="H2" s="1281"/>
      <c r="I2" s="1281"/>
      <c r="J2" s="1281"/>
      <c r="K2" s="1281"/>
      <c r="L2" s="1282"/>
      <c r="M2" s="1283"/>
      <c r="N2" s="1283"/>
      <c r="O2" s="1283"/>
      <c r="P2" s="297"/>
      <c r="Q2" s="296"/>
      <c r="R2" s="291"/>
      <c r="S2" s="1254" t="e">
        <f>INDEX(PT_DIFFERENTIATION_NUM_NTAR,MATCH(A2,PT_DIFFERENTIATION_NTAR_ID,0))</f>
        <v>#N/A</v>
      </c>
      <c r="T2" s="235"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436"/>
      <c r="AP2" s="436" t="str">
        <f t="shared" ref="AP2:AP15" si="0">IF(T2="","",T2)</f>
        <v>Наименование тарифа</v>
      </c>
      <c r="AQ2" s="436"/>
      <c r="AR2" s="436"/>
      <c r="AS2" s="1073">
        <v>0</v>
      </c>
    </row>
    <row r="3" spans="1:45" ht="21" hidden="1" customHeight="1">
      <c r="A3" s="1281"/>
      <c r="B3" s="1281"/>
      <c r="C3" s="1281"/>
      <c r="D3" s="1281"/>
      <c r="E3" s="2457"/>
      <c r="F3" s="2456">
        <v>1</v>
      </c>
      <c r="G3" s="1281"/>
      <c r="H3" s="1281"/>
      <c r="I3" s="1281"/>
      <c r="J3" s="1281"/>
      <c r="K3" s="1281"/>
      <c r="L3" s="1282"/>
      <c r="M3" s="1283"/>
      <c r="N3" s="1283"/>
      <c r="O3" s="1283"/>
      <c r="P3" s="1250"/>
      <c r="Q3" s="288"/>
      <c r="R3" s="289"/>
      <c r="S3" s="1254" t="e">
        <f>INDEX(PT_DIFFERENTIATION_NUM_TER,MATCH(B3,PT_DIFFERENTIATION_TER_ID,0))</f>
        <v>#N/A</v>
      </c>
      <c r="T3" s="245"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436"/>
      <c r="AP3" s="436" t="str">
        <f t="shared" si="0"/>
        <v>Территория действия тарифа</v>
      </c>
      <c r="AQ3" s="436"/>
      <c r="AR3" s="436"/>
      <c r="AS3" s="1073">
        <v>0</v>
      </c>
    </row>
    <row r="4" spans="1:45" ht="23.25" hidden="1" customHeight="1">
      <c r="A4" s="1281"/>
      <c r="B4" s="1281"/>
      <c r="C4" s="1281"/>
      <c r="D4" s="1281"/>
      <c r="E4" s="2457"/>
      <c r="F4" s="2457"/>
      <c r="G4" s="2456">
        <v>1</v>
      </c>
      <c r="H4" s="1281"/>
      <c r="I4" s="1281"/>
      <c r="J4" s="1281"/>
      <c r="K4" s="1281"/>
      <c r="L4" s="1282"/>
      <c r="M4" s="1283"/>
      <c r="N4" s="1283"/>
      <c r="O4" s="1283"/>
      <c r="P4" s="290"/>
      <c r="Q4" s="288"/>
      <c r="R4" s="289"/>
      <c r="S4" s="1920" t="e">
        <f>INDEX(PT_DIFFERENTIATION_NUM_CS,MATCH(C4,PT_DIFFERENTIATION_CS_ID,0))</f>
        <v>#N/A</v>
      </c>
      <c r="T4" s="1924" t="s">
        <v>396</v>
      </c>
      <c r="U4" s="1925"/>
      <c r="V4" s="2492"/>
      <c r="W4" s="2493"/>
      <c r="X4" s="2493"/>
      <c r="Y4" s="2493"/>
      <c r="Z4" s="2493"/>
      <c r="AA4" s="2493"/>
      <c r="AB4" s="2493"/>
      <c r="AC4" s="2494"/>
      <c r="AD4" s="2492" t="e">
        <f>INDEX(PT_DIFFERENTIATION_CS,MATCH(C4,PT_DIFFERENTIATION_CS_ID,0))</f>
        <v>#N/A</v>
      </c>
      <c r="AE4" s="2493"/>
      <c r="AF4" s="2493"/>
      <c r="AG4" s="2493"/>
      <c r="AH4" s="2493"/>
      <c r="AI4" s="2493"/>
      <c r="AJ4" s="2493"/>
      <c r="AK4" s="2493"/>
      <c r="AL4" s="2494"/>
      <c r="AM4" s="1176" t="s">
        <v>397</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57"/>
      <c r="F5" s="2457"/>
      <c r="G5" s="2457"/>
      <c r="H5" s="2456">
        <v>1</v>
      </c>
      <c r="I5" s="1281"/>
      <c r="J5" s="1281"/>
      <c r="K5" s="1281"/>
      <c r="L5" s="1282"/>
      <c r="M5" s="1283"/>
      <c r="N5" s="1283"/>
      <c r="O5" s="1283"/>
      <c r="P5" s="290"/>
      <c r="Q5" s="288"/>
      <c r="R5" s="1553"/>
      <c r="S5" s="1919" t="e">
        <f>INDEX(PT_DIFFERENTIATION_NUM_IST_TE,MATCH(D5,PT_DIFFERENTIATION_IST_TE_ID,0))</f>
        <v>#N/A</v>
      </c>
      <c r="T5" s="247" t="s">
        <v>398</v>
      </c>
      <c r="U5" s="237"/>
      <c r="V5" s="2495"/>
      <c r="W5" s="2495"/>
      <c r="X5" s="2495"/>
      <c r="Y5" s="2495"/>
      <c r="Z5" s="2495"/>
      <c r="AA5" s="2495"/>
      <c r="AB5" s="2495"/>
      <c r="AC5" s="2495"/>
      <c r="AD5" s="2495" t="e">
        <f>INDEX(PT_DIFFERENTIATION_IST_TE,MATCH(D5,PT_DIFFERENTIATION_IST_TE_ID,0))</f>
        <v>#N/A</v>
      </c>
      <c r="AE5" s="2495"/>
      <c r="AF5" s="2495"/>
      <c r="AG5" s="2495"/>
      <c r="AH5" s="2495"/>
      <c r="AI5" s="2495"/>
      <c r="AJ5" s="2495"/>
      <c r="AK5" s="2495"/>
      <c r="AL5" s="2495"/>
      <c r="AM5" s="1922" t="s">
        <v>399</v>
      </c>
      <c r="AO5" s="436"/>
      <c r="AP5" s="436" t="str">
        <f t="shared" si="0"/>
        <v xml:space="preserve">Источник тепловой энергии  </v>
      </c>
      <c r="AQ5" s="436"/>
      <c r="AR5" s="436"/>
      <c r="AS5" s="1073">
        <v>0</v>
      </c>
    </row>
    <row r="6" spans="1:45" ht="0.75" hidden="1" customHeight="1">
      <c r="A6" s="1281"/>
      <c r="B6" s="1281"/>
      <c r="C6" s="1281"/>
      <c r="D6" s="1281"/>
      <c r="E6" s="2457"/>
      <c r="F6" s="2457"/>
      <c r="G6" s="2457"/>
      <c r="H6" s="2457"/>
      <c r="I6" s="2458" t="e">
        <f>S5&amp;".1"</f>
        <v>#N/A</v>
      </c>
      <c r="J6" s="1281"/>
      <c r="K6" s="1281"/>
      <c r="L6" s="1282" t="s">
        <v>400</v>
      </c>
      <c r="M6" s="473"/>
      <c r="P6" s="2460">
        <v>1</v>
      </c>
      <c r="Q6" s="1249"/>
      <c r="R6" s="1918"/>
      <c r="S6" s="965"/>
      <c r="T6" s="1301"/>
      <c r="U6" s="1302"/>
      <c r="V6" s="2496"/>
      <c r="W6" s="2496"/>
      <c r="X6" s="2496"/>
      <c r="Y6" s="2496"/>
      <c r="Z6" s="2496"/>
      <c r="AA6" s="2496"/>
      <c r="AB6" s="2496"/>
      <c r="AC6" s="2496"/>
      <c r="AD6" s="2496"/>
      <c r="AE6" s="2496"/>
      <c r="AF6" s="2496"/>
      <c r="AG6" s="2496"/>
      <c r="AH6" s="2496"/>
      <c r="AI6" s="2496"/>
      <c r="AJ6" s="2496"/>
      <c r="AK6" s="2496"/>
      <c r="AL6" s="2496"/>
      <c r="AM6" s="1923"/>
      <c r="AO6" s="436"/>
      <c r="AP6" s="436" t="str">
        <f t="shared" si="0"/>
        <v/>
      </c>
      <c r="AQ6" s="436"/>
      <c r="AR6" s="436"/>
      <c r="AS6" s="1073">
        <v>0</v>
      </c>
    </row>
    <row r="7" spans="1:45" ht="84" hidden="1" customHeight="1">
      <c r="A7" s="1281"/>
      <c r="B7" s="1281"/>
      <c r="C7" s="1281"/>
      <c r="D7" s="1281"/>
      <c r="E7" s="2457"/>
      <c r="F7" s="2457"/>
      <c r="G7" s="2457"/>
      <c r="H7" s="2457"/>
      <c r="I7" s="2459"/>
      <c r="J7" s="2458" t="e">
        <f>I6&amp;".1"</f>
        <v>#N/A</v>
      </c>
      <c r="K7" s="1281"/>
      <c r="L7" s="1282" t="s">
        <v>403</v>
      </c>
      <c r="M7" s="473"/>
      <c r="N7" s="1284"/>
      <c r="P7" s="2460"/>
      <c r="Q7" s="2460">
        <v>1</v>
      </c>
      <c r="R7" s="1560"/>
      <c r="S7" s="1919" t="e">
        <f>$J7</f>
        <v>#N/A</v>
      </c>
      <c r="T7" s="223" t="s">
        <v>404</v>
      </c>
      <c r="U7" s="237"/>
      <c r="V7" s="2490"/>
      <c r="W7" s="2490"/>
      <c r="X7" s="2490"/>
      <c r="Y7" s="2490"/>
      <c r="Z7" s="2490"/>
      <c r="AA7" s="2490"/>
      <c r="AB7" s="2490"/>
      <c r="AC7" s="2490"/>
      <c r="AD7" s="2490"/>
      <c r="AE7" s="2490"/>
      <c r="AF7" s="2490"/>
      <c r="AG7" s="2490"/>
      <c r="AH7" s="2490"/>
      <c r="AI7" s="2490"/>
      <c r="AJ7" s="2490"/>
      <c r="AK7" s="2490"/>
      <c r="AL7" s="2490"/>
      <c r="AM7" s="1922" t="s">
        <v>405</v>
      </c>
      <c r="AO7" s="436"/>
      <c r="AP7" s="436" t="str">
        <f t="shared" si="0"/>
        <v>Группа потребителей</v>
      </c>
      <c r="AQ7" s="436"/>
      <c r="AR7" s="436"/>
      <c r="AS7" s="1073">
        <v>0</v>
      </c>
    </row>
    <row r="8" spans="1:45" ht="11.25" hidden="1" customHeight="1">
      <c r="A8" s="1281"/>
      <c r="B8" s="1281"/>
      <c r="C8" s="1281"/>
      <c r="D8" s="1281"/>
      <c r="E8" s="2457"/>
      <c r="F8" s="2457"/>
      <c r="G8" s="2457"/>
      <c r="H8" s="2457"/>
      <c r="I8" s="2459"/>
      <c r="J8" s="2459"/>
      <c r="K8" s="2458" t="e">
        <f>J7&amp;".1"</f>
        <v>#N/A</v>
      </c>
      <c r="L8" s="1282" t="s">
        <v>406</v>
      </c>
      <c r="M8" s="473"/>
      <c r="N8" s="1284"/>
      <c r="O8" s="1284"/>
      <c r="P8" s="2460"/>
      <c r="Q8" s="2460"/>
      <c r="R8" s="293">
        <v>1</v>
      </c>
      <c r="S8" s="1921" t="e">
        <f>$K8</f>
        <v>#N/A</v>
      </c>
      <c r="T8" s="1926"/>
      <c r="U8" s="1927"/>
      <c r="V8" s="1928"/>
      <c r="W8" s="1267"/>
      <c r="X8" s="1928"/>
      <c r="Y8" s="1929"/>
      <c r="Z8" s="2491"/>
      <c r="AA8" s="2343" t="s">
        <v>67</v>
      </c>
      <c r="AB8" s="2491"/>
      <c r="AC8" s="2343" t="s">
        <v>67</v>
      </c>
      <c r="AD8" s="1928"/>
      <c r="AE8" s="1267"/>
      <c r="AF8" s="1928"/>
      <c r="AG8" s="1929"/>
      <c r="AH8" s="2491"/>
      <c r="AI8" s="2343" t="s">
        <v>67</v>
      </c>
      <c r="AJ8" s="2491"/>
      <c r="AK8" s="2343" t="s">
        <v>67</v>
      </c>
      <c r="AL8" s="1267"/>
      <c r="AM8" s="2479" t="s">
        <v>407</v>
      </c>
      <c r="AN8" s="447" t="e">
        <f ca="1">STRCHECKDATE(V9:AL9)</f>
        <v>#NAME?</v>
      </c>
      <c r="AO8" s="436"/>
      <c r="AP8" s="436" t="str">
        <f t="shared" si="0"/>
        <v/>
      </c>
      <c r="AQ8" s="436"/>
      <c r="AR8" s="436"/>
      <c r="AS8" s="1073">
        <v>0</v>
      </c>
    </row>
    <row r="9" spans="1:45" ht="0.75" hidden="1" customHeight="1">
      <c r="A9" s="1281"/>
      <c r="B9" s="1281"/>
      <c r="C9" s="1281"/>
      <c r="D9" s="1281"/>
      <c r="E9" s="2457"/>
      <c r="F9" s="2457"/>
      <c r="G9" s="2457"/>
      <c r="H9" s="2457"/>
      <c r="I9" s="2459"/>
      <c r="J9" s="2459"/>
      <c r="K9" s="2458"/>
      <c r="L9" s="1282"/>
      <c r="M9" s="473"/>
      <c r="N9" s="1284"/>
      <c r="O9" s="1284"/>
      <c r="P9" s="2460"/>
      <c r="Q9" s="2460"/>
      <c r="R9" s="293"/>
      <c r="S9" s="1260"/>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436"/>
      <c r="AP9" s="436" t="str">
        <f t="shared" si="0"/>
        <v/>
      </c>
      <c r="AQ9" s="436"/>
      <c r="AR9" s="436"/>
      <c r="AS9" s="1073">
        <v>0</v>
      </c>
    </row>
    <row r="10" spans="1:45" ht="11.25" hidden="1" customHeight="1">
      <c r="A10" s="1281"/>
      <c r="B10" s="1281"/>
      <c r="C10" s="1281"/>
      <c r="D10" s="1281"/>
      <c r="E10" s="2457"/>
      <c r="F10" s="2457"/>
      <c r="G10" s="2457"/>
      <c r="H10" s="2457"/>
      <c r="I10" s="2459"/>
      <c r="J10" s="2458"/>
      <c r="K10" s="1281"/>
      <c r="L10" s="1282"/>
      <c r="M10" s="473"/>
      <c r="N10" s="1284"/>
      <c r="P10" s="2460"/>
      <c r="Q10" s="2460"/>
      <c r="R10" s="292"/>
      <c r="S10" s="1196"/>
      <c r="T10" s="224" t="s">
        <v>408</v>
      </c>
      <c r="U10" s="303"/>
      <c r="V10" s="303"/>
      <c r="W10" s="303"/>
      <c r="X10" s="303"/>
      <c r="Y10" s="303"/>
      <c r="Z10" s="303"/>
      <c r="AA10" s="303"/>
      <c r="AB10" s="303"/>
      <c r="AC10" s="303"/>
      <c r="AD10" s="303"/>
      <c r="AE10" s="303"/>
      <c r="AF10" s="303"/>
      <c r="AG10" s="303"/>
      <c r="AH10" s="303"/>
      <c r="AI10" s="303"/>
      <c r="AJ10" s="303"/>
      <c r="AK10" s="303"/>
      <c r="AL10" s="261"/>
      <c r="AM10" s="2481"/>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457"/>
      <c r="F11" s="2457"/>
      <c r="G11" s="2457"/>
      <c r="H11" s="2457"/>
      <c r="I11" s="2458"/>
      <c r="J11" s="1281"/>
      <c r="K11" s="1281"/>
      <c r="L11" s="1282"/>
      <c r="M11" s="473"/>
      <c r="P11" s="2460"/>
      <c r="Q11" s="1249"/>
      <c r="R11" s="292"/>
      <c r="S11" s="1196"/>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0.75" hidden="1" customHeight="1">
      <c r="A12" s="1281"/>
      <c r="B12" s="1281"/>
      <c r="C12" s="1281"/>
      <c r="D12" s="1281"/>
      <c r="E12" s="2457"/>
      <c r="F12" s="2457"/>
      <c r="G12" s="2457"/>
      <c r="H12" s="2456"/>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034" customFormat="1" ht="0.75" hidden="1" customHeight="1">
      <c r="A13" s="1232"/>
      <c r="B13" s="1232"/>
      <c r="C13" s="1232"/>
      <c r="D13" s="1232"/>
      <c r="E13" s="2457"/>
      <c r="F13" s="2457"/>
      <c r="G13" s="2456"/>
      <c r="H13" s="1232"/>
      <c r="I13" s="1232"/>
      <c r="J13" s="1232"/>
      <c r="K13" s="1232"/>
      <c r="L13" s="1257"/>
      <c r="M13" s="1233"/>
      <c r="N13" s="123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34" customFormat="1" ht="0.75" hidden="1" customHeight="1">
      <c r="A14" s="1232"/>
      <c r="B14" s="1232"/>
      <c r="C14" s="1232"/>
      <c r="D14" s="1232"/>
      <c r="E14" s="2457"/>
      <c r="F14" s="2456"/>
      <c r="G14" s="1232"/>
      <c r="H14" s="1232"/>
      <c r="I14" s="1232"/>
      <c r="J14" s="1232"/>
      <c r="K14" s="1232"/>
      <c r="L14" s="1257"/>
      <c r="M14" s="1239"/>
      <c r="N14" s="1239"/>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34" customFormat="1" ht="0.75" hidden="1" customHeight="1">
      <c r="A15" s="1232"/>
      <c r="B15" s="1232"/>
      <c r="C15" s="1232"/>
      <c r="D15" s="1232"/>
      <c r="E15" s="2456"/>
      <c r="F15" s="1232"/>
      <c r="G15" s="1232"/>
      <c r="H15" s="1232"/>
      <c r="I15" s="1232"/>
      <c r="J15" s="1232"/>
      <c r="K15" s="1232"/>
      <c r="L15" s="1257"/>
      <c r="M15" s="1239"/>
      <c r="N15" s="1239"/>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54"/>
      <c r="AI17" s="2453" t="s">
        <v>67</v>
      </c>
      <c r="AJ17" s="2454"/>
      <c r="AK17" s="2453" t="s">
        <v>67</v>
      </c>
      <c r="AS17" s="1073">
        <v>0</v>
      </c>
    </row>
    <row r="18" spans="1:45" ht="14.25" hidden="1" customHeight="1">
      <c r="AD18" s="1278"/>
      <c r="AE18" s="1278"/>
      <c r="AF18" s="1278"/>
      <c r="AG18" s="265" t="str">
        <f>AH17&amp;"-"&amp;AJ17</f>
        <v>-</v>
      </c>
      <c r="AH18" s="2453"/>
      <c r="AI18" s="2453"/>
      <c r="AJ18" s="2453"/>
      <c r="AK18" s="2453"/>
      <c r="AS18" s="1073">
        <v>0</v>
      </c>
    </row>
    <row r="19" spans="1:45" ht="14.25" hidden="1" customHeight="1">
      <c r="AK19" s="264"/>
      <c r="AS19" s="1073">
        <v>0</v>
      </c>
    </row>
    <row r="20" spans="1:45" s="2056" customFormat="1" ht="22.5" hidden="1" customHeight="1">
      <c r="L20" s="1247"/>
      <c r="M20" s="1280"/>
      <c r="N20" s="1280"/>
      <c r="O20" s="1285" t="s">
        <v>414</v>
      </c>
      <c r="P20" s="1280"/>
      <c r="Q20" s="1289"/>
      <c r="R20" s="1289"/>
      <c r="S20" s="665"/>
      <c r="Z20" s="1285"/>
      <c r="AB20" s="1285"/>
      <c r="AC20" s="1284"/>
      <c r="AH20" s="1285"/>
      <c r="AJ20" s="1285"/>
      <c r="AK20" s="1284"/>
      <c r="AN20" s="447"/>
      <c r="AO20" s="447"/>
      <c r="AP20" s="447"/>
      <c r="AQ20" s="447"/>
      <c r="AR20" s="447"/>
      <c r="AS20" s="1078">
        <v>0</v>
      </c>
    </row>
    <row r="21" spans="1:45" s="205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56" customFormat="1" ht="14.25" hidden="1" customHeight="1">
      <c r="L22" s="1247"/>
      <c r="M22" s="1280"/>
      <c r="N22" s="1280"/>
      <c r="O22" s="1282" t="s">
        <v>415</v>
      </c>
      <c r="P22" s="1280"/>
      <c r="Q22" s="1289"/>
      <c r="R22" s="1289"/>
      <c r="S22" s="665"/>
      <c r="T22" s="1078" t="s">
        <v>416</v>
      </c>
      <c r="AA22" s="123" t="s">
        <v>417</v>
      </c>
      <c r="AC22" s="123" t="s">
        <v>418</v>
      </c>
      <c r="AD22" s="1078" t="s">
        <v>416</v>
      </c>
      <c r="AI22" s="123" t="s">
        <v>419</v>
      </c>
      <c r="AK22" s="123" t="s">
        <v>418</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4.75" customHeight="1">
      <c r="Q26" s="312"/>
      <c r="R26" s="312"/>
      <c r="S26" s="23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6"/>
      <c r="U26" s="2386"/>
      <c r="V26" s="2386"/>
      <c r="W26" s="2386"/>
      <c r="X26" s="2386"/>
      <c r="Y26" s="2386"/>
      <c r="Z26" s="2386"/>
      <c r="AA26" s="2386"/>
      <c r="AB26" s="2386"/>
      <c r="AC26" s="2386"/>
      <c r="AD26" s="2386"/>
      <c r="AE26" s="2386"/>
      <c r="AF26" s="2386"/>
      <c r="AG26" s="2386"/>
      <c r="AH26" s="2386"/>
      <c r="AI26" s="2386"/>
      <c r="AJ26" s="2386"/>
      <c r="AK26" s="1161"/>
      <c r="AS26" s="1073">
        <v>52</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098" customFormat="1" ht="25.5" hidden="1" customHeight="1">
      <c r="A29" s="1286"/>
      <c r="B29" s="1286"/>
      <c r="C29" s="1286"/>
      <c r="D29" s="1286"/>
      <c r="E29" s="1286"/>
      <c r="F29" s="1286"/>
      <c r="G29" s="1286"/>
      <c r="H29" s="1286"/>
      <c r="I29" s="1286"/>
      <c r="J29" s="1286"/>
      <c r="K29" s="1286"/>
      <c r="L29" s="1287"/>
      <c r="M29" s="1286"/>
      <c r="N29" s="1286"/>
      <c r="O29" s="1286"/>
      <c r="S29" s="2447" t="s">
        <v>43</v>
      </c>
      <c r="T29" s="2447"/>
      <c r="U29" s="1290"/>
      <c r="V29" s="2449" t="str">
        <f>IF(TITLE_NAME_OR_PR_CHANGE="",IF(TITLE_NAME_OR_PR="","",TITLE_NAME_OR_PR),TITLE_NAME_OR_PR_CHANGE)</f>
        <v/>
      </c>
      <c r="W29" s="2449"/>
      <c r="X29" s="2449"/>
      <c r="Y29" s="2449"/>
      <c r="Z29" s="2449"/>
      <c r="AA29" s="2449"/>
      <c r="AB29" s="2449"/>
      <c r="AC29" s="263"/>
      <c r="AD29" s="2449" t="str">
        <f>IF(TITLE_NAME_OR_PR_CHANGE="",IF(TITLE_NAME_OR_PR="","",TITLE_NAME_OR_PR),TITLE_NAME_OR_PR_CHANGE)</f>
        <v/>
      </c>
      <c r="AE29" s="2449"/>
      <c r="AF29" s="2449"/>
      <c r="AG29" s="2449"/>
      <c r="AH29" s="2449"/>
      <c r="AI29" s="2449"/>
      <c r="AJ29" s="2449"/>
      <c r="AK29" s="263"/>
      <c r="AL29" s="263"/>
      <c r="AM29" s="217"/>
      <c r="AN29" s="304"/>
      <c r="AO29" s="304"/>
      <c r="AP29" s="304"/>
      <c r="AQ29" s="304"/>
      <c r="AR29" s="304"/>
      <c r="AS29" s="354">
        <v>0</v>
      </c>
    </row>
    <row r="30" spans="1:45" s="2098" customFormat="1" ht="18.75" hidden="1" customHeight="1">
      <c r="A30" s="1286"/>
      <c r="B30" s="1286"/>
      <c r="C30" s="1286"/>
      <c r="D30" s="1286"/>
      <c r="E30" s="1286"/>
      <c r="F30" s="1286"/>
      <c r="G30" s="1286"/>
      <c r="H30" s="1286"/>
      <c r="I30" s="1286"/>
      <c r="J30" s="1286"/>
      <c r="K30" s="1286"/>
      <c r="L30" s="1287"/>
      <c r="M30" s="1286"/>
      <c r="N30" s="1286"/>
      <c r="O30" s="1286"/>
      <c r="S30" s="2447" t="s">
        <v>420</v>
      </c>
      <c r="T30" s="2447"/>
      <c r="U30" s="1290"/>
      <c r="V30" s="2448" t="str">
        <f>IF(TITLE_DATE_PR_CHANGE="",IF(TITLE_DATE_PR="","",TITLE_DATE_PR),TITLE_DATE_PR_CHANGE)</f>
        <v/>
      </c>
      <c r="W30" s="2448"/>
      <c r="X30" s="2448"/>
      <c r="Y30" s="2448"/>
      <c r="Z30" s="2448"/>
      <c r="AA30" s="2448"/>
      <c r="AB30" s="2448"/>
      <c r="AC30" s="263"/>
      <c r="AD30" s="2448" t="str">
        <f>IF(TITLE_DATE_PR_CHANGE="",IF(TITLE_DATE_PR="","",TITLE_DATE_PR),TITLE_DATE_PR_CHANGE)</f>
        <v/>
      </c>
      <c r="AE30" s="2448"/>
      <c r="AF30" s="2448"/>
      <c r="AG30" s="2448"/>
      <c r="AH30" s="2448"/>
      <c r="AI30" s="2448"/>
      <c r="AJ30" s="2448"/>
      <c r="AK30" s="263"/>
      <c r="AL30" s="263"/>
      <c r="AM30" s="217"/>
      <c r="AN30" s="304"/>
      <c r="AO30" s="304"/>
      <c r="AP30" s="304"/>
      <c r="AQ30" s="304"/>
      <c r="AR30" s="304"/>
      <c r="AS30" s="354">
        <v>0</v>
      </c>
    </row>
    <row r="31" spans="1:45" s="2098" customFormat="1" ht="18.75" hidden="1" customHeight="1">
      <c r="A31" s="1286"/>
      <c r="B31" s="1286"/>
      <c r="C31" s="1286"/>
      <c r="D31" s="1286"/>
      <c r="E31" s="1286"/>
      <c r="F31" s="1286"/>
      <c r="G31" s="1286"/>
      <c r="H31" s="1286"/>
      <c r="I31" s="1286"/>
      <c r="J31" s="1286"/>
      <c r="K31" s="1286"/>
      <c r="L31" s="1287"/>
      <c r="M31" s="1286"/>
      <c r="N31" s="1286"/>
      <c r="O31" s="1286"/>
      <c r="S31" s="2447" t="s">
        <v>421</v>
      </c>
      <c r="T31" s="2447"/>
      <c r="U31" s="1290"/>
      <c r="V31" s="2449" t="str">
        <f>IF(TITLE_NUMBER_PR_CHANGE="",IF(TITLE_NUMBER_PR="","",TITLE_NUMBER_PR),TITLE_NUMBER_PR_CHANGE)</f>
        <v/>
      </c>
      <c r="W31" s="2449"/>
      <c r="X31" s="2449"/>
      <c r="Y31" s="2449"/>
      <c r="Z31" s="2449"/>
      <c r="AA31" s="2449"/>
      <c r="AB31" s="2449"/>
      <c r="AC31" s="263"/>
      <c r="AD31" s="2449" t="str">
        <f>IF(TITLE_NUMBER_PR_CHANGE="",IF(TITLE_NUMBER_PR="","",TITLE_NUMBER_PR),TITLE_NUMBER_PR_CHANGE)</f>
        <v/>
      </c>
      <c r="AE31" s="2449"/>
      <c r="AF31" s="2449"/>
      <c r="AG31" s="2449"/>
      <c r="AH31" s="2449"/>
      <c r="AI31" s="2449"/>
      <c r="AJ31" s="2449"/>
      <c r="AK31" s="263"/>
      <c r="AL31" s="263"/>
      <c r="AM31" s="217"/>
      <c r="AN31" s="304"/>
      <c r="AO31" s="304"/>
      <c r="AP31" s="304"/>
      <c r="AQ31" s="304"/>
      <c r="AR31" s="304"/>
      <c r="AS31" s="354">
        <v>0</v>
      </c>
    </row>
    <row r="32" spans="1:45" s="2098" customFormat="1" ht="18.75" hidden="1" customHeight="1">
      <c r="A32" s="1286"/>
      <c r="B32" s="1286"/>
      <c r="C32" s="1286"/>
      <c r="D32" s="1286"/>
      <c r="E32" s="1286"/>
      <c r="F32" s="1286"/>
      <c r="G32" s="1286"/>
      <c r="H32" s="1286"/>
      <c r="I32" s="1286"/>
      <c r="J32" s="1286"/>
      <c r="K32" s="1286"/>
      <c r="L32" s="1287"/>
      <c r="M32" s="1286"/>
      <c r="N32" s="1286"/>
      <c r="O32" s="1286"/>
      <c r="S32" s="2447" t="s">
        <v>44</v>
      </c>
      <c r="T32" s="2447"/>
      <c r="U32" s="1290"/>
      <c r="V32" s="2449" t="str">
        <f>IF(TITLE_IST_PUB_CHANGE="",IF(TITLE_IST_PUB="","",TITLE_IST_PUB),TITLE_IST_PUB_CHANGE)</f>
        <v/>
      </c>
      <c r="W32" s="2449"/>
      <c r="X32" s="2449"/>
      <c r="Y32" s="2449"/>
      <c r="Z32" s="2449"/>
      <c r="AA32" s="2449"/>
      <c r="AB32" s="2449"/>
      <c r="AC32" s="263"/>
      <c r="AD32" s="2449" t="str">
        <f>IF(TITLE_IST_PUB_CHANGE="",IF(TITLE_IST_PUB="","",TITLE_IST_PUB),TITLE_IST_PUB_CHANGE)</f>
        <v/>
      </c>
      <c r="AE32" s="2449"/>
      <c r="AF32" s="2449"/>
      <c r="AG32" s="2449"/>
      <c r="AH32" s="2449"/>
      <c r="AI32" s="2449"/>
      <c r="AJ32" s="2449"/>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098" customFormat="1" ht="18.75" hidden="1" customHeight="1">
      <c r="A34" s="1286"/>
      <c r="B34" s="1286"/>
      <c r="C34" s="1286"/>
      <c r="D34" s="1286"/>
      <c r="E34" s="1286"/>
      <c r="F34" s="1286"/>
      <c r="G34" s="1286"/>
      <c r="H34" s="1286"/>
      <c r="I34" s="1286"/>
      <c r="J34" s="1286"/>
      <c r="K34" s="1286"/>
      <c r="L34" s="1287"/>
      <c r="M34" s="1286"/>
      <c r="N34" s="1286"/>
      <c r="O34" s="1286"/>
      <c r="S34" s="2447" t="s">
        <v>422</v>
      </c>
      <c r="T34" s="2447"/>
      <c r="U34" s="1290"/>
      <c r="V34" s="2448" t="str">
        <f>IF(TITLE_DATE_PR_CHANGE="",IF(TITLE_DATE_PR="","",TITLE_DATE_PR),TITLE_DATE_PR_CHANGE)</f>
        <v/>
      </c>
      <c r="W34" s="2448"/>
      <c r="X34" s="2448"/>
      <c r="Y34" s="2448"/>
      <c r="Z34" s="2448"/>
      <c r="AA34" s="2448"/>
      <c r="AB34" s="2448"/>
      <c r="AC34" s="263"/>
      <c r="AD34" s="2448" t="str">
        <f>IF(TITLE_DATE_PR_CHANGE="",IF(TITLE_DATE_PR="","",TITLE_DATE_PR),TITLE_DATE_PR_CHANGE)</f>
        <v/>
      </c>
      <c r="AE34" s="2448"/>
      <c r="AF34" s="2448"/>
      <c r="AG34" s="2448"/>
      <c r="AH34" s="2448"/>
      <c r="AI34" s="2448"/>
      <c r="AJ34" s="2448"/>
      <c r="AK34" s="263"/>
      <c r="AL34" s="263"/>
      <c r="AM34" s="217"/>
      <c r="AN34" s="304"/>
      <c r="AO34" s="304"/>
      <c r="AP34" s="304"/>
      <c r="AQ34" s="304"/>
      <c r="AR34" s="304"/>
      <c r="AS34" s="354">
        <v>0</v>
      </c>
    </row>
    <row r="35" spans="1:45" s="2098" customFormat="1" ht="18.75" hidden="1" customHeight="1">
      <c r="A35" s="1286"/>
      <c r="B35" s="1286"/>
      <c r="C35" s="1286"/>
      <c r="D35" s="1286"/>
      <c r="E35" s="1286"/>
      <c r="F35" s="1286"/>
      <c r="G35" s="1286"/>
      <c r="H35" s="1286"/>
      <c r="I35" s="1286"/>
      <c r="J35" s="1286"/>
      <c r="K35" s="1286"/>
      <c r="L35" s="1287"/>
      <c r="M35" s="1286"/>
      <c r="N35" s="1286"/>
      <c r="O35" s="1286"/>
      <c r="S35" s="2447" t="s">
        <v>423</v>
      </c>
      <c r="T35" s="2447"/>
      <c r="U35" s="1290"/>
      <c r="V35" s="2449" t="str">
        <f>IF(TITLE_NUMBER_PR_CHANGE="",IF(TITLE_NUMBER_PR="","",TITLE_NUMBER_PR),TITLE_NUMBER_PR_CHANGE)</f>
        <v/>
      </c>
      <c r="W35" s="2449"/>
      <c r="X35" s="2449"/>
      <c r="Y35" s="2449"/>
      <c r="Z35" s="2449"/>
      <c r="AA35" s="2449"/>
      <c r="AB35" s="2449"/>
      <c r="AC35" s="263"/>
      <c r="AD35" s="2449" t="str">
        <f>IF(TITLE_NUMBER_PR_CHANGE="",IF(TITLE_NUMBER_PR="","",TITLE_NUMBER_PR),TITLE_NUMBER_PR_CHANGE)</f>
        <v/>
      </c>
      <c r="AE35" s="2449"/>
      <c r="AF35" s="2449"/>
      <c r="AG35" s="2449"/>
      <c r="AH35" s="2449"/>
      <c r="AI35" s="2449"/>
      <c r="AJ35" s="2449"/>
      <c r="AK35" s="263"/>
      <c r="AL35" s="263"/>
      <c r="AM35" s="217"/>
      <c r="AN35" s="304"/>
      <c r="AO35" s="304"/>
      <c r="AP35" s="304"/>
      <c r="AQ35" s="304"/>
      <c r="AR35" s="304"/>
      <c r="AS35" s="354">
        <v>0</v>
      </c>
    </row>
    <row r="36" spans="1:45" s="2098"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193"/>
      <c r="T37" s="299"/>
      <c r="U37" s="1162"/>
      <c r="V37" s="2468"/>
      <c r="W37" s="2468"/>
      <c r="X37" s="2468"/>
      <c r="Y37" s="2468"/>
      <c r="Z37" s="2468"/>
      <c r="AA37" s="2468"/>
      <c r="AB37" s="2468"/>
      <c r="AC37" s="2468"/>
      <c r="AD37" s="2468"/>
      <c r="AE37" s="2468"/>
      <c r="AF37" s="2468"/>
      <c r="AG37" s="2468"/>
      <c r="AH37" s="2468"/>
      <c r="AI37" s="2468"/>
      <c r="AJ37" s="2468"/>
      <c r="AK37" s="2468"/>
      <c r="AS37" s="1073">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073">
        <v>14</v>
      </c>
    </row>
    <row r="39" spans="1:45" ht="14.65" customHeight="1">
      <c r="Q39" s="312"/>
      <c r="R39" s="312"/>
      <c r="S39" s="2469" t="s">
        <v>90</v>
      </c>
      <c r="T39" s="2417" t="s">
        <v>425</v>
      </c>
      <c r="U39" s="238"/>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073">
        <v>14</v>
      </c>
    </row>
    <row r="40" spans="1:45" ht="35.65" customHeight="1">
      <c r="Q40" s="312"/>
      <c r="R40" s="312"/>
      <c r="S40" s="2469"/>
      <c r="T40" s="2417"/>
      <c r="U40" s="954"/>
      <c r="V40" s="2387" t="s">
        <v>430</v>
      </c>
      <c r="W40" s="2465"/>
      <c r="X40" s="2310" t="s">
        <v>432</v>
      </c>
      <c r="Y40" s="2309"/>
      <c r="Z40" s="2310" t="s">
        <v>433</v>
      </c>
      <c r="AA40" s="2315"/>
      <c r="AB40" s="2309"/>
      <c r="AC40" s="2474"/>
      <c r="AD40" s="2387" t="s">
        <v>447</v>
      </c>
      <c r="AE40" s="2465"/>
      <c r="AF40" s="2310" t="s">
        <v>432</v>
      </c>
      <c r="AG40" s="2309"/>
      <c r="AH40" s="2310" t="s">
        <v>433</v>
      </c>
      <c r="AI40" s="2315"/>
      <c r="AJ40" s="2309"/>
      <c r="AK40" s="2474"/>
      <c r="AL40" s="2477"/>
      <c r="AM40" s="2328"/>
      <c r="AS40" s="1073">
        <v>34</v>
      </c>
    </row>
    <row r="41" spans="1:45" ht="35.65" customHeight="1">
      <c r="A41" s="1288"/>
      <c r="B41" s="1288" t="s">
        <v>134</v>
      </c>
      <c r="C41" s="1288" t="s">
        <v>135</v>
      </c>
      <c r="D41" s="1288" t="s">
        <v>136</v>
      </c>
      <c r="E41" s="1282" t="s">
        <v>434</v>
      </c>
      <c r="F41" s="1282" t="s">
        <v>435</v>
      </c>
      <c r="G41" s="1282" t="s">
        <v>436</v>
      </c>
      <c r="H41" s="1282" t="s">
        <v>437</v>
      </c>
      <c r="I41" s="1282" t="s">
        <v>438</v>
      </c>
      <c r="J41" s="1282" t="s">
        <v>439</v>
      </c>
      <c r="K41" s="1282" t="s">
        <v>440</v>
      </c>
      <c r="L41" s="1282" t="s">
        <v>415</v>
      </c>
      <c r="Q41" s="312"/>
      <c r="R41" s="312"/>
      <c r="S41" s="2469"/>
      <c r="T41" s="2417"/>
      <c r="U41" s="239"/>
      <c r="V41" s="2442"/>
      <c r="W41" s="2466"/>
      <c r="X41" s="1140" t="s">
        <v>441</v>
      </c>
      <c r="Y41" s="1140" t="s">
        <v>442</v>
      </c>
      <c r="Z41" s="1256" t="s">
        <v>443</v>
      </c>
      <c r="AA41" s="2422" t="s">
        <v>444</v>
      </c>
      <c r="AB41" s="2436"/>
      <c r="AC41" s="2475"/>
      <c r="AD41" s="2442"/>
      <c r="AE41" s="2466"/>
      <c r="AF41" s="1140" t="s">
        <v>441</v>
      </c>
      <c r="AG41" s="1140" t="s">
        <v>442</v>
      </c>
      <c r="AH41" s="1256" t="s">
        <v>443</v>
      </c>
      <c r="AI41" s="2422" t="s">
        <v>444</v>
      </c>
      <c r="AJ41" s="2436"/>
      <c r="AK41" s="2475"/>
      <c r="AL41" s="2478"/>
      <c r="AM41" s="2328"/>
      <c r="AS41" s="1073">
        <v>34</v>
      </c>
    </row>
    <row r="42" spans="1:45" s="20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467">
        <f ca="1">OFFSET(AA42,0,-1)+1</f>
        <v>4</v>
      </c>
      <c r="AB42" s="2467"/>
      <c r="AC42" s="1253">
        <f ca="1">OFFSET(AC42,0,-2)+1</f>
        <v>5</v>
      </c>
      <c r="AD42" s="1253">
        <f ca="1">OFFSET(AD42,0,-1)+1</f>
        <v>6</v>
      </c>
      <c r="AE42" s="1253"/>
      <c r="AF42" s="1253">
        <f ca="1">OFFSET(AF42,0,-1)+1</f>
        <v>1</v>
      </c>
      <c r="AG42" s="1253">
        <f ca="1">OFFSET(AG42,0,-1)+1</f>
        <v>2</v>
      </c>
      <c r="AH42" s="1253">
        <f ca="1">OFFSET(AH42,0,-1)+1</f>
        <v>3</v>
      </c>
      <c r="AI42" s="2467">
        <f ca="1">OFFSET(AI42,0,-1)+1</f>
        <v>4</v>
      </c>
      <c r="AJ42" s="2467"/>
      <c r="AK42" s="1253">
        <f ca="1">OFFSET(AK42,0,-2)+1</f>
        <v>5</v>
      </c>
      <c r="AL42" s="1163">
        <f ca="1">OFFSET(AL42,0,-1)</f>
        <v>5</v>
      </c>
      <c r="AM42" s="1253">
        <f ca="1">OFFSET(AM42,0,-1)+1</f>
        <v>6</v>
      </c>
      <c r="AN42" s="447"/>
      <c r="AO42" s="447"/>
      <c r="AP42" s="447"/>
      <c r="AQ42" s="447"/>
      <c r="AR42" s="447"/>
      <c r="AS42" s="432">
        <v>0</v>
      </c>
    </row>
    <row r="43" spans="1:45" ht="21.95" customHeight="1">
      <c r="A43" s="1281" t="s">
        <v>179</v>
      </c>
      <c r="B43" s="1281"/>
      <c r="C43" s="1281"/>
      <c r="D43" s="1281"/>
      <c r="E43" s="2456">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179</v>
      </c>
      <c r="B44" s="1281" t="s">
        <v>180</v>
      </c>
      <c r="C44" s="1281"/>
      <c r="D44" s="1281"/>
      <c r="E44" s="2457"/>
      <c r="F44" s="2456">
        <v>1</v>
      </c>
      <c r="G44" s="1281"/>
      <c r="H44" s="1281"/>
      <c r="I44" s="1281"/>
      <c r="J44" s="1281"/>
      <c r="K44" s="1281"/>
      <c r="L44" s="1282"/>
      <c r="M44" s="1283"/>
      <c r="N44" s="1283"/>
      <c r="O44" s="1283"/>
      <c r="P44" s="1250"/>
      <c r="Q44" s="288"/>
      <c r="R44" s="289"/>
      <c r="S44" s="1254" t="str">
        <f>INDEX(PT_DIFFERENTIATION_NUM_TER,MATCH(B44,PT_DIFFERENTIATION_TER_ID,0))</f>
        <v>.</v>
      </c>
      <c r="T44" s="245"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436"/>
      <c r="AP44" s="436" t="str">
        <f t="shared" si="1"/>
        <v>Территория действия тарифа</v>
      </c>
      <c r="AQ44" s="436"/>
      <c r="AR44" s="436"/>
      <c r="AS44" s="1073">
        <v>21</v>
      </c>
    </row>
    <row r="45" spans="1:45" ht="24" customHeight="1">
      <c r="A45" s="1281" t="s">
        <v>179</v>
      </c>
      <c r="B45" s="1281" t="s">
        <v>180</v>
      </c>
      <c r="C45" s="1281" t="s">
        <v>181</v>
      </c>
      <c r="D45" s="1281"/>
      <c r="E45" s="2457"/>
      <c r="F45" s="2457"/>
      <c r="G45" s="2456">
        <v>1</v>
      </c>
      <c r="H45" s="1281"/>
      <c r="I45" s="1281"/>
      <c r="J45" s="1281"/>
      <c r="K45" s="1281"/>
      <c r="L45" s="1282"/>
      <c r="M45" s="1283"/>
      <c r="N45" s="1283"/>
      <c r="O45" s="1283"/>
      <c r="P45" s="290"/>
      <c r="Q45" s="288"/>
      <c r="R45" s="289"/>
      <c r="S45" s="1254"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436"/>
      <c r="AP45" s="436" t="str">
        <f t="shared" si="1"/>
        <v xml:space="preserve">Наименование системы теплоснабжения </v>
      </c>
      <c r="AQ45" s="436"/>
      <c r="AR45" s="436"/>
      <c r="AS45" s="1073">
        <v>23</v>
      </c>
    </row>
    <row r="46" spans="1:45" ht="21.95" customHeight="1">
      <c r="A46" s="1281" t="s">
        <v>179</v>
      </c>
      <c r="B46" s="1281" t="s">
        <v>180</v>
      </c>
      <c r="C46" s="1281" t="s">
        <v>181</v>
      </c>
      <c r="D46" s="1281" t="s">
        <v>182</v>
      </c>
      <c r="E46" s="2457"/>
      <c r="F46" s="2457"/>
      <c r="G46" s="2457"/>
      <c r="H46" s="2456">
        <v>1</v>
      </c>
      <c r="I46" s="1281"/>
      <c r="J46" s="1281"/>
      <c r="K46" s="1281"/>
      <c r="L46" s="1282"/>
      <c r="M46" s="1283"/>
      <c r="N46" s="1283"/>
      <c r="O46" s="1283"/>
      <c r="P46" s="290"/>
      <c r="Q46" s="288"/>
      <c r="R46" s="289"/>
      <c r="S46" s="1254"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436"/>
      <c r="AP46" s="436" t="str">
        <f t="shared" si="1"/>
        <v xml:space="preserve">Источник тепловой энергии  </v>
      </c>
      <c r="AQ46" s="436"/>
      <c r="AR46" s="436"/>
      <c r="AS46" s="1073">
        <v>21</v>
      </c>
    </row>
    <row r="47" spans="1:45" s="2034" customFormat="1" ht="0" hidden="1" customHeight="1">
      <c r="A47" s="1261" t="s">
        <v>179</v>
      </c>
      <c r="B47" s="1261" t="s">
        <v>180</v>
      </c>
      <c r="C47" s="1261" t="s">
        <v>181</v>
      </c>
      <c r="D47" s="1261" t="s">
        <v>182</v>
      </c>
      <c r="E47" s="2457"/>
      <c r="F47" s="2457"/>
      <c r="G47" s="2457"/>
      <c r="H47" s="2457"/>
      <c r="I47" s="2458" t="str">
        <f>S46&amp;".1"</f>
        <v>....1</v>
      </c>
      <c r="J47" s="1261"/>
      <c r="K47" s="1261"/>
      <c r="L47" s="1264" t="s">
        <v>400</v>
      </c>
      <c r="M47" s="446"/>
      <c r="N47" s="446"/>
      <c r="O47" s="446"/>
      <c r="P47" s="2460">
        <v>1</v>
      </c>
      <c r="Q47" s="1249"/>
      <c r="R47" s="292"/>
      <c r="S47" s="965"/>
      <c r="T47" s="1301"/>
      <c r="U47" s="1302"/>
      <c r="V47" s="2487"/>
      <c r="W47" s="2488"/>
      <c r="X47" s="2488"/>
      <c r="Y47" s="2488"/>
      <c r="Z47" s="2488"/>
      <c r="AA47" s="2488"/>
      <c r="AB47" s="2488"/>
      <c r="AC47" s="2489"/>
      <c r="AD47" s="2487"/>
      <c r="AE47" s="2488"/>
      <c r="AF47" s="2488"/>
      <c r="AG47" s="2488"/>
      <c r="AH47" s="2488"/>
      <c r="AI47" s="2488"/>
      <c r="AJ47" s="2488"/>
      <c r="AK47" s="2488"/>
      <c r="AL47" s="2489"/>
      <c r="AM47" s="1303"/>
      <c r="AO47" s="436"/>
      <c r="AP47" s="436" t="str">
        <f t="shared" si="1"/>
        <v/>
      </c>
      <c r="AQ47" s="436"/>
      <c r="AR47" s="436"/>
      <c r="AS47" s="447">
        <v>0</v>
      </c>
    </row>
    <row r="48" spans="1:45" ht="21.95" customHeight="1">
      <c r="A48" s="1281" t="s">
        <v>179</v>
      </c>
      <c r="B48" s="1281" t="s">
        <v>180</v>
      </c>
      <c r="C48" s="1281" t="s">
        <v>181</v>
      </c>
      <c r="D48" s="1281" t="s">
        <v>182</v>
      </c>
      <c r="E48" s="2457"/>
      <c r="F48" s="2457"/>
      <c r="G48" s="2457"/>
      <c r="H48" s="2457"/>
      <c r="I48" s="2459"/>
      <c r="J48" s="2458" t="str">
        <f>S46&amp;".1"</f>
        <v>....1</v>
      </c>
      <c r="K48" s="1281"/>
      <c r="L48" s="1282" t="s">
        <v>403</v>
      </c>
      <c r="P48" s="2460"/>
      <c r="Q48" s="2460">
        <v>1</v>
      </c>
      <c r="R48" s="293"/>
      <c r="S48" s="1254" t="str">
        <f>$J48</f>
        <v>....1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436"/>
      <c r="AP48" s="436" t="str">
        <f t="shared" si="1"/>
        <v>Группа потребителей</v>
      </c>
      <c r="AQ48" s="436"/>
      <c r="AR48" s="436"/>
      <c r="AS48" s="1073">
        <v>21</v>
      </c>
    </row>
    <row r="49" spans="1:45" ht="21.95" customHeight="1">
      <c r="A49" s="1281" t="s">
        <v>179</v>
      </c>
      <c r="B49" s="1281" t="s">
        <v>180</v>
      </c>
      <c r="C49" s="1281" t="s">
        <v>181</v>
      </c>
      <c r="D49" s="1281" t="s">
        <v>182</v>
      </c>
      <c r="E49" s="2457"/>
      <c r="F49" s="2457"/>
      <c r="G49" s="2457"/>
      <c r="H49" s="2457"/>
      <c r="I49" s="2459"/>
      <c r="J49" s="2459"/>
      <c r="K49" s="2458" t="str">
        <f>J48&amp;".1"</f>
        <v>....1.1</v>
      </c>
      <c r="L49" s="1282" t="s">
        <v>406</v>
      </c>
      <c r="P49" s="2460"/>
      <c r="Q49" s="2460"/>
      <c r="R49" s="293">
        <v>1</v>
      </c>
      <c r="S49" s="1254" t="str">
        <f>$K49</f>
        <v>....1.1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448</v>
      </c>
      <c r="AN49" s="447" t="e">
        <f ca="1">STRCHECKDATE(V50:AL50)</f>
        <v>#NAME?</v>
      </c>
      <c r="AO49" s="436"/>
      <c r="AP49" s="436" t="str">
        <f t="shared" si="1"/>
        <v/>
      </c>
      <c r="AQ49" s="436"/>
      <c r="AR49" s="436"/>
      <c r="AS49" s="1073">
        <v>21</v>
      </c>
    </row>
    <row r="50" spans="1:45" ht="1.1499999999999999" customHeight="1">
      <c r="A50" s="1281" t="s">
        <v>179</v>
      </c>
      <c r="B50" s="1281" t="s">
        <v>180</v>
      </c>
      <c r="C50" s="1281" t="s">
        <v>181</v>
      </c>
      <c r="D50" s="1281" t="s">
        <v>182</v>
      </c>
      <c r="E50" s="2457"/>
      <c r="F50" s="2457"/>
      <c r="G50" s="2457"/>
      <c r="H50" s="2457"/>
      <c r="I50" s="2459"/>
      <c r="J50" s="2459"/>
      <c r="K50" s="2458"/>
      <c r="L50" s="1282"/>
      <c r="P50" s="2460"/>
      <c r="Q50" s="2460"/>
      <c r="R50" s="293"/>
      <c r="S50" s="1260"/>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436"/>
      <c r="AP50" s="436" t="str">
        <f t="shared" si="1"/>
        <v/>
      </c>
      <c r="AQ50" s="436"/>
      <c r="AR50" s="436"/>
      <c r="AS50" s="1073">
        <v>1</v>
      </c>
    </row>
    <row r="51" spans="1:45" ht="11.45" customHeight="1">
      <c r="A51" s="1281" t="s">
        <v>179</v>
      </c>
      <c r="B51" s="1281" t="s">
        <v>180</v>
      </c>
      <c r="C51" s="1281" t="s">
        <v>181</v>
      </c>
      <c r="D51" s="1281" t="s">
        <v>182</v>
      </c>
      <c r="E51" s="2457"/>
      <c r="F51" s="2457"/>
      <c r="G51" s="2457"/>
      <c r="H51" s="2457"/>
      <c r="I51" s="2459"/>
      <c r="J51" s="2458"/>
      <c r="K51" s="1281"/>
      <c r="L51" s="1282"/>
      <c r="P51" s="2460"/>
      <c r="Q51" s="2460"/>
      <c r="R51" s="292"/>
      <c r="S51" s="1196"/>
      <c r="T51" s="224" t="s">
        <v>408</v>
      </c>
      <c r="U51" s="303"/>
      <c r="V51" s="303"/>
      <c r="W51" s="303"/>
      <c r="X51" s="303"/>
      <c r="Y51" s="303"/>
      <c r="Z51" s="303"/>
      <c r="AA51" s="303"/>
      <c r="AB51" s="303"/>
      <c r="AC51" s="303"/>
      <c r="AD51" s="303"/>
      <c r="AE51" s="303"/>
      <c r="AF51" s="303"/>
      <c r="AG51" s="303"/>
      <c r="AH51" s="303"/>
      <c r="AI51" s="303"/>
      <c r="AJ51" s="303"/>
      <c r="AK51" s="303"/>
      <c r="AL51" s="261"/>
      <c r="AM51" s="2481"/>
      <c r="AO51" s="436"/>
      <c r="AP51" s="436" t="str">
        <f t="shared" si="1"/>
        <v>Добавить вид теплоносителя (параметры теплоносителя)</v>
      </c>
      <c r="AQ51" s="436"/>
      <c r="AR51" s="436"/>
      <c r="AS51" s="1073">
        <v>11</v>
      </c>
    </row>
    <row r="52" spans="1:45" ht="11.45" customHeight="1">
      <c r="A52" s="1281" t="s">
        <v>179</v>
      </c>
      <c r="B52" s="1281" t="s">
        <v>180</v>
      </c>
      <c r="C52" s="1281" t="s">
        <v>181</v>
      </c>
      <c r="D52" s="1281" t="s">
        <v>182</v>
      </c>
      <c r="E52" s="2457"/>
      <c r="F52" s="2457"/>
      <c r="G52" s="2457"/>
      <c r="H52" s="2457"/>
      <c r="I52" s="2458"/>
      <c r="J52" s="1281"/>
      <c r="K52" s="1281"/>
      <c r="L52" s="1282"/>
      <c r="P52" s="2460"/>
      <c r="Q52" s="1249"/>
      <c r="R52" s="292"/>
      <c r="S52" s="1196"/>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179</v>
      </c>
      <c r="B53" s="1281" t="s">
        <v>180</v>
      </c>
      <c r="C53" s="1281" t="s">
        <v>181</v>
      </c>
      <c r="D53" s="1281" t="s">
        <v>182</v>
      </c>
      <c r="E53" s="2457"/>
      <c r="F53" s="2457"/>
      <c r="G53" s="2457"/>
      <c r="H53" s="2456"/>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034" customFormat="1" ht="1.1499999999999999" customHeight="1">
      <c r="A54" s="1261" t="s">
        <v>179</v>
      </c>
      <c r="B54" s="1261" t="s">
        <v>180</v>
      </c>
      <c r="C54" s="1261" t="s">
        <v>181</v>
      </c>
      <c r="D54" s="1232"/>
      <c r="E54" s="2457"/>
      <c r="F54" s="2457"/>
      <c r="G54" s="2456"/>
      <c r="H54" s="1232"/>
      <c r="I54" s="1232"/>
      <c r="J54" s="1232"/>
      <c r="K54" s="1232"/>
      <c r="L54" s="1257"/>
      <c r="M54" s="1233"/>
      <c r="N54" s="123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34" customFormat="1" ht="1.1499999999999999" customHeight="1">
      <c r="A55" s="1261" t="s">
        <v>179</v>
      </c>
      <c r="B55" s="1261" t="s">
        <v>180</v>
      </c>
      <c r="C55" s="1232"/>
      <c r="D55" s="1232"/>
      <c r="E55" s="2457"/>
      <c r="F55" s="2456"/>
      <c r="G55" s="1232"/>
      <c r="H55" s="1232"/>
      <c r="I55" s="1232"/>
      <c r="J55" s="1232"/>
      <c r="K55" s="1232"/>
      <c r="L55" s="1257"/>
      <c r="M55" s="1239"/>
      <c r="N55" s="1239"/>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34" customFormat="1" ht="1.1499999999999999" customHeight="1">
      <c r="A56" s="1261" t="s">
        <v>179</v>
      </c>
      <c r="B56" s="1261"/>
      <c r="C56" s="1261"/>
      <c r="D56" s="1261"/>
      <c r="E56" s="2456"/>
      <c r="F56" s="1261"/>
      <c r="G56" s="1261"/>
      <c r="H56" s="1261"/>
      <c r="I56" s="1261"/>
      <c r="J56" s="1261"/>
      <c r="K56" s="1261"/>
      <c r="L56" s="1264"/>
      <c r="M56" s="1239"/>
      <c r="N56" s="1239"/>
      <c r="O56" s="454"/>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3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073">
        <v>22</v>
      </c>
    </row>
    <row r="60" spans="1:45" ht="30.4" customHeight="1">
      <c r="O60" s="47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073">
        <v>29</v>
      </c>
    </row>
    <row r="61" spans="1:45" ht="42" customHeight="1">
      <c r="O61" s="473"/>
      <c r="T61" s="2455"/>
      <c r="U61" s="2455"/>
      <c r="V61" s="2455"/>
      <c r="W61" s="2455"/>
      <c r="X61" s="2455"/>
      <c r="Y61" s="2455"/>
      <c r="Z61" s="2455"/>
      <c r="AA61" s="2455"/>
      <c r="AB61" s="2455"/>
      <c r="AC61" s="2455"/>
      <c r="AD61" s="2455"/>
      <c r="AE61" s="2455"/>
      <c r="AF61" s="2455"/>
      <c r="AG61" s="2455"/>
      <c r="AH61" s="2455"/>
      <c r="AI61" s="2455"/>
      <c r="AJ61" s="2455"/>
      <c r="AK61" s="2455"/>
      <c r="AL61" s="2455"/>
      <c r="AM61" s="2455"/>
      <c r="AS61" s="1073">
        <v>40</v>
      </c>
    </row>
    <row r="62" spans="1:45" ht="14.65" customHeight="1">
      <c r="O62" s="473"/>
      <c r="AS62" s="1073">
        <v>14</v>
      </c>
    </row>
    <row r="63" spans="1:45" ht="21" customHeight="1">
      <c r="O63" s="473"/>
      <c r="S63" s="1171"/>
      <c r="T63" s="2368"/>
      <c r="U63" s="2455"/>
      <c r="V63" s="2455"/>
      <c r="W63" s="2455"/>
      <c r="X63" s="2455"/>
      <c r="Y63" s="2455"/>
      <c r="Z63" s="2455"/>
      <c r="AA63" s="2455"/>
      <c r="AB63" s="2455"/>
      <c r="AC63" s="2455"/>
      <c r="AD63" s="2455"/>
      <c r="AE63" s="2455"/>
      <c r="AF63" s="2455"/>
      <c r="AG63" s="2455"/>
      <c r="AH63" s="2455"/>
      <c r="AI63" s="2455"/>
      <c r="AJ63" s="2455"/>
      <c r="AK63" s="2455"/>
      <c r="AL63" s="2455"/>
      <c r="AM63" s="2455"/>
      <c r="AS63" s="1073">
        <v>20</v>
      </c>
    </row>
    <row r="64" spans="1:45" ht="29.25" customHeight="1">
      <c r="O64" s="473"/>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073">
        <v>28</v>
      </c>
    </row>
    <row r="65" spans="1:45" ht="35.65" customHeight="1">
      <c r="T65" s="2455"/>
      <c r="U65" s="2455"/>
      <c r="V65" s="2455"/>
      <c r="W65" s="2455"/>
      <c r="X65" s="2455"/>
      <c r="Y65" s="2455"/>
      <c r="Z65" s="2455"/>
      <c r="AA65" s="2455"/>
      <c r="AB65" s="2455"/>
      <c r="AC65" s="2455"/>
      <c r="AD65" s="2455"/>
      <c r="AE65" s="2455"/>
      <c r="AF65" s="2455"/>
      <c r="AG65" s="2455"/>
      <c r="AH65" s="2455"/>
      <c r="AI65" s="2455"/>
      <c r="AJ65" s="2455"/>
      <c r="AK65" s="2455"/>
      <c r="AL65" s="2455"/>
      <c r="AM65" s="2455"/>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7109375" style="2109" hidden="1" customWidth="1"/>
    <col min="17" max="18" width="3" style="2059" customWidth="1"/>
    <col min="19" max="19" width="12" style="2106" customWidth="1"/>
    <col min="20" max="20" width="31" style="2062" customWidth="1"/>
    <col min="21" max="21" width="0.140625" style="2062" customWidth="1"/>
    <col min="22" max="22" width="24.7109375" style="2062" hidden="1" customWidth="1"/>
    <col min="23" max="23" width="0.140625" style="2062" hidden="1" customWidth="1"/>
    <col min="24" max="25" width="24.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24.7109375" style="2062" customWidth="1"/>
    <col min="31" max="31" width="0.140625" style="2062" customWidth="1"/>
    <col min="32" max="33" width="24" style="2062" customWidth="1"/>
    <col min="34" max="34" width="11" style="2062" customWidth="1"/>
    <col min="35" max="35" width="3.7109375" style="2062" customWidth="1"/>
    <col min="36" max="36" width="11" style="2062" customWidth="1"/>
    <col min="37" max="37" width="8.5703125" style="2062" hidden="1" customWidth="1"/>
    <col min="38" max="38" width="4" style="2062" customWidth="1"/>
    <col min="39" max="39" width="115" style="2062" customWidth="1"/>
    <col min="40" max="44" width="10" style="2034" customWidth="1"/>
    <col min="45" max="45" width="10.5703125" style="2062" hidden="1"/>
  </cols>
  <sheetData>
    <row r="1" spans="1:45" ht="22.5" hidden="1" customHeight="1">
      <c r="Y1" s="264"/>
      <c r="Z1" s="264"/>
      <c r="AG1" s="264"/>
      <c r="AH1" s="264"/>
      <c r="AS1" s="1073" t="s">
        <v>14</v>
      </c>
    </row>
    <row r="2" spans="1:45" ht="21" hidden="1" customHeight="1">
      <c r="A2" s="1281"/>
      <c r="B2" s="1281"/>
      <c r="C2" s="1281"/>
      <c r="D2" s="1281"/>
      <c r="E2" s="2456">
        <v>1</v>
      </c>
      <c r="F2" s="1281"/>
      <c r="G2" s="1281"/>
      <c r="H2" s="1281"/>
      <c r="I2" s="1281"/>
      <c r="J2" s="1281"/>
      <c r="K2" s="1281"/>
      <c r="L2" s="1282"/>
      <c r="M2" s="1283"/>
      <c r="N2" s="1283"/>
      <c r="O2" s="1283"/>
      <c r="P2" s="297"/>
      <c r="Q2" s="296"/>
      <c r="R2" s="291"/>
      <c r="S2" s="1254" t="e">
        <f>INDEX(PT_DIFFERENTIATION_NUM_NTAR,MATCH(A2,PT_DIFFERENTIATION_NTAR_ID,0))</f>
        <v>#N/A</v>
      </c>
      <c r="T2" s="235" t="s">
        <v>122</v>
      </c>
      <c r="U2" s="237"/>
      <c r="V2" s="2450"/>
      <c r="W2" s="2451"/>
      <c r="X2" s="2451"/>
      <c r="Y2" s="2451"/>
      <c r="Z2" s="2451"/>
      <c r="AA2" s="2451"/>
      <c r="AB2" s="2451"/>
      <c r="AC2" s="2452"/>
      <c r="AD2" s="2450" t="e">
        <f>INDEX(PT_DIFFERENTIATION_NTAR,MATCH(A2,PT_DIFFERENTIATION_NTAR_ID,0))</f>
        <v>#N/A</v>
      </c>
      <c r="AE2" s="2451"/>
      <c r="AF2" s="2451"/>
      <c r="AG2" s="2451"/>
      <c r="AH2" s="2451"/>
      <c r="AI2" s="2451"/>
      <c r="AJ2" s="2451"/>
      <c r="AK2" s="2451"/>
      <c r="AL2" s="2452"/>
      <c r="AM2" s="1176" t="s">
        <v>393</v>
      </c>
      <c r="AO2" s="436"/>
      <c r="AP2" s="436" t="str">
        <f t="shared" ref="AP2:AP15" si="0">IF(T2="","",T2)</f>
        <v>Наименование тарифа</v>
      </c>
      <c r="AQ2" s="436"/>
      <c r="AR2" s="436"/>
      <c r="AS2" s="1073">
        <v>0</v>
      </c>
    </row>
    <row r="3" spans="1:45" ht="21" hidden="1" customHeight="1">
      <c r="A3" s="1281"/>
      <c r="B3" s="1281"/>
      <c r="C3" s="1281"/>
      <c r="D3" s="1281"/>
      <c r="E3" s="2457"/>
      <c r="F3" s="2456">
        <v>1</v>
      </c>
      <c r="G3" s="1281"/>
      <c r="H3" s="1281"/>
      <c r="I3" s="1281"/>
      <c r="J3" s="1281"/>
      <c r="K3" s="1281"/>
      <c r="L3" s="1282"/>
      <c r="M3" s="1283"/>
      <c r="N3" s="1283"/>
      <c r="O3" s="1283"/>
      <c r="P3" s="1250"/>
      <c r="Q3" s="288"/>
      <c r="R3" s="289"/>
      <c r="S3" s="1254" t="e">
        <f>INDEX(PT_DIFFERENTIATION_NUM_TER,MATCH(B3,PT_DIFFERENTIATION_TER_ID,0))</f>
        <v>#N/A</v>
      </c>
      <c r="T3" s="245" t="s">
        <v>394</v>
      </c>
      <c r="U3" s="237"/>
      <c r="V3" s="2450"/>
      <c r="W3" s="2451"/>
      <c r="X3" s="2451"/>
      <c r="Y3" s="2451"/>
      <c r="Z3" s="2451"/>
      <c r="AA3" s="2451"/>
      <c r="AB3" s="2451"/>
      <c r="AC3" s="2452"/>
      <c r="AD3" s="2450" t="e">
        <f>INDEX(PT_DIFFERENTIATION_TER,MATCH(B3,PT_DIFFERENTIATION_TER_ID,0))</f>
        <v>#N/A</v>
      </c>
      <c r="AE3" s="2451"/>
      <c r="AF3" s="2451"/>
      <c r="AG3" s="2451"/>
      <c r="AH3" s="2451"/>
      <c r="AI3" s="2451"/>
      <c r="AJ3" s="2451"/>
      <c r="AK3" s="2451"/>
      <c r="AL3" s="2452"/>
      <c r="AM3" s="1176" t="s">
        <v>395</v>
      </c>
      <c r="AO3" s="436"/>
      <c r="AP3" s="436" t="str">
        <f t="shared" si="0"/>
        <v>Территория действия тарифа</v>
      </c>
      <c r="AQ3" s="436"/>
      <c r="AR3" s="436"/>
      <c r="AS3" s="1073">
        <v>0</v>
      </c>
    </row>
    <row r="4" spans="1:45" ht="23.25" hidden="1" customHeight="1">
      <c r="A4" s="1281"/>
      <c r="B4" s="1281"/>
      <c r="C4" s="1281"/>
      <c r="D4" s="1281"/>
      <c r="E4" s="2457"/>
      <c r="F4" s="2457"/>
      <c r="G4" s="2456">
        <v>1</v>
      </c>
      <c r="H4" s="1281"/>
      <c r="I4" s="1281"/>
      <c r="J4" s="1281"/>
      <c r="K4" s="1281"/>
      <c r="L4" s="1282"/>
      <c r="M4" s="1283"/>
      <c r="N4" s="1283"/>
      <c r="O4" s="1283"/>
      <c r="P4" s="290"/>
      <c r="Q4" s="288"/>
      <c r="R4" s="289"/>
      <c r="S4" s="1254" t="e">
        <f>INDEX(PT_DIFFERENTIATION_NUM_CS,MATCH(C4,PT_DIFFERENTIATION_CS_ID,0))</f>
        <v>#N/A</v>
      </c>
      <c r="T4" s="246" t="s">
        <v>396</v>
      </c>
      <c r="U4" s="237"/>
      <c r="V4" s="2450"/>
      <c r="W4" s="2451"/>
      <c r="X4" s="2451"/>
      <c r="Y4" s="2451"/>
      <c r="Z4" s="2451"/>
      <c r="AA4" s="2451"/>
      <c r="AB4" s="2451"/>
      <c r="AC4" s="2452"/>
      <c r="AD4" s="2450" t="e">
        <f>INDEX(PT_DIFFERENTIATION_CS,MATCH(C4,PT_DIFFERENTIATION_CS_ID,0))</f>
        <v>#N/A</v>
      </c>
      <c r="AE4" s="2451"/>
      <c r="AF4" s="2451"/>
      <c r="AG4" s="2451"/>
      <c r="AH4" s="2451"/>
      <c r="AI4" s="2451"/>
      <c r="AJ4" s="2451"/>
      <c r="AK4" s="2451"/>
      <c r="AL4" s="2452"/>
      <c r="AM4" s="1176" t="s">
        <v>397</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457"/>
      <c r="F5" s="2457"/>
      <c r="G5" s="2457"/>
      <c r="H5" s="2456">
        <v>1</v>
      </c>
      <c r="I5" s="1281"/>
      <c r="J5" s="1281"/>
      <c r="K5" s="1281"/>
      <c r="L5" s="1282"/>
      <c r="M5" s="1283"/>
      <c r="N5" s="1283"/>
      <c r="O5" s="1283"/>
      <c r="P5" s="290"/>
      <c r="Q5" s="288"/>
      <c r="R5" s="289"/>
      <c r="S5" s="1254" t="e">
        <f>INDEX(PT_DIFFERENTIATION_NUM_IST_TE,MATCH(D5,PT_DIFFERENTIATION_IST_TE_ID,0))</f>
        <v>#N/A</v>
      </c>
      <c r="T5" s="247" t="s">
        <v>398</v>
      </c>
      <c r="U5" s="237"/>
      <c r="V5" s="2450"/>
      <c r="W5" s="2451"/>
      <c r="X5" s="2451"/>
      <c r="Y5" s="2451"/>
      <c r="Z5" s="2451"/>
      <c r="AA5" s="2451"/>
      <c r="AB5" s="2451"/>
      <c r="AC5" s="2452"/>
      <c r="AD5" s="2450" t="e">
        <f>INDEX(PT_DIFFERENTIATION_IST_TE,MATCH(D5,PT_DIFFERENTIATION_IST_TE_ID,0))</f>
        <v>#N/A</v>
      </c>
      <c r="AE5" s="2451"/>
      <c r="AF5" s="2451"/>
      <c r="AG5" s="2451"/>
      <c r="AH5" s="2451"/>
      <c r="AI5" s="2451"/>
      <c r="AJ5" s="2451"/>
      <c r="AK5" s="2451"/>
      <c r="AL5" s="2452"/>
      <c r="AM5" s="1176" t="s">
        <v>399</v>
      </c>
      <c r="AO5" s="436"/>
      <c r="AP5" s="436" t="str">
        <f t="shared" si="0"/>
        <v xml:space="preserve">Источник тепловой энергии  </v>
      </c>
      <c r="AQ5" s="436"/>
      <c r="AR5" s="436"/>
      <c r="AS5" s="1073">
        <v>0</v>
      </c>
    </row>
    <row r="6" spans="1:45" ht="14.25" hidden="1" customHeight="1">
      <c r="A6" s="1281"/>
      <c r="B6" s="1281"/>
      <c r="C6" s="1281"/>
      <c r="D6" s="1281"/>
      <c r="E6" s="2457"/>
      <c r="F6" s="2457"/>
      <c r="G6" s="2457"/>
      <c r="H6" s="2457"/>
      <c r="I6" s="2458" t="e">
        <f>S5&amp;".1"</f>
        <v>#N/A</v>
      </c>
      <c r="J6" s="1281"/>
      <c r="K6" s="1281"/>
      <c r="L6" s="1282" t="s">
        <v>400</v>
      </c>
      <c r="M6" s="473"/>
      <c r="P6" s="2460">
        <v>1</v>
      </c>
      <c r="Q6" s="1249"/>
      <c r="R6" s="292"/>
      <c r="S6" s="965"/>
      <c r="T6" s="1301"/>
      <c r="U6" s="1302"/>
      <c r="V6" s="2487"/>
      <c r="W6" s="2488"/>
      <c r="X6" s="2488"/>
      <c r="Y6" s="2488"/>
      <c r="Z6" s="2488"/>
      <c r="AA6" s="2488"/>
      <c r="AB6" s="2488"/>
      <c r="AC6" s="2489"/>
      <c r="AD6" s="2487"/>
      <c r="AE6" s="2488"/>
      <c r="AF6" s="2488"/>
      <c r="AG6" s="2488"/>
      <c r="AH6" s="2488"/>
      <c r="AI6" s="2488"/>
      <c r="AJ6" s="2488"/>
      <c r="AK6" s="2488"/>
      <c r="AL6" s="2489"/>
      <c r="AM6" s="1303"/>
      <c r="AO6" s="436"/>
      <c r="AP6" s="436" t="str">
        <f t="shared" si="0"/>
        <v/>
      </c>
      <c r="AQ6" s="436"/>
      <c r="AR6" s="436"/>
      <c r="AS6" s="1073">
        <v>0</v>
      </c>
    </row>
    <row r="7" spans="1:45" ht="21" hidden="1" customHeight="1">
      <c r="A7" s="1281"/>
      <c r="B7" s="1281"/>
      <c r="C7" s="1281"/>
      <c r="D7" s="1281"/>
      <c r="E7" s="2457"/>
      <c r="F7" s="2457"/>
      <c r="G7" s="2457"/>
      <c r="H7" s="2457"/>
      <c r="I7" s="2459"/>
      <c r="J7" s="2458" t="e">
        <f>I6&amp;".1"</f>
        <v>#N/A</v>
      </c>
      <c r="K7" s="1281"/>
      <c r="L7" s="1282" t="s">
        <v>403</v>
      </c>
      <c r="M7" s="473"/>
      <c r="N7" s="1284"/>
      <c r="P7" s="2460"/>
      <c r="Q7" s="2460">
        <v>1</v>
      </c>
      <c r="R7" s="293"/>
      <c r="S7" s="1254" t="e">
        <f>$J7</f>
        <v>#N/A</v>
      </c>
      <c r="T7" s="223" t="s">
        <v>404</v>
      </c>
      <c r="U7" s="237"/>
      <c r="V7" s="2444"/>
      <c r="W7" s="2445"/>
      <c r="X7" s="2445"/>
      <c r="Y7" s="2445"/>
      <c r="Z7" s="2445"/>
      <c r="AA7" s="2445"/>
      <c r="AB7" s="2445"/>
      <c r="AC7" s="2446"/>
      <c r="AD7" s="2444"/>
      <c r="AE7" s="2445"/>
      <c r="AF7" s="2445"/>
      <c r="AG7" s="2445"/>
      <c r="AH7" s="2445"/>
      <c r="AI7" s="2445"/>
      <c r="AJ7" s="2445"/>
      <c r="AK7" s="2445"/>
      <c r="AL7" s="2446"/>
      <c r="AM7" s="1176" t="s">
        <v>405</v>
      </c>
      <c r="AO7" s="436"/>
      <c r="AP7" s="436" t="str">
        <f t="shared" si="0"/>
        <v>Группа потребителей</v>
      </c>
      <c r="AQ7" s="436"/>
      <c r="AR7" s="436"/>
      <c r="AS7" s="1073">
        <v>0</v>
      </c>
    </row>
    <row r="8" spans="1:45" ht="21" hidden="1" customHeight="1">
      <c r="A8" s="1281"/>
      <c r="B8" s="1281"/>
      <c r="C8" s="1281"/>
      <c r="D8" s="1281"/>
      <c r="E8" s="2457"/>
      <c r="F8" s="2457"/>
      <c r="G8" s="2457"/>
      <c r="H8" s="2457"/>
      <c r="I8" s="2459"/>
      <c r="J8" s="2459"/>
      <c r="K8" s="2458" t="e">
        <f>J7&amp;".1"</f>
        <v>#N/A</v>
      </c>
      <c r="L8" s="1282" t="s">
        <v>406</v>
      </c>
      <c r="M8" s="473"/>
      <c r="N8" s="1284"/>
      <c r="O8" s="1284"/>
      <c r="P8" s="2460"/>
      <c r="Q8" s="2460"/>
      <c r="R8" s="293">
        <v>1</v>
      </c>
      <c r="S8" s="1254" t="e">
        <f>$K8</f>
        <v>#N/A</v>
      </c>
      <c r="T8" s="1265"/>
      <c r="U8" s="237"/>
      <c r="V8" s="687"/>
      <c r="W8" s="262"/>
      <c r="X8" s="687"/>
      <c r="Y8" s="1175"/>
      <c r="Z8" s="2461"/>
      <c r="AA8" s="2338" t="s">
        <v>67</v>
      </c>
      <c r="AB8" s="2461"/>
      <c r="AC8" s="2338" t="s">
        <v>67</v>
      </c>
      <c r="AD8" s="687"/>
      <c r="AE8" s="262"/>
      <c r="AF8" s="687"/>
      <c r="AG8" s="1175"/>
      <c r="AH8" s="2461"/>
      <c r="AI8" s="2338" t="s">
        <v>67</v>
      </c>
      <c r="AJ8" s="2461"/>
      <c r="AK8" s="2338" t="s">
        <v>67</v>
      </c>
      <c r="AL8" s="262"/>
      <c r="AM8" s="2479" t="s">
        <v>407</v>
      </c>
      <c r="AN8" s="447" t="e">
        <f ca="1">STRCHECKDATE(V9:AL9)</f>
        <v>#NAME?</v>
      </c>
      <c r="AO8" s="436"/>
      <c r="AP8" s="436" t="str">
        <f t="shared" si="0"/>
        <v/>
      </c>
      <c r="AQ8" s="436"/>
      <c r="AR8" s="436"/>
      <c r="AS8" s="1073">
        <v>0</v>
      </c>
    </row>
    <row r="9" spans="1:45" ht="14.25" hidden="1" customHeight="1">
      <c r="A9" s="1281"/>
      <c r="B9" s="1281"/>
      <c r="C9" s="1281"/>
      <c r="D9" s="1281"/>
      <c r="E9" s="2457"/>
      <c r="F9" s="2457"/>
      <c r="G9" s="2457"/>
      <c r="H9" s="2457"/>
      <c r="I9" s="2459"/>
      <c r="J9" s="2459"/>
      <c r="K9" s="2458"/>
      <c r="L9" s="1282"/>
      <c r="M9" s="473"/>
      <c r="N9" s="1284"/>
      <c r="O9" s="1284"/>
      <c r="P9" s="2460"/>
      <c r="Q9" s="2460"/>
      <c r="R9" s="293"/>
      <c r="S9" s="1260"/>
      <c r="T9" s="237"/>
      <c r="U9" s="237"/>
      <c r="V9" s="262"/>
      <c r="W9" s="262"/>
      <c r="X9" s="262"/>
      <c r="Y9" s="265" t="str">
        <f>Z8&amp;"-"&amp;AB8</f>
        <v>-</v>
      </c>
      <c r="Z9" s="2462"/>
      <c r="AA9" s="2338"/>
      <c r="AB9" s="2462"/>
      <c r="AC9" s="2338"/>
      <c r="AD9" s="262"/>
      <c r="AE9" s="262"/>
      <c r="AF9" s="262"/>
      <c r="AG9" s="265" t="str">
        <f>AH8&amp;"-"&amp;AJ8</f>
        <v>-</v>
      </c>
      <c r="AH9" s="2462"/>
      <c r="AI9" s="2338"/>
      <c r="AJ9" s="2462"/>
      <c r="AK9" s="2338"/>
      <c r="AL9" s="262"/>
      <c r="AM9" s="2480"/>
      <c r="AO9" s="436"/>
      <c r="AP9" s="436" t="str">
        <f t="shared" si="0"/>
        <v/>
      </c>
      <c r="AQ9" s="436"/>
      <c r="AR9" s="436"/>
      <c r="AS9" s="1073">
        <v>0</v>
      </c>
    </row>
    <row r="10" spans="1:45" ht="15" hidden="1" customHeight="1">
      <c r="A10" s="1281"/>
      <c r="B10" s="1281"/>
      <c r="C10" s="1281"/>
      <c r="D10" s="1281"/>
      <c r="E10" s="2457"/>
      <c r="F10" s="2457"/>
      <c r="G10" s="2457"/>
      <c r="H10" s="2457"/>
      <c r="I10" s="2459"/>
      <c r="J10" s="2458"/>
      <c r="K10" s="1281"/>
      <c r="L10" s="1282"/>
      <c r="M10" s="473"/>
      <c r="N10" s="1284"/>
      <c r="P10" s="2460"/>
      <c r="Q10" s="2460"/>
      <c r="R10" s="292"/>
      <c r="S10" s="1196"/>
      <c r="T10" s="224" t="s">
        <v>408</v>
      </c>
      <c r="U10" s="303"/>
      <c r="V10" s="303"/>
      <c r="W10" s="303"/>
      <c r="X10" s="303"/>
      <c r="Y10" s="303"/>
      <c r="Z10" s="303"/>
      <c r="AA10" s="303"/>
      <c r="AB10" s="303"/>
      <c r="AC10" s="303"/>
      <c r="AD10" s="303"/>
      <c r="AE10" s="303"/>
      <c r="AF10" s="303"/>
      <c r="AG10" s="303"/>
      <c r="AH10" s="303"/>
      <c r="AI10" s="303"/>
      <c r="AJ10" s="303"/>
      <c r="AK10" s="303"/>
      <c r="AL10" s="261"/>
      <c r="AM10" s="2481"/>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457"/>
      <c r="F11" s="2457"/>
      <c r="G11" s="2457"/>
      <c r="H11" s="2457"/>
      <c r="I11" s="2458"/>
      <c r="J11" s="1281"/>
      <c r="K11" s="1281"/>
      <c r="L11" s="1282"/>
      <c r="M11" s="473"/>
      <c r="P11" s="2460"/>
      <c r="Q11" s="1249"/>
      <c r="R11" s="292"/>
      <c r="S11" s="1196"/>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457"/>
      <c r="F12" s="2457"/>
      <c r="G12" s="2457"/>
      <c r="H12" s="2456"/>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034" customFormat="1" ht="14.25" hidden="1" customHeight="1">
      <c r="A13" s="1232"/>
      <c r="B13" s="1232"/>
      <c r="C13" s="1232"/>
      <c r="D13" s="1232"/>
      <c r="E13" s="2457"/>
      <c r="F13" s="2457"/>
      <c r="G13" s="2456"/>
      <c r="H13" s="1232"/>
      <c r="I13" s="1232"/>
      <c r="J13" s="1232"/>
      <c r="K13" s="1232"/>
      <c r="L13" s="1257"/>
      <c r="M13" s="1233"/>
      <c r="N13" s="1233"/>
      <c r="P13" s="1234"/>
      <c r="Q13" s="1235"/>
      <c r="R13" s="1234"/>
      <c r="S13" s="1236"/>
      <c r="T13" s="1237" t="s">
        <v>411</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34" customFormat="1" ht="14.25" hidden="1" customHeight="1">
      <c r="A14" s="1232"/>
      <c r="B14" s="1232"/>
      <c r="C14" s="1232"/>
      <c r="D14" s="1232"/>
      <c r="E14" s="2457"/>
      <c r="F14" s="2456"/>
      <c r="G14" s="1232"/>
      <c r="H14" s="1232"/>
      <c r="I14" s="1232"/>
      <c r="J14" s="1232"/>
      <c r="K14" s="1232"/>
      <c r="L14" s="1257"/>
      <c r="M14" s="1239"/>
      <c r="N14" s="1239"/>
      <c r="P14" s="1234"/>
      <c r="Q14" s="1235"/>
      <c r="R14" s="1234"/>
      <c r="S14" s="1240"/>
      <c r="T14" s="1241" t="s">
        <v>412</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34" customFormat="1" ht="14.25" hidden="1" customHeight="1">
      <c r="A15" s="1232"/>
      <c r="B15" s="1232"/>
      <c r="C15" s="1232"/>
      <c r="D15" s="1232"/>
      <c r="E15" s="2456"/>
      <c r="F15" s="1232"/>
      <c r="G15" s="1232"/>
      <c r="H15" s="1232"/>
      <c r="I15" s="1232"/>
      <c r="J15" s="1232"/>
      <c r="K15" s="1232"/>
      <c r="L15" s="1257"/>
      <c r="M15" s="1239"/>
      <c r="N15" s="1239"/>
      <c r="P15" s="1234"/>
      <c r="Q15" s="1235"/>
      <c r="R15" s="1234"/>
      <c r="S15" s="1240"/>
      <c r="T15" s="1243" t="s">
        <v>413</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454"/>
      <c r="AI17" s="2453" t="s">
        <v>67</v>
      </c>
      <c r="AJ17" s="2454"/>
      <c r="AK17" s="2453" t="s">
        <v>67</v>
      </c>
      <c r="AS17" s="1073">
        <v>0</v>
      </c>
    </row>
    <row r="18" spans="1:45" ht="14.25" hidden="1" customHeight="1">
      <c r="AD18" s="1278"/>
      <c r="AE18" s="1278"/>
      <c r="AF18" s="1278"/>
      <c r="AG18" s="265" t="str">
        <f>AH17&amp;"-"&amp;AJ17</f>
        <v>-</v>
      </c>
      <c r="AH18" s="2453"/>
      <c r="AI18" s="2453"/>
      <c r="AJ18" s="2453"/>
      <c r="AK18" s="2453"/>
      <c r="AS18" s="1073">
        <v>0</v>
      </c>
    </row>
    <row r="19" spans="1:45" ht="14.25" hidden="1" customHeight="1">
      <c r="AK19" s="264"/>
      <c r="AS19" s="1073">
        <v>0</v>
      </c>
    </row>
    <row r="20" spans="1:45" s="2056" customFormat="1" ht="22.5" hidden="1" customHeight="1">
      <c r="L20" s="1247"/>
      <c r="M20" s="1280"/>
      <c r="N20" s="1280"/>
      <c r="O20" s="1285" t="s">
        <v>414</v>
      </c>
      <c r="P20" s="1280"/>
      <c r="Q20" s="1289"/>
      <c r="R20" s="1289"/>
      <c r="S20" s="665"/>
      <c r="Z20" s="1285"/>
      <c r="AB20" s="1285"/>
      <c r="AC20" s="1284"/>
      <c r="AH20" s="1285"/>
      <c r="AJ20" s="1285"/>
      <c r="AK20" s="1284"/>
      <c r="AN20" s="447"/>
      <c r="AO20" s="447"/>
      <c r="AP20" s="447"/>
      <c r="AQ20" s="447"/>
      <c r="AR20" s="447"/>
      <c r="AS20" s="1078">
        <v>0</v>
      </c>
    </row>
    <row r="21" spans="1:45" s="205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56" customFormat="1" ht="14.25" hidden="1" customHeight="1">
      <c r="L22" s="1247"/>
      <c r="M22" s="1280"/>
      <c r="N22" s="1280"/>
      <c r="O22" s="1282" t="s">
        <v>415</v>
      </c>
      <c r="P22" s="1280"/>
      <c r="Q22" s="1289"/>
      <c r="R22" s="1289"/>
      <c r="S22" s="665"/>
      <c r="T22" s="1078" t="s">
        <v>416</v>
      </c>
      <c r="AA22" s="123" t="s">
        <v>417</v>
      </c>
      <c r="AC22" s="123" t="s">
        <v>418</v>
      </c>
      <c r="AD22" s="1078" t="s">
        <v>416</v>
      </c>
      <c r="AI22" s="123" t="s">
        <v>419</v>
      </c>
      <c r="AK22" s="123" t="s">
        <v>418</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3.45" customHeight="1">
      <c r="Q26" s="312"/>
      <c r="R26" s="312"/>
      <c r="S26" s="24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7"/>
      <c r="U26" s="2437"/>
      <c r="V26" s="2437"/>
      <c r="W26" s="2437"/>
      <c r="X26" s="2437"/>
      <c r="Y26" s="2437"/>
      <c r="Z26" s="2437"/>
      <c r="AA26" s="2437"/>
      <c r="AB26" s="2437"/>
      <c r="AC26" s="2437"/>
      <c r="AD26" s="2437"/>
      <c r="AE26" s="2437"/>
      <c r="AF26" s="2437"/>
      <c r="AG26" s="2437"/>
      <c r="AH26" s="2437"/>
      <c r="AI26" s="2437"/>
      <c r="AJ26" s="2437"/>
      <c r="AK26" s="1161"/>
      <c r="AS26" s="1073">
        <v>51</v>
      </c>
    </row>
    <row r="27" spans="1:45" ht="14.65" customHeight="1">
      <c r="Q27" s="312"/>
      <c r="R27" s="312"/>
      <c r="S27" s="2409" t="str">
        <f>IF(org=0,"Не определено",org)</f>
        <v>ПАО "ТГК-1" филиал "Невский"</v>
      </c>
      <c r="T27" s="2409"/>
      <c r="U27" s="2409"/>
      <c r="V27" s="2409"/>
      <c r="W27" s="2409"/>
      <c r="X27" s="2409"/>
      <c r="Y27" s="2409"/>
      <c r="Z27" s="2409"/>
      <c r="AA27" s="2409"/>
      <c r="AB27" s="2409"/>
      <c r="AC27" s="2409"/>
      <c r="AD27" s="2409"/>
      <c r="AE27" s="2409"/>
      <c r="AF27" s="2409"/>
      <c r="AG27" s="2409"/>
      <c r="AH27" s="2409"/>
      <c r="AI27" s="2409"/>
      <c r="AJ27" s="2409"/>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098" customFormat="1" ht="25.5" hidden="1" customHeight="1">
      <c r="A29" s="1286"/>
      <c r="B29" s="1286"/>
      <c r="C29" s="1286"/>
      <c r="D29" s="1286"/>
      <c r="E29" s="1286"/>
      <c r="F29" s="1286"/>
      <c r="G29" s="1286"/>
      <c r="H29" s="1286"/>
      <c r="I29" s="1286"/>
      <c r="J29" s="1286"/>
      <c r="K29" s="1286"/>
      <c r="L29" s="1287"/>
      <c r="M29" s="1286"/>
      <c r="N29" s="1286"/>
      <c r="O29" s="1286"/>
      <c r="S29" s="2447" t="s">
        <v>43</v>
      </c>
      <c r="T29" s="2447"/>
      <c r="U29" s="1290"/>
      <c r="V29" s="2449" t="str">
        <f>IF(TITLE_NAME_OR_PR_CHANGE="",IF(TITLE_NAME_OR_PR="","",TITLE_NAME_OR_PR),TITLE_NAME_OR_PR_CHANGE)</f>
        <v/>
      </c>
      <c r="W29" s="2449"/>
      <c r="X29" s="2449"/>
      <c r="Y29" s="2449"/>
      <c r="Z29" s="2449"/>
      <c r="AA29" s="2449"/>
      <c r="AB29" s="2449"/>
      <c r="AC29" s="263"/>
      <c r="AD29" s="2449" t="str">
        <f>IF(TITLE_NAME_OR_PR_CHANGE="",IF(TITLE_NAME_OR_PR="","",TITLE_NAME_OR_PR),TITLE_NAME_OR_PR_CHANGE)</f>
        <v/>
      </c>
      <c r="AE29" s="2449"/>
      <c r="AF29" s="2449"/>
      <c r="AG29" s="2449"/>
      <c r="AH29" s="2449"/>
      <c r="AI29" s="2449"/>
      <c r="AJ29" s="2449"/>
      <c r="AK29" s="263"/>
      <c r="AL29" s="263"/>
      <c r="AM29" s="217"/>
      <c r="AN29" s="304"/>
      <c r="AO29" s="304"/>
      <c r="AP29" s="304"/>
      <c r="AQ29" s="304"/>
      <c r="AR29" s="304"/>
      <c r="AS29" s="354">
        <v>0</v>
      </c>
    </row>
    <row r="30" spans="1:45" s="2098" customFormat="1" ht="18.75" hidden="1" customHeight="1">
      <c r="A30" s="1286"/>
      <c r="B30" s="1286"/>
      <c r="C30" s="1286"/>
      <c r="D30" s="1286"/>
      <c r="E30" s="1286"/>
      <c r="F30" s="1286"/>
      <c r="G30" s="1286"/>
      <c r="H30" s="1286"/>
      <c r="I30" s="1286"/>
      <c r="J30" s="1286"/>
      <c r="K30" s="1286"/>
      <c r="L30" s="1287"/>
      <c r="M30" s="1286"/>
      <c r="N30" s="1286"/>
      <c r="O30" s="1286"/>
      <c r="S30" s="2447" t="s">
        <v>420</v>
      </c>
      <c r="T30" s="2447"/>
      <c r="U30" s="1290"/>
      <c r="V30" s="2448" t="str">
        <f>IF(TITLE_DATE_PR_CHANGE="",IF(TITLE_DATE_PR="","",TITLE_DATE_PR),TITLE_DATE_PR_CHANGE)</f>
        <v/>
      </c>
      <c r="W30" s="2448"/>
      <c r="X30" s="2448"/>
      <c r="Y30" s="2448"/>
      <c r="Z30" s="2448"/>
      <c r="AA30" s="2448"/>
      <c r="AB30" s="2448"/>
      <c r="AC30" s="263"/>
      <c r="AD30" s="2448" t="str">
        <f>IF(TITLE_DATE_PR_CHANGE="",IF(TITLE_DATE_PR="","",TITLE_DATE_PR),TITLE_DATE_PR_CHANGE)</f>
        <v/>
      </c>
      <c r="AE30" s="2448"/>
      <c r="AF30" s="2448"/>
      <c r="AG30" s="2448"/>
      <c r="AH30" s="2448"/>
      <c r="AI30" s="2448"/>
      <c r="AJ30" s="2448"/>
      <c r="AK30" s="263"/>
      <c r="AL30" s="263"/>
      <c r="AM30" s="217"/>
      <c r="AN30" s="304"/>
      <c r="AO30" s="304"/>
      <c r="AP30" s="304"/>
      <c r="AQ30" s="304"/>
      <c r="AR30" s="304"/>
      <c r="AS30" s="354">
        <v>0</v>
      </c>
    </row>
    <row r="31" spans="1:45" s="2098" customFormat="1" ht="18.75" hidden="1" customHeight="1">
      <c r="A31" s="1286"/>
      <c r="B31" s="1286"/>
      <c r="C31" s="1286"/>
      <c r="D31" s="1286"/>
      <c r="E31" s="1286"/>
      <c r="F31" s="1286"/>
      <c r="G31" s="1286"/>
      <c r="H31" s="1286"/>
      <c r="I31" s="1286"/>
      <c r="J31" s="1286"/>
      <c r="K31" s="1286"/>
      <c r="L31" s="1287"/>
      <c r="M31" s="1286"/>
      <c r="N31" s="1286"/>
      <c r="O31" s="1286"/>
      <c r="S31" s="2447" t="s">
        <v>421</v>
      </c>
      <c r="T31" s="2447"/>
      <c r="U31" s="1290"/>
      <c r="V31" s="2449" t="str">
        <f>IF(TITLE_NUMBER_PR_CHANGE="",IF(TITLE_NUMBER_PR="","",TITLE_NUMBER_PR),TITLE_NUMBER_PR_CHANGE)</f>
        <v/>
      </c>
      <c r="W31" s="2449"/>
      <c r="X31" s="2449"/>
      <c r="Y31" s="2449"/>
      <c r="Z31" s="2449"/>
      <c r="AA31" s="2449"/>
      <c r="AB31" s="2449"/>
      <c r="AC31" s="263"/>
      <c r="AD31" s="2449" t="str">
        <f>IF(TITLE_NUMBER_PR_CHANGE="",IF(TITLE_NUMBER_PR="","",TITLE_NUMBER_PR),TITLE_NUMBER_PR_CHANGE)</f>
        <v/>
      </c>
      <c r="AE31" s="2449"/>
      <c r="AF31" s="2449"/>
      <c r="AG31" s="2449"/>
      <c r="AH31" s="2449"/>
      <c r="AI31" s="2449"/>
      <c r="AJ31" s="2449"/>
      <c r="AK31" s="263"/>
      <c r="AL31" s="263"/>
      <c r="AM31" s="217"/>
      <c r="AN31" s="304"/>
      <c r="AO31" s="304"/>
      <c r="AP31" s="304"/>
      <c r="AQ31" s="304"/>
      <c r="AR31" s="304"/>
      <c r="AS31" s="354">
        <v>0</v>
      </c>
    </row>
    <row r="32" spans="1:45" s="2098" customFormat="1" ht="18.75" hidden="1" customHeight="1">
      <c r="A32" s="1286"/>
      <c r="B32" s="1286"/>
      <c r="C32" s="1286"/>
      <c r="D32" s="1286"/>
      <c r="E32" s="1286"/>
      <c r="F32" s="1286"/>
      <c r="G32" s="1286"/>
      <c r="H32" s="1286"/>
      <c r="I32" s="1286"/>
      <c r="J32" s="1286"/>
      <c r="K32" s="1286"/>
      <c r="L32" s="1287"/>
      <c r="M32" s="1286"/>
      <c r="N32" s="1286"/>
      <c r="O32" s="1286"/>
      <c r="S32" s="2447" t="s">
        <v>44</v>
      </c>
      <c r="T32" s="2447"/>
      <c r="U32" s="1290"/>
      <c r="V32" s="2449" t="str">
        <f>IF(TITLE_IST_PUB_CHANGE="",IF(TITLE_IST_PUB="","",TITLE_IST_PUB),TITLE_IST_PUB_CHANGE)</f>
        <v/>
      </c>
      <c r="W32" s="2449"/>
      <c r="X32" s="2449"/>
      <c r="Y32" s="2449"/>
      <c r="Z32" s="2449"/>
      <c r="AA32" s="2449"/>
      <c r="AB32" s="2449"/>
      <c r="AC32" s="263"/>
      <c r="AD32" s="2449" t="str">
        <f>IF(TITLE_IST_PUB_CHANGE="",IF(TITLE_IST_PUB="","",TITLE_IST_PUB),TITLE_IST_PUB_CHANGE)</f>
        <v/>
      </c>
      <c r="AE32" s="2449"/>
      <c r="AF32" s="2449"/>
      <c r="AG32" s="2449"/>
      <c r="AH32" s="2449"/>
      <c r="AI32" s="2449"/>
      <c r="AJ32" s="2449"/>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098" customFormat="1" ht="18.75" hidden="1" customHeight="1">
      <c r="A34" s="1286"/>
      <c r="B34" s="1286"/>
      <c r="C34" s="1286"/>
      <c r="D34" s="1286"/>
      <c r="E34" s="1286"/>
      <c r="F34" s="1286"/>
      <c r="G34" s="1286"/>
      <c r="H34" s="1286"/>
      <c r="I34" s="1286"/>
      <c r="J34" s="1286"/>
      <c r="K34" s="1286"/>
      <c r="L34" s="1287"/>
      <c r="M34" s="1286"/>
      <c r="N34" s="1286"/>
      <c r="O34" s="1286"/>
      <c r="S34" s="2447" t="s">
        <v>422</v>
      </c>
      <c r="T34" s="2447"/>
      <c r="U34" s="1290"/>
      <c r="V34" s="2448" t="str">
        <f>IF(TITLE_DATE_PR_CHANGE="",IF(TITLE_DATE_PR="","",TITLE_DATE_PR),TITLE_DATE_PR_CHANGE)</f>
        <v/>
      </c>
      <c r="W34" s="2448"/>
      <c r="X34" s="2448"/>
      <c r="Y34" s="2448"/>
      <c r="Z34" s="2448"/>
      <c r="AA34" s="2448"/>
      <c r="AB34" s="2448"/>
      <c r="AC34" s="263"/>
      <c r="AD34" s="2448" t="str">
        <f>IF(TITLE_DATE_PR_CHANGE="",IF(TITLE_DATE_PR="","",TITLE_DATE_PR),TITLE_DATE_PR_CHANGE)</f>
        <v/>
      </c>
      <c r="AE34" s="2448"/>
      <c r="AF34" s="2448"/>
      <c r="AG34" s="2448"/>
      <c r="AH34" s="2448"/>
      <c r="AI34" s="2448"/>
      <c r="AJ34" s="2448"/>
      <c r="AK34" s="263"/>
      <c r="AL34" s="263"/>
      <c r="AM34" s="217"/>
      <c r="AN34" s="304"/>
      <c r="AO34" s="304"/>
      <c r="AP34" s="304"/>
      <c r="AQ34" s="304"/>
      <c r="AR34" s="304"/>
      <c r="AS34" s="354">
        <v>0</v>
      </c>
    </row>
    <row r="35" spans="1:45" s="2098" customFormat="1" ht="25.5" hidden="1" customHeight="1">
      <c r="A35" s="1286"/>
      <c r="B35" s="1286"/>
      <c r="C35" s="1286"/>
      <c r="D35" s="1286"/>
      <c r="E35" s="1286"/>
      <c r="F35" s="1286"/>
      <c r="G35" s="1286"/>
      <c r="H35" s="1286"/>
      <c r="I35" s="1286"/>
      <c r="J35" s="1286"/>
      <c r="K35" s="1286"/>
      <c r="L35" s="1287"/>
      <c r="M35" s="1286"/>
      <c r="N35" s="1286"/>
      <c r="O35" s="1286"/>
      <c r="S35" s="2447" t="s">
        <v>423</v>
      </c>
      <c r="T35" s="2447"/>
      <c r="U35" s="1290"/>
      <c r="V35" s="2449" t="str">
        <f>IF(TITLE_NUMBER_PR_CHANGE="",IF(TITLE_NUMBER_PR="","",TITLE_NUMBER_PR),TITLE_NUMBER_PR_CHANGE)</f>
        <v/>
      </c>
      <c r="W35" s="2449"/>
      <c r="X35" s="2449"/>
      <c r="Y35" s="2449"/>
      <c r="Z35" s="2449"/>
      <c r="AA35" s="2449"/>
      <c r="AB35" s="2449"/>
      <c r="AC35" s="263"/>
      <c r="AD35" s="2449" t="str">
        <f>IF(TITLE_NUMBER_PR_CHANGE="",IF(TITLE_NUMBER_PR="","",TITLE_NUMBER_PR),TITLE_NUMBER_PR_CHANGE)</f>
        <v/>
      </c>
      <c r="AE35" s="2449"/>
      <c r="AF35" s="2449"/>
      <c r="AG35" s="2449"/>
      <c r="AH35" s="2449"/>
      <c r="AI35" s="2449"/>
      <c r="AJ35" s="2449"/>
      <c r="AK35" s="263"/>
      <c r="AL35" s="263"/>
      <c r="AM35" s="217"/>
      <c r="AN35" s="304"/>
      <c r="AO35" s="304"/>
      <c r="AP35" s="304"/>
      <c r="AQ35" s="304"/>
      <c r="AR35" s="304"/>
      <c r="AS35" s="354">
        <v>0</v>
      </c>
    </row>
    <row r="36" spans="1:45" s="2098"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193"/>
      <c r="T37" s="299"/>
      <c r="U37" s="1162"/>
      <c r="V37" s="2468"/>
      <c r="W37" s="2468"/>
      <c r="X37" s="2468"/>
      <c r="Y37" s="2468"/>
      <c r="Z37" s="2468"/>
      <c r="AA37" s="2468"/>
      <c r="AB37" s="2468"/>
      <c r="AC37" s="2468"/>
      <c r="AD37" s="2468"/>
      <c r="AE37" s="2468"/>
      <c r="AF37" s="2468"/>
      <c r="AG37" s="2468"/>
      <c r="AH37" s="2468"/>
      <c r="AI37" s="2468"/>
      <c r="AJ37" s="2468"/>
      <c r="AK37" s="2468"/>
      <c r="AS37" s="1073">
        <v>14</v>
      </c>
    </row>
    <row r="38" spans="1:45" ht="14.65" customHeight="1">
      <c r="Q38" s="312"/>
      <c r="R38" s="312"/>
      <c r="S38" s="2328" t="s">
        <v>297</v>
      </c>
      <c r="T38" s="2328"/>
      <c r="U38" s="2328"/>
      <c r="V38" s="2328"/>
      <c r="W38" s="2328"/>
      <c r="X38" s="2328"/>
      <c r="Y38" s="2328"/>
      <c r="Z38" s="2328"/>
      <c r="AA38" s="2328"/>
      <c r="AB38" s="2328"/>
      <c r="AC38" s="2328"/>
      <c r="AD38" s="2328"/>
      <c r="AE38" s="2328"/>
      <c r="AF38" s="2328"/>
      <c r="AG38" s="2328"/>
      <c r="AH38" s="2328"/>
      <c r="AI38" s="2328"/>
      <c r="AJ38" s="2328"/>
      <c r="AK38" s="2328"/>
      <c r="AL38" s="2328"/>
      <c r="AM38" s="2328" t="s">
        <v>298</v>
      </c>
      <c r="AS38" s="1073">
        <v>14</v>
      </c>
    </row>
    <row r="39" spans="1:45" ht="14.65" customHeight="1">
      <c r="Q39" s="312"/>
      <c r="R39" s="312"/>
      <c r="S39" s="2469" t="s">
        <v>90</v>
      </c>
      <c r="T39" s="2417" t="s">
        <v>425</v>
      </c>
      <c r="U39" s="238"/>
      <c r="V39" s="2470" t="s">
        <v>426</v>
      </c>
      <c r="W39" s="2471"/>
      <c r="X39" s="2471"/>
      <c r="Y39" s="2471"/>
      <c r="Z39" s="2471"/>
      <c r="AA39" s="2471"/>
      <c r="AB39" s="2472"/>
      <c r="AC39" s="2473" t="s">
        <v>427</v>
      </c>
      <c r="AD39" s="2470" t="s">
        <v>426</v>
      </c>
      <c r="AE39" s="2471"/>
      <c r="AF39" s="2471"/>
      <c r="AG39" s="2471"/>
      <c r="AH39" s="2471"/>
      <c r="AI39" s="2471"/>
      <c r="AJ39" s="2472"/>
      <c r="AK39" s="2473" t="s">
        <v>428</v>
      </c>
      <c r="AL39" s="2476" t="s">
        <v>429</v>
      </c>
      <c r="AM39" s="2328"/>
      <c r="AS39" s="1073">
        <v>14</v>
      </c>
    </row>
    <row r="40" spans="1:45" ht="35.65" customHeight="1">
      <c r="Q40" s="312"/>
      <c r="R40" s="312"/>
      <c r="S40" s="2469"/>
      <c r="T40" s="2417"/>
      <c r="U40" s="954"/>
      <c r="V40" s="2387" t="s">
        <v>430</v>
      </c>
      <c r="W40" s="2465"/>
      <c r="X40" s="2310" t="s">
        <v>432</v>
      </c>
      <c r="Y40" s="2309"/>
      <c r="Z40" s="2310" t="s">
        <v>433</v>
      </c>
      <c r="AA40" s="2315"/>
      <c r="AB40" s="2309"/>
      <c r="AC40" s="2474"/>
      <c r="AD40" s="2387" t="s">
        <v>447</v>
      </c>
      <c r="AE40" s="2465"/>
      <c r="AF40" s="2310" t="s">
        <v>432</v>
      </c>
      <c r="AG40" s="2309"/>
      <c r="AH40" s="2310" t="s">
        <v>433</v>
      </c>
      <c r="AI40" s="2315"/>
      <c r="AJ40" s="2309"/>
      <c r="AK40" s="2474"/>
      <c r="AL40" s="2477"/>
      <c r="AM40" s="2328"/>
      <c r="AS40" s="1073">
        <v>34</v>
      </c>
    </row>
    <row r="41" spans="1:45" ht="35.65" customHeight="1">
      <c r="A41" s="1288"/>
      <c r="B41" s="1288" t="s">
        <v>134</v>
      </c>
      <c r="C41" s="1288" t="s">
        <v>135</v>
      </c>
      <c r="D41" s="1288" t="s">
        <v>136</v>
      </c>
      <c r="E41" s="1282" t="s">
        <v>434</v>
      </c>
      <c r="F41" s="1282" t="s">
        <v>435</v>
      </c>
      <c r="G41" s="1282" t="s">
        <v>436</v>
      </c>
      <c r="H41" s="1282" t="s">
        <v>437</v>
      </c>
      <c r="I41" s="1282" t="s">
        <v>438</v>
      </c>
      <c r="J41" s="1282" t="s">
        <v>439</v>
      </c>
      <c r="K41" s="1282" t="s">
        <v>440</v>
      </c>
      <c r="L41" s="1282" t="s">
        <v>415</v>
      </c>
      <c r="Q41" s="312"/>
      <c r="R41" s="312"/>
      <c r="S41" s="2469"/>
      <c r="T41" s="2417"/>
      <c r="U41" s="239"/>
      <c r="V41" s="2442"/>
      <c r="W41" s="2466"/>
      <c r="X41" s="1140" t="s">
        <v>441</v>
      </c>
      <c r="Y41" s="1140" t="s">
        <v>442</v>
      </c>
      <c r="Z41" s="1256" t="s">
        <v>443</v>
      </c>
      <c r="AA41" s="2422" t="s">
        <v>444</v>
      </c>
      <c r="AB41" s="2436"/>
      <c r="AC41" s="2475"/>
      <c r="AD41" s="2442"/>
      <c r="AE41" s="2466"/>
      <c r="AF41" s="1140" t="s">
        <v>441</v>
      </c>
      <c r="AG41" s="1140" t="s">
        <v>442</v>
      </c>
      <c r="AH41" s="1256" t="s">
        <v>443</v>
      </c>
      <c r="AI41" s="2422" t="s">
        <v>444</v>
      </c>
      <c r="AJ41" s="2436"/>
      <c r="AK41" s="2475"/>
      <c r="AL41" s="2478"/>
      <c r="AM41" s="2328"/>
      <c r="AS41" s="1073">
        <v>34</v>
      </c>
    </row>
    <row r="42" spans="1:45" s="202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108</v>
      </c>
      <c r="T42" s="1173" t="s">
        <v>109</v>
      </c>
      <c r="U42" s="1163" t="str">
        <f ca="1">OFFSET(U42,0,-1)</f>
        <v>2</v>
      </c>
      <c r="V42" s="1253">
        <f ca="1">OFFSET(V42,0,-1)+1</f>
        <v>3</v>
      </c>
      <c r="W42" s="1253"/>
      <c r="X42" s="1253">
        <f ca="1">OFFSET(X42,0,-1)+1</f>
        <v>1</v>
      </c>
      <c r="Y42" s="1253">
        <f ca="1">OFFSET(Y42,0,-1)+1</f>
        <v>2</v>
      </c>
      <c r="Z42" s="1253">
        <f ca="1">OFFSET(Z42,0,-1)+1</f>
        <v>3</v>
      </c>
      <c r="AA42" s="2467">
        <f ca="1">OFFSET(AA42,0,-1)+1</f>
        <v>4</v>
      </c>
      <c r="AB42" s="2467"/>
      <c r="AC42" s="1253">
        <f ca="1">OFFSET(AC42,0,-2)+1</f>
        <v>5</v>
      </c>
      <c r="AD42" s="1253">
        <f ca="1">OFFSET(AD42,0,-1)+1</f>
        <v>6</v>
      </c>
      <c r="AE42" s="1253"/>
      <c r="AF42" s="1253">
        <f ca="1">OFFSET(AF42,0,-1)+1</f>
        <v>1</v>
      </c>
      <c r="AG42" s="1253">
        <f ca="1">OFFSET(AG42,0,-1)+1</f>
        <v>2</v>
      </c>
      <c r="AH42" s="1253">
        <f ca="1">OFFSET(AH42,0,-1)+1</f>
        <v>3</v>
      </c>
      <c r="AI42" s="2467">
        <f ca="1">OFFSET(AI42,0,-1)+1</f>
        <v>4</v>
      </c>
      <c r="AJ42" s="2467"/>
      <c r="AK42" s="1253">
        <f ca="1">OFFSET(AK42,0,-2)+1</f>
        <v>5</v>
      </c>
      <c r="AL42" s="1163">
        <f ca="1">OFFSET(AL42,0,-1)</f>
        <v>5</v>
      </c>
      <c r="AM42" s="1253">
        <f ca="1">OFFSET(AM42,0,-1)+1</f>
        <v>6</v>
      </c>
      <c r="AN42" s="447"/>
      <c r="AO42" s="447"/>
      <c r="AP42" s="447"/>
      <c r="AQ42" s="447"/>
      <c r="AR42" s="447"/>
      <c r="AS42" s="432">
        <v>0</v>
      </c>
    </row>
    <row r="43" spans="1:45" ht="21.95" customHeight="1">
      <c r="A43" s="1281" t="s">
        <v>185</v>
      </c>
      <c r="B43" s="1281"/>
      <c r="C43" s="1281"/>
      <c r="D43" s="1281"/>
      <c r="E43" s="2456">
        <v>1</v>
      </c>
      <c r="F43" s="1281"/>
      <c r="G43" s="1281"/>
      <c r="H43" s="1281"/>
      <c r="I43" s="1281"/>
      <c r="J43" s="1281"/>
      <c r="K43" s="1281"/>
      <c r="L43" s="1282"/>
      <c r="M43" s="1283"/>
      <c r="N43" s="1283"/>
      <c r="O43" s="1283"/>
      <c r="P43" s="297"/>
      <c r="Q43" s="296"/>
      <c r="R43" s="291"/>
      <c r="S43" s="1254">
        <f>INDEX(PT_DIFFERENTIATION_NUM_NTAR,MATCH(A43,PT_DIFFERENTIATION_NTAR_ID,0))</f>
        <v>0</v>
      </c>
      <c r="T43" s="235" t="s">
        <v>122</v>
      </c>
      <c r="U43" s="237"/>
      <c r="V43" s="2450"/>
      <c r="W43" s="2451"/>
      <c r="X43" s="2451"/>
      <c r="Y43" s="2451"/>
      <c r="Z43" s="2451"/>
      <c r="AA43" s="2451"/>
      <c r="AB43" s="2451"/>
      <c r="AC43" s="2452"/>
      <c r="AD43" s="2450" t="str">
        <f>INDEX(PT_DIFFERENTIATION_NTAR,MATCH(A43,PT_DIFFERENTIATION_NTAR_ID,0))</f>
        <v/>
      </c>
      <c r="AE43" s="2451"/>
      <c r="AF43" s="2451"/>
      <c r="AG43" s="2451"/>
      <c r="AH43" s="2451"/>
      <c r="AI43" s="2451"/>
      <c r="AJ43" s="2451"/>
      <c r="AK43" s="2451"/>
      <c r="AL43" s="245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185</v>
      </c>
      <c r="B44" s="1281" t="s">
        <v>186</v>
      </c>
      <c r="C44" s="1281"/>
      <c r="D44" s="1281"/>
      <c r="E44" s="2457"/>
      <c r="F44" s="2456">
        <v>1</v>
      </c>
      <c r="G44" s="1281"/>
      <c r="H44" s="1281"/>
      <c r="I44" s="1281"/>
      <c r="J44" s="1281"/>
      <c r="K44" s="1281"/>
      <c r="L44" s="1282"/>
      <c r="M44" s="1283"/>
      <c r="N44" s="1283"/>
      <c r="O44" s="1283"/>
      <c r="P44" s="1250"/>
      <c r="Q44" s="288"/>
      <c r="R44" s="289"/>
      <c r="S44" s="1254" t="str">
        <f>INDEX(PT_DIFFERENTIATION_NUM_TER,MATCH(B44,PT_DIFFERENTIATION_TER_ID,0))</f>
        <v>.</v>
      </c>
      <c r="T44" s="245" t="s">
        <v>394</v>
      </c>
      <c r="U44" s="237"/>
      <c r="V44" s="2450"/>
      <c r="W44" s="2451"/>
      <c r="X44" s="2451"/>
      <c r="Y44" s="2451"/>
      <c r="Z44" s="2451"/>
      <c r="AA44" s="2451"/>
      <c r="AB44" s="2451"/>
      <c r="AC44" s="2452"/>
      <c r="AD44" s="2450" t="str">
        <f>INDEX(PT_DIFFERENTIATION_TER,MATCH(B44,PT_DIFFERENTIATION_TER_ID,0))</f>
        <v/>
      </c>
      <c r="AE44" s="2451"/>
      <c r="AF44" s="2451"/>
      <c r="AG44" s="2451"/>
      <c r="AH44" s="2451"/>
      <c r="AI44" s="2451"/>
      <c r="AJ44" s="2451"/>
      <c r="AK44" s="2451"/>
      <c r="AL44" s="2452"/>
      <c r="AM44" s="1176" t="s">
        <v>395</v>
      </c>
      <c r="AO44" s="436"/>
      <c r="AP44" s="436" t="str">
        <f t="shared" si="1"/>
        <v>Территория действия тарифа</v>
      </c>
      <c r="AQ44" s="436"/>
      <c r="AR44" s="436"/>
      <c r="AS44" s="1073">
        <v>21</v>
      </c>
    </row>
    <row r="45" spans="1:45" ht="24" customHeight="1">
      <c r="A45" s="1281" t="s">
        <v>185</v>
      </c>
      <c r="B45" s="1281" t="s">
        <v>186</v>
      </c>
      <c r="C45" s="1281" t="s">
        <v>187</v>
      </c>
      <c r="D45" s="1281"/>
      <c r="E45" s="2457"/>
      <c r="F45" s="2457"/>
      <c r="G45" s="2456">
        <v>1</v>
      </c>
      <c r="H45" s="1281"/>
      <c r="I45" s="1281"/>
      <c r="J45" s="1281"/>
      <c r="K45" s="1281"/>
      <c r="L45" s="1282"/>
      <c r="M45" s="1283"/>
      <c r="N45" s="1283"/>
      <c r="O45" s="1283"/>
      <c r="P45" s="290"/>
      <c r="Q45" s="288"/>
      <c r="R45" s="289"/>
      <c r="S45" s="1254" t="str">
        <f>INDEX(PT_DIFFERENTIATION_NUM_CS,MATCH(C45,PT_DIFFERENTIATION_CS_ID,0))</f>
        <v>..</v>
      </c>
      <c r="T45" s="246" t="s">
        <v>396</v>
      </c>
      <c r="U45" s="237"/>
      <c r="V45" s="2450"/>
      <c r="W45" s="2451"/>
      <c r="X45" s="2451"/>
      <c r="Y45" s="2451"/>
      <c r="Z45" s="2451"/>
      <c r="AA45" s="2451"/>
      <c r="AB45" s="2451"/>
      <c r="AC45" s="2452"/>
      <c r="AD45" s="2450" t="str">
        <f>INDEX(PT_DIFFERENTIATION_CS,MATCH(C45,PT_DIFFERENTIATION_CS_ID,0))</f>
        <v/>
      </c>
      <c r="AE45" s="2451"/>
      <c r="AF45" s="2451"/>
      <c r="AG45" s="2451"/>
      <c r="AH45" s="2451"/>
      <c r="AI45" s="2451"/>
      <c r="AJ45" s="2451"/>
      <c r="AK45" s="2451"/>
      <c r="AL45" s="2452"/>
      <c r="AM45" s="1176" t="s">
        <v>397</v>
      </c>
      <c r="AO45" s="436"/>
      <c r="AP45" s="436" t="str">
        <f t="shared" si="1"/>
        <v xml:space="preserve">Наименование системы теплоснабжения </v>
      </c>
      <c r="AQ45" s="436"/>
      <c r="AR45" s="436"/>
      <c r="AS45" s="1073">
        <v>23</v>
      </c>
    </row>
    <row r="46" spans="1:45" ht="21.95" customHeight="1">
      <c r="A46" s="1281" t="s">
        <v>185</v>
      </c>
      <c r="B46" s="1281" t="s">
        <v>186</v>
      </c>
      <c r="C46" s="1281" t="s">
        <v>187</v>
      </c>
      <c r="D46" s="1281" t="s">
        <v>188</v>
      </c>
      <c r="E46" s="2457"/>
      <c r="F46" s="2457"/>
      <c r="G46" s="2457"/>
      <c r="H46" s="2456">
        <v>1</v>
      </c>
      <c r="I46" s="1281"/>
      <c r="J46" s="1281"/>
      <c r="K46" s="1281"/>
      <c r="L46" s="1282"/>
      <c r="M46" s="1283"/>
      <c r="N46" s="1283"/>
      <c r="O46" s="1283"/>
      <c r="P46" s="290"/>
      <c r="Q46" s="288"/>
      <c r="R46" s="289"/>
      <c r="S46" s="1254" t="str">
        <f>INDEX(PT_DIFFERENTIATION_NUM_IST_TE,MATCH(D46,PT_DIFFERENTIATION_IST_TE_ID,0))</f>
        <v>...</v>
      </c>
      <c r="T46" s="247" t="s">
        <v>398</v>
      </c>
      <c r="U46" s="237"/>
      <c r="V46" s="2450"/>
      <c r="W46" s="2451"/>
      <c r="X46" s="2451"/>
      <c r="Y46" s="2451"/>
      <c r="Z46" s="2451"/>
      <c r="AA46" s="2451"/>
      <c r="AB46" s="2451"/>
      <c r="AC46" s="2452"/>
      <c r="AD46" s="2450" t="str">
        <f>INDEX(PT_DIFFERENTIATION_IST_TE,MATCH(D46,PT_DIFFERENTIATION_IST_TE_ID,0))</f>
        <v/>
      </c>
      <c r="AE46" s="2451"/>
      <c r="AF46" s="2451"/>
      <c r="AG46" s="2451"/>
      <c r="AH46" s="2451"/>
      <c r="AI46" s="2451"/>
      <c r="AJ46" s="2451"/>
      <c r="AK46" s="2451"/>
      <c r="AL46" s="2452"/>
      <c r="AM46" s="1176" t="s">
        <v>399</v>
      </c>
      <c r="AO46" s="436"/>
      <c r="AP46" s="436" t="str">
        <f t="shared" si="1"/>
        <v xml:space="preserve">Источник тепловой энергии  </v>
      </c>
      <c r="AQ46" s="436"/>
      <c r="AR46" s="436"/>
      <c r="AS46" s="1073">
        <v>21</v>
      </c>
    </row>
    <row r="47" spans="1:45" s="2034" customFormat="1" ht="0" hidden="1" customHeight="1">
      <c r="A47" s="1261" t="s">
        <v>185</v>
      </c>
      <c r="B47" s="1261" t="s">
        <v>186</v>
      </c>
      <c r="C47" s="1261" t="s">
        <v>187</v>
      </c>
      <c r="D47" s="1261" t="s">
        <v>188</v>
      </c>
      <c r="E47" s="2457"/>
      <c r="F47" s="2457"/>
      <c r="G47" s="2457"/>
      <c r="H47" s="2457"/>
      <c r="I47" s="2458" t="str">
        <f>S46&amp;".1"</f>
        <v>....1</v>
      </c>
      <c r="J47" s="1261"/>
      <c r="K47" s="1261"/>
      <c r="L47" s="1264" t="s">
        <v>400</v>
      </c>
      <c r="M47" s="446"/>
      <c r="N47" s="446"/>
      <c r="O47" s="446"/>
      <c r="P47" s="2460">
        <v>1</v>
      </c>
      <c r="Q47" s="1249"/>
      <c r="R47" s="292"/>
      <c r="S47" s="965"/>
      <c r="T47" s="1301"/>
      <c r="U47" s="1302"/>
      <c r="V47" s="2487"/>
      <c r="W47" s="2488"/>
      <c r="X47" s="2488"/>
      <c r="Y47" s="2488"/>
      <c r="Z47" s="2488"/>
      <c r="AA47" s="2488"/>
      <c r="AB47" s="2488"/>
      <c r="AC47" s="2489"/>
      <c r="AD47" s="2487"/>
      <c r="AE47" s="2488"/>
      <c r="AF47" s="2488"/>
      <c r="AG47" s="2488"/>
      <c r="AH47" s="2488"/>
      <c r="AI47" s="2488"/>
      <c r="AJ47" s="2488"/>
      <c r="AK47" s="2488"/>
      <c r="AL47" s="2489"/>
      <c r="AM47" s="1303"/>
      <c r="AO47" s="436"/>
      <c r="AP47" s="436" t="str">
        <f t="shared" si="1"/>
        <v/>
      </c>
      <c r="AQ47" s="436"/>
      <c r="AR47" s="436"/>
      <c r="AS47" s="447">
        <v>0</v>
      </c>
    </row>
    <row r="48" spans="1:45" ht="21.95" customHeight="1">
      <c r="A48" s="1281" t="s">
        <v>185</v>
      </c>
      <c r="B48" s="1281" t="s">
        <v>186</v>
      </c>
      <c r="C48" s="1281" t="s">
        <v>187</v>
      </c>
      <c r="D48" s="1281" t="s">
        <v>188</v>
      </c>
      <c r="E48" s="2457"/>
      <c r="F48" s="2457"/>
      <c r="G48" s="2457"/>
      <c r="H48" s="2457"/>
      <c r="I48" s="2459"/>
      <c r="J48" s="2458" t="str">
        <f>S46&amp;".1"</f>
        <v>....1</v>
      </c>
      <c r="K48" s="1281"/>
      <c r="L48" s="1282" t="s">
        <v>403</v>
      </c>
      <c r="P48" s="2460"/>
      <c r="Q48" s="2460">
        <v>1</v>
      </c>
      <c r="R48" s="293"/>
      <c r="S48" s="1254" t="str">
        <f>$J48</f>
        <v>....1</v>
      </c>
      <c r="T48" s="223" t="s">
        <v>404</v>
      </c>
      <c r="U48" s="237"/>
      <c r="V48" s="2444"/>
      <c r="W48" s="2445"/>
      <c r="X48" s="2445"/>
      <c r="Y48" s="2445"/>
      <c r="Z48" s="2445"/>
      <c r="AA48" s="2445"/>
      <c r="AB48" s="2445"/>
      <c r="AC48" s="2446"/>
      <c r="AD48" s="2444"/>
      <c r="AE48" s="2445"/>
      <c r="AF48" s="2445"/>
      <c r="AG48" s="2445"/>
      <c r="AH48" s="2445"/>
      <c r="AI48" s="2445"/>
      <c r="AJ48" s="2445"/>
      <c r="AK48" s="2445"/>
      <c r="AL48" s="2446"/>
      <c r="AM48" s="1176" t="s">
        <v>405</v>
      </c>
      <c r="AO48" s="436"/>
      <c r="AP48" s="436" t="str">
        <f t="shared" si="1"/>
        <v>Группа потребителей</v>
      </c>
      <c r="AQ48" s="436"/>
      <c r="AR48" s="436"/>
      <c r="AS48" s="1073">
        <v>21</v>
      </c>
    </row>
    <row r="49" spans="1:45" ht="21.95" customHeight="1">
      <c r="A49" s="1281" t="s">
        <v>185</v>
      </c>
      <c r="B49" s="1281" t="s">
        <v>186</v>
      </c>
      <c r="C49" s="1281" t="s">
        <v>187</v>
      </c>
      <c r="D49" s="1281" t="s">
        <v>188</v>
      </c>
      <c r="E49" s="2457"/>
      <c r="F49" s="2457"/>
      <c r="G49" s="2457"/>
      <c r="H49" s="2457"/>
      <c r="I49" s="2459"/>
      <c r="J49" s="2459"/>
      <c r="K49" s="2458" t="str">
        <f>J48&amp;".1"</f>
        <v>....1.1</v>
      </c>
      <c r="L49" s="1282" t="s">
        <v>406</v>
      </c>
      <c r="P49" s="2460"/>
      <c r="Q49" s="2460"/>
      <c r="R49" s="293">
        <v>1</v>
      </c>
      <c r="S49" s="1254" t="str">
        <f>$K49</f>
        <v>....1.1</v>
      </c>
      <c r="T49" s="1265"/>
      <c r="U49" s="237"/>
      <c r="V49" s="687"/>
      <c r="W49" s="262"/>
      <c r="X49" s="687"/>
      <c r="Y49" s="1175"/>
      <c r="Z49" s="2461"/>
      <c r="AA49" s="2338" t="s">
        <v>67</v>
      </c>
      <c r="AB49" s="2461"/>
      <c r="AC49" s="2338" t="s">
        <v>67</v>
      </c>
      <c r="AD49" s="687"/>
      <c r="AE49" s="262"/>
      <c r="AF49" s="687"/>
      <c r="AG49" s="1175"/>
      <c r="AH49" s="2461"/>
      <c r="AI49" s="2338" t="s">
        <v>67</v>
      </c>
      <c r="AJ49" s="2463"/>
      <c r="AK49" s="2338" t="s">
        <v>67</v>
      </c>
      <c r="AL49" s="1266"/>
      <c r="AM49" s="2479" t="s">
        <v>448</v>
      </c>
      <c r="AN49" s="447" t="e">
        <f ca="1">STRCHECKDATE(V50:AL50)</f>
        <v>#NAME?</v>
      </c>
      <c r="AO49" s="436"/>
      <c r="AP49" s="436" t="str">
        <f t="shared" si="1"/>
        <v/>
      </c>
      <c r="AQ49" s="436"/>
      <c r="AR49" s="436"/>
      <c r="AS49" s="1073">
        <v>21</v>
      </c>
    </row>
    <row r="50" spans="1:45" ht="0" hidden="1" customHeight="1">
      <c r="A50" s="1281" t="s">
        <v>185</v>
      </c>
      <c r="B50" s="1281" t="s">
        <v>186</v>
      </c>
      <c r="C50" s="1281" t="s">
        <v>187</v>
      </c>
      <c r="D50" s="1281" t="s">
        <v>188</v>
      </c>
      <c r="E50" s="2457"/>
      <c r="F50" s="2457"/>
      <c r="G50" s="2457"/>
      <c r="H50" s="2457"/>
      <c r="I50" s="2459"/>
      <c r="J50" s="2459"/>
      <c r="K50" s="2458"/>
      <c r="L50" s="1282"/>
      <c r="P50" s="2460"/>
      <c r="Q50" s="2460"/>
      <c r="R50" s="293"/>
      <c r="S50" s="1260"/>
      <c r="T50" s="237"/>
      <c r="U50" s="237"/>
      <c r="V50" s="262"/>
      <c r="W50" s="262"/>
      <c r="X50" s="262"/>
      <c r="Y50" s="265" t="str">
        <f>Z49&amp;"-"&amp;AB49</f>
        <v>-</v>
      </c>
      <c r="Z50" s="2462"/>
      <c r="AA50" s="2338"/>
      <c r="AB50" s="2462"/>
      <c r="AC50" s="2338"/>
      <c r="AD50" s="262"/>
      <c r="AE50" s="262"/>
      <c r="AF50" s="262"/>
      <c r="AG50" s="265" t="str">
        <f>AH49&amp;"-"&amp;AJ49</f>
        <v>-</v>
      </c>
      <c r="AH50" s="2462"/>
      <c r="AI50" s="2338"/>
      <c r="AJ50" s="2464"/>
      <c r="AK50" s="2338"/>
      <c r="AL50" s="1267"/>
      <c r="AM50" s="2480"/>
      <c r="AO50" s="436"/>
      <c r="AP50" s="436" t="str">
        <f t="shared" si="1"/>
        <v/>
      </c>
      <c r="AQ50" s="436"/>
      <c r="AR50" s="436"/>
      <c r="AS50" s="1073">
        <v>0</v>
      </c>
    </row>
    <row r="51" spans="1:45" ht="11.45" customHeight="1">
      <c r="A51" s="1281" t="s">
        <v>185</v>
      </c>
      <c r="B51" s="1281" t="s">
        <v>186</v>
      </c>
      <c r="C51" s="1281" t="s">
        <v>187</v>
      </c>
      <c r="D51" s="1281" t="s">
        <v>188</v>
      </c>
      <c r="E51" s="2457"/>
      <c r="F51" s="2457"/>
      <c r="G51" s="2457"/>
      <c r="H51" s="2457"/>
      <c r="I51" s="2459"/>
      <c r="J51" s="2458"/>
      <c r="K51" s="1281"/>
      <c r="L51" s="1282"/>
      <c r="P51" s="2460"/>
      <c r="Q51" s="2460"/>
      <c r="R51" s="292"/>
      <c r="S51" s="1196"/>
      <c r="T51" s="224" t="s">
        <v>408</v>
      </c>
      <c r="U51" s="303"/>
      <c r="V51" s="303"/>
      <c r="W51" s="303"/>
      <c r="X51" s="303"/>
      <c r="Y51" s="303"/>
      <c r="Z51" s="303"/>
      <c r="AA51" s="303"/>
      <c r="AB51" s="303"/>
      <c r="AC51" s="303"/>
      <c r="AD51" s="303"/>
      <c r="AE51" s="303"/>
      <c r="AF51" s="303"/>
      <c r="AG51" s="303"/>
      <c r="AH51" s="303"/>
      <c r="AI51" s="303"/>
      <c r="AJ51" s="303"/>
      <c r="AK51" s="303"/>
      <c r="AL51" s="261"/>
      <c r="AM51" s="2481"/>
      <c r="AO51" s="436"/>
      <c r="AP51" s="436" t="str">
        <f t="shared" si="1"/>
        <v>Добавить вид теплоносителя (параметры теплоносителя)</v>
      </c>
      <c r="AQ51" s="436"/>
      <c r="AR51" s="436"/>
      <c r="AS51" s="1073">
        <v>11</v>
      </c>
    </row>
    <row r="52" spans="1:45" ht="11.45" customHeight="1">
      <c r="A52" s="1281" t="s">
        <v>185</v>
      </c>
      <c r="B52" s="1281" t="s">
        <v>186</v>
      </c>
      <c r="C52" s="1281" t="s">
        <v>187</v>
      </c>
      <c r="D52" s="1281" t="s">
        <v>188</v>
      </c>
      <c r="E52" s="2457"/>
      <c r="F52" s="2457"/>
      <c r="G52" s="2457"/>
      <c r="H52" s="2457"/>
      <c r="I52" s="2458"/>
      <c r="J52" s="1281"/>
      <c r="K52" s="1281"/>
      <c r="L52" s="1282"/>
      <c r="P52" s="2460"/>
      <c r="Q52" s="1249"/>
      <c r="R52" s="292"/>
      <c r="S52" s="1196"/>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185</v>
      </c>
      <c r="B53" s="1281" t="s">
        <v>186</v>
      </c>
      <c r="C53" s="1281" t="s">
        <v>187</v>
      </c>
      <c r="D53" s="1281" t="s">
        <v>188</v>
      </c>
      <c r="E53" s="2457"/>
      <c r="F53" s="2457"/>
      <c r="G53" s="2457"/>
      <c r="H53" s="2456"/>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034" customFormat="1" ht="0" hidden="1" customHeight="1">
      <c r="A54" s="1261" t="s">
        <v>185</v>
      </c>
      <c r="B54" s="1261" t="s">
        <v>186</v>
      </c>
      <c r="C54" s="1261" t="s">
        <v>187</v>
      </c>
      <c r="D54" s="1232"/>
      <c r="E54" s="2457"/>
      <c r="F54" s="2457"/>
      <c r="G54" s="2456"/>
      <c r="H54" s="1232"/>
      <c r="I54" s="1232"/>
      <c r="J54" s="1232"/>
      <c r="K54" s="1232"/>
      <c r="L54" s="1257"/>
      <c r="M54" s="1233"/>
      <c r="N54" s="1233"/>
      <c r="P54" s="1234"/>
      <c r="Q54" s="1235"/>
      <c r="R54" s="1234"/>
      <c r="S54" s="1240"/>
      <c r="T54" s="1243" t="s">
        <v>411</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034" customFormat="1" ht="0" hidden="1" customHeight="1">
      <c r="A55" s="1261" t="s">
        <v>185</v>
      </c>
      <c r="B55" s="1261" t="s">
        <v>186</v>
      </c>
      <c r="C55" s="1232"/>
      <c r="D55" s="1232"/>
      <c r="E55" s="2457"/>
      <c r="F55" s="2456"/>
      <c r="G55" s="1232"/>
      <c r="H55" s="1232"/>
      <c r="I55" s="1232"/>
      <c r="J55" s="1232"/>
      <c r="K55" s="1232"/>
      <c r="L55" s="1257"/>
      <c r="M55" s="1239"/>
      <c r="N55" s="1239"/>
      <c r="P55" s="1234"/>
      <c r="Q55" s="1235"/>
      <c r="R55" s="1234"/>
      <c r="S55" s="1240"/>
      <c r="T55" s="1243" t="s">
        <v>412</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034" customFormat="1" ht="0" hidden="1" customHeight="1">
      <c r="A56" s="1261" t="s">
        <v>185</v>
      </c>
      <c r="B56" s="1261"/>
      <c r="C56" s="1261"/>
      <c r="D56" s="1261"/>
      <c r="E56" s="2456"/>
      <c r="F56" s="1261"/>
      <c r="G56" s="1261"/>
      <c r="H56" s="1261"/>
      <c r="I56" s="1261"/>
      <c r="J56" s="1261"/>
      <c r="K56" s="1261"/>
      <c r="L56" s="1264"/>
      <c r="M56" s="1239"/>
      <c r="N56" s="1239"/>
      <c r="O56" s="454"/>
      <c r="P56" s="316"/>
      <c r="Q56" s="1262"/>
      <c r="R56" s="316"/>
      <c r="S56" s="1240"/>
      <c r="T56" s="1243" t="s">
        <v>413</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03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445</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2455"/>
      <c r="U59" s="2455"/>
      <c r="V59" s="2455"/>
      <c r="W59" s="2455"/>
      <c r="X59" s="2455"/>
      <c r="Y59" s="2455"/>
      <c r="Z59" s="2455"/>
      <c r="AA59" s="2455"/>
      <c r="AB59" s="2455"/>
      <c r="AC59" s="2455"/>
      <c r="AD59" s="2455"/>
      <c r="AE59" s="2455"/>
      <c r="AF59" s="2455"/>
      <c r="AG59" s="2455"/>
      <c r="AH59" s="2455"/>
      <c r="AI59" s="2455"/>
      <c r="AJ59" s="2455"/>
      <c r="AK59" s="2455"/>
      <c r="AL59" s="2455"/>
      <c r="AM59" s="2455"/>
      <c r="AS59" s="1073">
        <v>14</v>
      </c>
    </row>
    <row r="60" spans="1:45" ht="14.65" customHeight="1">
      <c r="O60" s="473"/>
      <c r="T60" s="2455"/>
      <c r="U60" s="2455"/>
      <c r="V60" s="2455"/>
      <c r="W60" s="2455"/>
      <c r="X60" s="2455"/>
      <c r="Y60" s="2455"/>
      <c r="Z60" s="2455"/>
      <c r="AA60" s="2455"/>
      <c r="AB60" s="2455"/>
      <c r="AC60" s="2455"/>
      <c r="AD60" s="2455"/>
      <c r="AE60" s="2455"/>
      <c r="AF60" s="2455"/>
      <c r="AG60" s="2455"/>
      <c r="AH60" s="2455"/>
      <c r="AI60" s="2455"/>
      <c r="AJ60" s="2455"/>
      <c r="AK60" s="2455"/>
      <c r="AL60" s="2455"/>
      <c r="AM60" s="2455"/>
      <c r="AS60" s="1073">
        <v>14</v>
      </c>
    </row>
    <row r="61" spans="1:45" ht="14.65" customHeight="1">
      <c r="O61" s="473"/>
      <c r="T61" s="2455"/>
      <c r="U61" s="2455"/>
      <c r="V61" s="2455"/>
      <c r="W61" s="2455"/>
      <c r="X61" s="2455"/>
      <c r="Y61" s="2455"/>
      <c r="Z61" s="2455"/>
      <c r="AA61" s="2455"/>
      <c r="AB61" s="2455"/>
      <c r="AC61" s="2455"/>
      <c r="AD61" s="2455"/>
      <c r="AE61" s="2455"/>
      <c r="AF61" s="2455"/>
      <c r="AG61" s="2455"/>
      <c r="AH61" s="2455"/>
      <c r="AI61" s="2455"/>
      <c r="AJ61" s="2455"/>
      <c r="AK61" s="2455"/>
      <c r="AL61" s="2455"/>
      <c r="AM61" s="2455"/>
      <c r="AS61" s="1073">
        <v>14</v>
      </c>
    </row>
    <row r="62" spans="1:45" ht="14.65" customHeight="1">
      <c r="O62" s="473"/>
      <c r="AS62" s="1073">
        <v>14</v>
      </c>
    </row>
    <row r="63" spans="1:45" ht="14.65" customHeight="1">
      <c r="O63" s="473"/>
      <c r="S63" s="1171"/>
      <c r="T63" s="2368"/>
      <c r="U63" s="2455"/>
      <c r="V63" s="2455"/>
      <c r="W63" s="2455"/>
      <c r="X63" s="2455"/>
      <c r="Y63" s="2455"/>
      <c r="Z63" s="2455"/>
      <c r="AA63" s="2455"/>
      <c r="AB63" s="2455"/>
      <c r="AC63" s="2455"/>
      <c r="AD63" s="2455"/>
      <c r="AE63" s="2455"/>
      <c r="AF63" s="2455"/>
      <c r="AG63" s="2455"/>
      <c r="AH63" s="2455"/>
      <c r="AI63" s="2455"/>
      <c r="AJ63" s="2455"/>
      <c r="AK63" s="2455"/>
      <c r="AL63" s="2455"/>
      <c r="AM63" s="2455"/>
      <c r="AS63" s="1073">
        <v>14</v>
      </c>
    </row>
    <row r="64" spans="1:45" ht="14.65" customHeight="1">
      <c r="O64" s="473"/>
      <c r="T64" s="2455"/>
      <c r="U64" s="2455"/>
      <c r="V64" s="2455"/>
      <c r="W64" s="2455"/>
      <c r="X64" s="2455"/>
      <c r="Y64" s="2455"/>
      <c r="Z64" s="2455"/>
      <c r="AA64" s="2455"/>
      <c r="AB64" s="2455"/>
      <c r="AC64" s="2455"/>
      <c r="AD64" s="2455"/>
      <c r="AE64" s="2455"/>
      <c r="AF64" s="2455"/>
      <c r="AG64" s="2455"/>
      <c r="AH64" s="2455"/>
      <c r="AI64" s="2455"/>
      <c r="AJ64" s="2455"/>
      <c r="AK64" s="2455"/>
      <c r="AL64" s="2455"/>
      <c r="AM64" s="2455"/>
      <c r="AS64" s="1073">
        <v>14</v>
      </c>
    </row>
    <row r="65" spans="1:45" ht="14.65" customHeight="1">
      <c r="T65" s="2455"/>
      <c r="U65" s="2455"/>
      <c r="V65" s="2455"/>
      <c r="W65" s="2455"/>
      <c r="X65" s="2455"/>
      <c r="Y65" s="2455"/>
      <c r="Z65" s="2455"/>
      <c r="AA65" s="2455"/>
      <c r="AB65" s="2455"/>
      <c r="AC65" s="2455"/>
      <c r="AD65" s="2455"/>
      <c r="AE65" s="2455"/>
      <c r="AF65" s="2455"/>
      <c r="AG65" s="2455"/>
      <c r="AH65" s="2455"/>
      <c r="AI65" s="2455"/>
      <c r="AJ65" s="2455"/>
      <c r="AK65" s="2455"/>
      <c r="AL65" s="2455"/>
      <c r="AM65" s="2455"/>
      <c r="AS65" s="1073">
        <v>14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62" hidden="1"/>
    <col min="2" max="2" width="11" style="2062" hidden="1" customWidth="1"/>
    <col min="3" max="3" width="10.5703125" style="2062" hidden="1"/>
    <col min="4" max="4" width="11.85546875" style="2062" hidden="1" customWidth="1"/>
    <col min="5" max="5" width="10" style="2062" hidden="1" customWidth="1"/>
    <col min="6" max="6" width="8.7109375" style="2062" hidden="1" customWidth="1"/>
    <col min="7" max="7" width="7.5703125" style="2062" hidden="1" customWidth="1"/>
    <col min="8" max="8" width="11.42578125" style="2062" hidden="1" customWidth="1"/>
    <col min="9" max="9" width="12" style="2062" hidden="1" customWidth="1"/>
    <col min="10" max="10" width="9.85546875" style="2062" hidden="1" customWidth="1"/>
    <col min="11" max="12" width="11.42578125" style="2062" hidden="1" customWidth="1"/>
    <col min="13" max="13" width="19.140625" style="2107" hidden="1" customWidth="1"/>
    <col min="14" max="15" width="12.28515625" style="2109" hidden="1" customWidth="1"/>
    <col min="16" max="16" width="23.42578125" style="2109" hidden="1" customWidth="1"/>
    <col min="17" max="17" width="3.7109375" style="2109" hidden="1" customWidth="1"/>
    <col min="18" max="20" width="3" style="2059" customWidth="1"/>
    <col min="21" max="21" width="12" style="2106" customWidth="1"/>
    <col min="22" max="22" width="31" style="2062" customWidth="1"/>
    <col min="23" max="23" width="0.140625" style="2062" customWidth="1"/>
    <col min="24" max="28" width="21.7109375" style="2062" hidden="1" customWidth="1"/>
    <col min="29" max="29" width="11.7109375" style="2062" hidden="1" customWidth="1"/>
    <col min="30" max="30" width="3.7109375" style="2062" hidden="1" customWidth="1"/>
    <col min="31" max="31" width="11.7109375" style="2062" hidden="1" customWidth="1"/>
    <col min="32" max="32" width="8.5703125" style="2062" hidden="1" customWidth="1"/>
    <col min="33" max="33" width="21.7109375" style="2062" customWidth="1"/>
    <col min="34" max="37" width="21" style="2062" customWidth="1"/>
    <col min="38" max="38" width="11" style="2062" customWidth="1"/>
    <col min="39" max="39" width="3.7109375" style="2062" customWidth="1"/>
    <col min="40" max="40" width="11" style="2062" customWidth="1"/>
    <col min="41" max="41" width="8.5703125" style="2062" hidden="1" customWidth="1"/>
    <col min="42" max="42" width="4" style="2062" customWidth="1"/>
    <col min="43" max="43" width="115" style="2062" customWidth="1"/>
    <col min="44" max="48" width="10" style="2034" customWidth="1"/>
    <col min="49" max="49" width="10.5703125" style="2062" hidden="1"/>
  </cols>
  <sheetData>
    <row r="1" spans="1:49" ht="22.5" hidden="1" customHeight="1">
      <c r="AB1" s="264"/>
      <c r="AC1" s="264"/>
      <c r="AK1" s="264"/>
      <c r="AL1" s="264"/>
      <c r="AW1" s="1073" t="s">
        <v>14</v>
      </c>
    </row>
    <row r="2" spans="1:49" ht="21" hidden="1" customHeight="1">
      <c r="A2" s="1185"/>
      <c r="B2" s="1185"/>
      <c r="C2" s="1185"/>
      <c r="D2" s="1185"/>
      <c r="E2" s="2482">
        <v>1</v>
      </c>
      <c r="F2" s="1185"/>
      <c r="G2" s="1185"/>
      <c r="H2" s="1185"/>
      <c r="I2" s="1185"/>
      <c r="J2" s="1185"/>
      <c r="K2" s="1185"/>
      <c r="L2" s="1185"/>
      <c r="M2" s="1228"/>
      <c r="N2" s="624"/>
      <c r="O2" s="624"/>
      <c r="P2" s="624"/>
      <c r="Q2" s="297"/>
      <c r="R2" s="296"/>
      <c r="S2" s="296"/>
      <c r="T2" s="291"/>
      <c r="U2" s="1254" t="e">
        <f>INDEX(PT_DIFFERENTIATION_NUM_NTAR,MATCH(A2,PT_DIFFERENTIATION_NTAR_ID,0))</f>
        <v>#N/A</v>
      </c>
      <c r="V2" s="235" t="s">
        <v>122</v>
      </c>
      <c r="W2" s="237"/>
      <c r="X2" s="2450"/>
      <c r="Y2" s="2451"/>
      <c r="Z2" s="2451"/>
      <c r="AA2" s="2451"/>
      <c r="AB2" s="2451"/>
      <c r="AC2" s="2451"/>
      <c r="AD2" s="2451"/>
      <c r="AE2" s="2451"/>
      <c r="AF2" s="2452"/>
      <c r="AG2" s="2450" t="e">
        <f>INDEX(PT_DIFFERENTIATION_NTAR,MATCH(A2,PT_DIFFERENTIATION_NTAR_ID,0))</f>
        <v>#N/A</v>
      </c>
      <c r="AH2" s="2451"/>
      <c r="AI2" s="2451"/>
      <c r="AJ2" s="2451"/>
      <c r="AK2" s="2451"/>
      <c r="AL2" s="2451"/>
      <c r="AM2" s="2451"/>
      <c r="AN2" s="2451"/>
      <c r="AO2" s="2451"/>
      <c r="AP2" s="2452"/>
      <c r="AQ2" s="1176" t="s">
        <v>393</v>
      </c>
      <c r="AS2" s="436"/>
      <c r="AT2" s="436" t="str">
        <f t="shared" ref="AT2:AT8" si="0">IF(V2="","",V2)</f>
        <v>Наименование тарифа</v>
      </c>
      <c r="AU2" s="436"/>
      <c r="AV2" s="436"/>
      <c r="AW2" s="1073">
        <v>0</v>
      </c>
    </row>
    <row r="3" spans="1:49" ht="21" hidden="1" customHeight="1">
      <c r="A3" s="1185"/>
      <c r="B3" s="1185"/>
      <c r="C3" s="1185"/>
      <c r="D3" s="1185"/>
      <c r="E3" s="2483"/>
      <c r="F3" s="2482">
        <v>1</v>
      </c>
      <c r="G3" s="1185"/>
      <c r="H3" s="1185"/>
      <c r="I3" s="1185"/>
      <c r="J3" s="1185"/>
      <c r="K3" s="1185"/>
      <c r="L3" s="1185"/>
      <c r="M3" s="1228"/>
      <c r="N3" s="624"/>
      <c r="O3" s="624"/>
      <c r="P3" s="624"/>
      <c r="Q3" s="1250"/>
      <c r="R3" s="288"/>
      <c r="S3" s="445"/>
      <c r="T3" s="289"/>
      <c r="U3" s="1254" t="e">
        <f>INDEX(PT_DIFFERENTIATION_NUM_TER,MATCH(B3,PT_DIFFERENTIATION_TER_ID,0))</f>
        <v>#N/A</v>
      </c>
      <c r="V3" s="245" t="s">
        <v>394</v>
      </c>
      <c r="W3" s="237"/>
      <c r="X3" s="2450"/>
      <c r="Y3" s="2451"/>
      <c r="Z3" s="2451"/>
      <c r="AA3" s="2451"/>
      <c r="AB3" s="2451"/>
      <c r="AC3" s="2451"/>
      <c r="AD3" s="2451"/>
      <c r="AE3" s="2451"/>
      <c r="AF3" s="2452"/>
      <c r="AG3" s="2450" t="e">
        <f>INDEX(PT_DIFFERENTIATION_TER,MATCH(B3,PT_DIFFERENTIATION_TER_ID,0))</f>
        <v>#N/A</v>
      </c>
      <c r="AH3" s="2451"/>
      <c r="AI3" s="2451"/>
      <c r="AJ3" s="2451"/>
      <c r="AK3" s="2451"/>
      <c r="AL3" s="2451"/>
      <c r="AM3" s="2451"/>
      <c r="AN3" s="2451"/>
      <c r="AO3" s="2451"/>
      <c r="AP3" s="2452"/>
      <c r="AQ3" s="1176" t="s">
        <v>395</v>
      </c>
      <c r="AS3" s="436"/>
      <c r="AT3" s="436" t="str">
        <f t="shared" si="0"/>
        <v>Территория действия тарифа</v>
      </c>
      <c r="AU3" s="436"/>
      <c r="AV3" s="436"/>
      <c r="AW3" s="1073">
        <v>0</v>
      </c>
    </row>
    <row r="4" spans="1:49" ht="22.5" hidden="1" customHeight="1">
      <c r="A4" s="1185"/>
      <c r="B4" s="1185"/>
      <c r="C4" s="1185"/>
      <c r="D4" s="1185"/>
      <c r="E4" s="2483"/>
      <c r="F4" s="2483"/>
      <c r="G4" s="2482">
        <v>1</v>
      </c>
      <c r="H4" s="1185"/>
      <c r="I4" s="1185"/>
      <c r="J4" s="1185"/>
      <c r="K4" s="1185"/>
      <c r="L4" s="1185"/>
      <c r="M4" s="1228"/>
      <c r="N4" s="624"/>
      <c r="O4" s="624"/>
      <c r="P4" s="624"/>
      <c r="Q4" s="290"/>
      <c r="R4" s="288"/>
      <c r="S4" s="445"/>
      <c r="T4" s="289"/>
      <c r="U4" s="1254" t="e">
        <f>INDEX(PT_DIFFERENTIATION_NUM_CS,MATCH(C4,PT_DIFFERENTIATION_CS_ID,0))</f>
        <v>#N/A</v>
      </c>
      <c r="V4" s="246" t="s">
        <v>396</v>
      </c>
      <c r="W4" s="237"/>
      <c r="X4" s="2450"/>
      <c r="Y4" s="2451"/>
      <c r="Z4" s="2451"/>
      <c r="AA4" s="2451"/>
      <c r="AB4" s="2451"/>
      <c r="AC4" s="2451"/>
      <c r="AD4" s="2451"/>
      <c r="AE4" s="2451"/>
      <c r="AF4" s="2452"/>
      <c r="AG4" s="2450" t="e">
        <f>INDEX(PT_DIFFERENTIATION_CS,MATCH(C4,PT_DIFFERENTIATION_CS_ID,0))</f>
        <v>#N/A</v>
      </c>
      <c r="AH4" s="2451"/>
      <c r="AI4" s="2451"/>
      <c r="AJ4" s="2451"/>
      <c r="AK4" s="2451"/>
      <c r="AL4" s="2451"/>
      <c r="AM4" s="2451"/>
      <c r="AN4" s="2451"/>
      <c r="AO4" s="2451"/>
      <c r="AP4" s="2452"/>
      <c r="AQ4" s="1176" t="s">
        <v>397</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2483"/>
      <c r="F5" s="2483"/>
      <c r="G5" s="2483"/>
      <c r="H5" s="2482">
        <v>1</v>
      </c>
      <c r="I5" s="1185"/>
      <c r="J5" s="1185"/>
      <c r="K5" s="1185"/>
      <c r="L5" s="1185"/>
      <c r="M5" s="1228"/>
      <c r="N5" s="624"/>
      <c r="O5" s="624"/>
      <c r="P5" s="624"/>
      <c r="Q5" s="290"/>
      <c r="R5" s="288"/>
      <c r="S5" s="445"/>
      <c r="T5" s="289"/>
      <c r="U5" s="1254" t="e">
        <f>INDEX(PT_DIFFERENTIATION_NUM_IST_TE,MATCH(D5,PT_DIFFERENTIATION_IST_TE_ID,0))</f>
        <v>#N/A</v>
      </c>
      <c r="V5" s="247" t="s">
        <v>398</v>
      </c>
      <c r="W5" s="237"/>
      <c r="X5" s="2450"/>
      <c r="Y5" s="2451"/>
      <c r="Z5" s="2451"/>
      <c r="AA5" s="2451"/>
      <c r="AB5" s="2451"/>
      <c r="AC5" s="2451"/>
      <c r="AD5" s="2451"/>
      <c r="AE5" s="2451"/>
      <c r="AF5" s="2452"/>
      <c r="AG5" s="2450" t="e">
        <f>INDEX(PT_DIFFERENTIATION_IST_TE,MATCH(D5,PT_DIFFERENTIATION_IST_TE_ID,0))</f>
        <v>#N/A</v>
      </c>
      <c r="AH5" s="2451"/>
      <c r="AI5" s="2451"/>
      <c r="AJ5" s="2451"/>
      <c r="AK5" s="2451"/>
      <c r="AL5" s="2451"/>
      <c r="AM5" s="2451"/>
      <c r="AN5" s="2451"/>
      <c r="AO5" s="2451"/>
      <c r="AP5" s="2452"/>
      <c r="AQ5" s="1176" t="s">
        <v>399</v>
      </c>
      <c r="AS5" s="436"/>
      <c r="AT5" s="436" t="str">
        <f t="shared" si="0"/>
        <v xml:space="preserve">Источник тепловой энергии  </v>
      </c>
      <c r="AU5" s="436"/>
      <c r="AV5" s="436"/>
      <c r="AW5" s="1073">
        <v>0</v>
      </c>
    </row>
    <row r="6" spans="1:49" ht="14.25" hidden="1" customHeight="1">
      <c r="A6" s="1185"/>
      <c r="B6" s="1185"/>
      <c r="C6" s="1185"/>
      <c r="D6" s="1185"/>
      <c r="E6" s="2483"/>
      <c r="F6" s="2483"/>
      <c r="G6" s="2483"/>
      <c r="H6" s="2483"/>
      <c r="I6" s="2328" t="e">
        <f>U5&amp;".1"</f>
        <v>#N/A</v>
      </c>
      <c r="J6" s="1185"/>
      <c r="K6" s="1185"/>
      <c r="L6" s="1185"/>
      <c r="M6" s="1228" t="s">
        <v>400</v>
      </c>
      <c r="N6" s="445"/>
      <c r="Q6" s="2460">
        <v>1</v>
      </c>
      <c r="R6" s="1249"/>
      <c r="S6" s="1249"/>
      <c r="T6" s="292"/>
      <c r="U6" s="965"/>
      <c r="V6" s="1301"/>
      <c r="W6" s="1302"/>
      <c r="X6" s="2487"/>
      <c r="Y6" s="2488"/>
      <c r="Z6" s="2488"/>
      <c r="AA6" s="2488"/>
      <c r="AB6" s="2488"/>
      <c r="AC6" s="2488"/>
      <c r="AD6" s="2488"/>
      <c r="AE6" s="2488"/>
      <c r="AF6" s="2489"/>
      <c r="AG6" s="2487"/>
      <c r="AH6" s="2488"/>
      <c r="AI6" s="2488"/>
      <c r="AJ6" s="2488"/>
      <c r="AK6" s="2488"/>
      <c r="AL6" s="2488"/>
      <c r="AM6" s="2488"/>
      <c r="AN6" s="2488"/>
      <c r="AO6" s="2488"/>
      <c r="AP6" s="2489"/>
      <c r="AQ6" s="1303"/>
      <c r="AS6" s="436"/>
      <c r="AT6" s="436" t="str">
        <f t="shared" si="0"/>
        <v/>
      </c>
      <c r="AU6" s="436"/>
      <c r="AV6" s="436"/>
      <c r="AW6" s="1073">
        <v>0</v>
      </c>
    </row>
    <row r="7" spans="1:49" ht="21" hidden="1" customHeight="1">
      <c r="A7" s="1185"/>
      <c r="B7" s="1185"/>
      <c r="C7" s="1185"/>
      <c r="D7" s="1185"/>
      <c r="E7" s="2483"/>
      <c r="F7" s="2483"/>
      <c r="G7" s="2483"/>
      <c r="H7" s="2483"/>
      <c r="I7" s="2310"/>
      <c r="J7" s="2328" t="e">
        <f>I6&amp;".1"</f>
        <v>#N/A</v>
      </c>
      <c r="K7" s="1185"/>
      <c r="L7" s="1185"/>
      <c r="M7" s="1228" t="s">
        <v>403</v>
      </c>
      <c r="N7" s="445"/>
      <c r="O7" s="264"/>
      <c r="Q7" s="2460"/>
      <c r="R7" s="2460">
        <v>1</v>
      </c>
      <c r="S7" s="454"/>
      <c r="T7" s="293"/>
      <c r="U7" s="1254" t="e">
        <f>$J7</f>
        <v>#N/A</v>
      </c>
      <c r="V7" s="223" t="s">
        <v>404</v>
      </c>
      <c r="W7" s="237"/>
      <c r="X7" s="2444"/>
      <c r="Y7" s="2445"/>
      <c r="Z7" s="2445"/>
      <c r="AA7" s="2445"/>
      <c r="AB7" s="2445"/>
      <c r="AC7" s="2440"/>
      <c r="AD7" s="2440"/>
      <c r="AE7" s="2440"/>
      <c r="AF7" s="2500"/>
      <c r="AG7" s="2444"/>
      <c r="AH7" s="2445"/>
      <c r="AI7" s="2445"/>
      <c r="AJ7" s="2445"/>
      <c r="AK7" s="2445"/>
      <c r="AL7" s="2445"/>
      <c r="AM7" s="2445"/>
      <c r="AN7" s="2445"/>
      <c r="AO7" s="2445"/>
      <c r="AP7" s="2446"/>
      <c r="AQ7" s="1176" t="s">
        <v>405</v>
      </c>
      <c r="AS7" s="436"/>
      <c r="AT7" s="436" t="str">
        <f t="shared" si="0"/>
        <v>Группа потребителей</v>
      </c>
      <c r="AU7" s="436"/>
      <c r="AV7" s="436"/>
      <c r="AW7" s="1073">
        <v>0</v>
      </c>
    </row>
    <row r="8" spans="1:49" ht="21" hidden="1" customHeight="1">
      <c r="A8" s="1185"/>
      <c r="B8" s="1185"/>
      <c r="C8" s="1185"/>
      <c r="D8" s="1185"/>
      <c r="E8" s="2483"/>
      <c r="F8" s="2483"/>
      <c r="G8" s="2483"/>
      <c r="H8" s="2483"/>
      <c r="I8" s="2310"/>
      <c r="J8" s="2310"/>
      <c r="K8" s="2328" t="e">
        <f>J7&amp;".1"</f>
        <v>#N/A</v>
      </c>
      <c r="L8" s="78"/>
      <c r="M8" s="1228" t="s">
        <v>406</v>
      </c>
      <c r="N8" s="445"/>
      <c r="O8" s="264"/>
      <c r="P8" s="264"/>
      <c r="Q8" s="2460"/>
      <c r="R8" s="2460"/>
      <c r="S8" s="2460">
        <v>1</v>
      </c>
      <c r="T8" s="293"/>
      <c r="U8" s="1254" t="e">
        <f>$K8</f>
        <v>#N/A</v>
      </c>
      <c r="V8" s="1265"/>
      <c r="W8" s="237"/>
      <c r="X8" s="687"/>
      <c r="Y8" s="687"/>
      <c r="Z8" s="687"/>
      <c r="AA8" s="687"/>
      <c r="AB8" s="1323"/>
      <c r="AC8" s="2461"/>
      <c r="AD8" s="2338" t="s">
        <v>67</v>
      </c>
      <c r="AE8" s="2461"/>
      <c r="AF8" s="2338" t="s">
        <v>67</v>
      </c>
      <c r="AG8" s="1325"/>
      <c r="AH8" s="687"/>
      <c r="AI8" s="687"/>
      <c r="AJ8" s="687"/>
      <c r="AK8" s="1175"/>
      <c r="AL8" s="2461"/>
      <c r="AM8" s="2338" t="s">
        <v>67</v>
      </c>
      <c r="AN8" s="2461"/>
      <c r="AO8" s="2338" t="s">
        <v>67</v>
      </c>
      <c r="AP8" s="262"/>
      <c r="AQ8" s="1225" t="s">
        <v>449</v>
      </c>
      <c r="AR8" s="447" t="e">
        <f ca="1">STRCHECKDATE(X10:AP10)</f>
        <v>#NAME?</v>
      </c>
      <c r="AS8" s="436"/>
      <c r="AT8" s="436" t="str">
        <f t="shared" si="0"/>
        <v/>
      </c>
      <c r="AU8" s="436"/>
      <c r="AV8" s="436"/>
      <c r="AW8" s="1073">
        <v>0</v>
      </c>
    </row>
    <row r="9" spans="1:49" ht="21" hidden="1" customHeight="1">
      <c r="A9" s="1185"/>
      <c r="B9" s="1185"/>
      <c r="C9" s="1185"/>
      <c r="D9" s="1185"/>
      <c r="E9" s="2483"/>
      <c r="F9" s="2483"/>
      <c r="G9" s="2483"/>
      <c r="H9" s="2483"/>
      <c r="I9" s="2310"/>
      <c r="J9" s="2310"/>
      <c r="K9" s="2310"/>
      <c r="L9" s="2328" t="e">
        <f>K8&amp;".1"</f>
        <v>#N/A</v>
      </c>
      <c r="M9" s="1228"/>
      <c r="N9" s="445"/>
      <c r="O9" s="264"/>
      <c r="P9" s="264"/>
      <c r="Q9" s="2460"/>
      <c r="R9" s="2460"/>
      <c r="S9" s="2460"/>
      <c r="T9" s="293"/>
      <c r="U9" s="1254" t="e">
        <f>$L9</f>
        <v>#N/A</v>
      </c>
      <c r="V9" s="1309"/>
      <c r="W9" s="237"/>
      <c r="X9" s="262"/>
      <c r="Y9" s="687"/>
      <c r="Z9" s="687"/>
      <c r="AA9" s="687"/>
      <c r="AB9" s="1323"/>
      <c r="AC9" s="2462"/>
      <c r="AD9" s="2338"/>
      <c r="AE9" s="2462"/>
      <c r="AF9" s="2338"/>
      <c r="AG9" s="1325"/>
      <c r="AH9" s="687"/>
      <c r="AI9" s="687"/>
      <c r="AJ9" s="687"/>
      <c r="AK9" s="1175"/>
      <c r="AL9" s="2462"/>
      <c r="AM9" s="2338"/>
      <c r="AN9" s="2462"/>
      <c r="AO9" s="2338"/>
      <c r="AP9" s="262"/>
      <c r="AQ9" s="2479" t="s">
        <v>450</v>
      </c>
      <c r="AS9" s="436"/>
      <c r="AT9" s="436"/>
      <c r="AU9" s="436"/>
      <c r="AV9" s="436"/>
      <c r="AW9" s="1073">
        <v>0</v>
      </c>
    </row>
    <row r="10" spans="1:49" ht="14.25" hidden="1" customHeight="1">
      <c r="A10" s="1185"/>
      <c r="B10" s="1185"/>
      <c r="C10" s="1185"/>
      <c r="D10" s="1185"/>
      <c r="E10" s="2483"/>
      <c r="F10" s="2483"/>
      <c r="G10" s="2483"/>
      <c r="H10" s="2483"/>
      <c r="I10" s="2310"/>
      <c r="J10" s="2310"/>
      <c r="K10" s="2310"/>
      <c r="L10" s="2328"/>
      <c r="M10" s="1228"/>
      <c r="N10" s="445"/>
      <c r="O10" s="264"/>
      <c r="P10" s="264"/>
      <c r="Q10" s="2460"/>
      <c r="R10" s="2460"/>
      <c r="S10" s="2460"/>
      <c r="T10" s="293"/>
      <c r="U10" s="1260"/>
      <c r="V10" s="237"/>
      <c r="W10" s="237"/>
      <c r="X10" s="262"/>
      <c r="Y10" s="262"/>
      <c r="Z10" s="262"/>
      <c r="AA10" s="262"/>
      <c r="AB10" s="1324" t="str">
        <f>AC8&amp;"-"&amp;AE8</f>
        <v>-</v>
      </c>
      <c r="AC10" s="2462"/>
      <c r="AD10" s="2338"/>
      <c r="AE10" s="2462"/>
      <c r="AF10" s="2338"/>
      <c r="AG10" s="1300"/>
      <c r="AH10" s="262"/>
      <c r="AI10" s="262"/>
      <c r="AJ10" s="262"/>
      <c r="AK10" s="265" t="str">
        <f>AL8&amp;"-"&amp;AN8</f>
        <v>-</v>
      </c>
      <c r="AL10" s="2462"/>
      <c r="AM10" s="2338"/>
      <c r="AN10" s="2462"/>
      <c r="AO10" s="2338"/>
      <c r="AP10" s="262"/>
      <c r="AQ10" s="2480"/>
      <c r="AS10" s="436"/>
      <c r="AT10" s="436" t="str">
        <f>IF(V10="","",V10)</f>
        <v/>
      </c>
      <c r="AU10" s="436"/>
      <c r="AV10" s="436"/>
      <c r="AW10" s="1073">
        <v>0</v>
      </c>
    </row>
    <row r="11" spans="1:49" ht="11.25" hidden="1" customHeight="1">
      <c r="A11" s="1185"/>
      <c r="B11" s="1185"/>
      <c r="C11" s="1185"/>
      <c r="D11" s="1185"/>
      <c r="E11" s="2483"/>
      <c r="F11" s="2483"/>
      <c r="G11" s="2483"/>
      <c r="H11" s="2483"/>
      <c r="I11" s="2310"/>
      <c r="J11" s="2310"/>
      <c r="K11" s="2328"/>
      <c r="L11" s="1185"/>
      <c r="M11" s="1228"/>
      <c r="N11" s="445"/>
      <c r="O11" s="264"/>
      <c r="P11" s="264"/>
      <c r="Q11" s="2460"/>
      <c r="R11" s="2460"/>
      <c r="S11" s="2460"/>
      <c r="T11" s="293"/>
      <c r="U11" s="1196"/>
      <c r="V11" s="225" t="s">
        <v>451</v>
      </c>
      <c r="W11" s="1310"/>
      <c r="X11" s="1311"/>
      <c r="Y11" s="1311"/>
      <c r="Z11" s="1311"/>
      <c r="AA11" s="1311"/>
      <c r="AB11" s="1312"/>
      <c r="AC11" s="2462"/>
      <c r="AD11" s="2338"/>
      <c r="AE11" s="2462"/>
      <c r="AF11" s="2338"/>
      <c r="AG11" s="1311"/>
      <c r="AH11" s="1311"/>
      <c r="AI11" s="1311"/>
      <c r="AJ11" s="1311"/>
      <c r="AK11" s="1312"/>
      <c r="AL11" s="2462"/>
      <c r="AM11" s="2338"/>
      <c r="AN11" s="2462"/>
      <c r="AO11" s="2338"/>
      <c r="AP11" s="1313"/>
      <c r="AQ11" s="2480"/>
      <c r="AS11" s="436"/>
      <c r="AT11" s="436"/>
      <c r="AU11" s="436"/>
      <c r="AV11" s="436"/>
      <c r="AW11" s="1073">
        <v>0</v>
      </c>
    </row>
    <row r="12" spans="1:49" ht="15" hidden="1" customHeight="1">
      <c r="A12" s="1185"/>
      <c r="B12" s="1185"/>
      <c r="C12" s="1185"/>
      <c r="D12" s="1185"/>
      <c r="E12" s="2483"/>
      <c r="F12" s="2483"/>
      <c r="G12" s="2483"/>
      <c r="H12" s="2483"/>
      <c r="I12" s="2310"/>
      <c r="J12" s="2328"/>
      <c r="K12" s="1185"/>
      <c r="L12" s="1185"/>
      <c r="M12" s="1228"/>
      <c r="N12" s="445"/>
      <c r="O12" s="264"/>
      <c r="Q12" s="2460"/>
      <c r="R12" s="2460"/>
      <c r="S12" s="1249"/>
      <c r="T12" s="292"/>
      <c r="U12" s="1196"/>
      <c r="V12" s="224" t="s">
        <v>408</v>
      </c>
      <c r="W12" s="303"/>
      <c r="X12" s="303"/>
      <c r="Y12" s="303"/>
      <c r="Z12" s="303"/>
      <c r="AA12" s="303"/>
      <c r="AB12" s="303"/>
      <c r="AC12" s="1326"/>
      <c r="AD12" s="1326"/>
      <c r="AE12" s="1326"/>
      <c r="AF12" s="1326"/>
      <c r="AG12" s="303"/>
      <c r="AH12" s="303"/>
      <c r="AI12" s="303"/>
      <c r="AJ12" s="303"/>
      <c r="AK12" s="303"/>
      <c r="AL12" s="303"/>
      <c r="AM12" s="303"/>
      <c r="AN12" s="303"/>
      <c r="AO12" s="303"/>
      <c r="AP12" s="261"/>
      <c r="AQ12" s="2481"/>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2483"/>
      <c r="F13" s="2483"/>
      <c r="G13" s="2483"/>
      <c r="H13" s="2483"/>
      <c r="I13" s="2328"/>
      <c r="J13" s="1185"/>
      <c r="K13" s="1185"/>
      <c r="L13" s="1185"/>
      <c r="M13" s="1228"/>
      <c r="N13" s="445"/>
      <c r="Q13" s="2460"/>
      <c r="R13" s="1249"/>
      <c r="S13" s="1249"/>
      <c r="T13" s="292"/>
      <c r="U13" s="1196"/>
      <c r="V13" s="301" t="s">
        <v>409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3">
        <v>0</v>
      </c>
    </row>
    <row r="14" spans="1:49" ht="14.25" hidden="1" customHeight="1">
      <c r="A14" s="1185"/>
      <c r="B14" s="1185"/>
      <c r="C14" s="1185"/>
      <c r="D14" s="1185"/>
      <c r="E14" s="2483"/>
      <c r="F14" s="2483"/>
      <c r="G14" s="2483"/>
      <c r="H14" s="2482"/>
      <c r="I14" s="1185"/>
      <c r="J14" s="1185"/>
      <c r="K14" s="1185"/>
      <c r="L14" s="1185"/>
      <c r="M14" s="1228"/>
      <c r="N14" s="624"/>
      <c r="O14" s="624"/>
      <c r="P14" s="445"/>
      <c r="Q14" s="296"/>
      <c r="R14" s="311"/>
      <c r="S14" s="291"/>
      <c r="T14" s="29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034" customFormat="1" ht="14.25" hidden="1" customHeight="1">
      <c r="A15" s="1292"/>
      <c r="B15" s="1292"/>
      <c r="C15" s="1292"/>
      <c r="D15" s="1292"/>
      <c r="E15" s="2483"/>
      <c r="F15" s="2483"/>
      <c r="G15" s="2482"/>
      <c r="H15" s="1292"/>
      <c r="I15" s="1292"/>
      <c r="J15" s="1292"/>
      <c r="K15" s="1292"/>
      <c r="L15" s="1292"/>
      <c r="M15" s="1295"/>
      <c r="N15" s="1296"/>
      <c r="O15" s="1296"/>
      <c r="P15" s="287"/>
      <c r="Q15" s="1234"/>
      <c r="R15" s="1235"/>
      <c r="S15" s="1234"/>
      <c r="T15" s="1234"/>
      <c r="U15" s="1236"/>
      <c r="V15" s="1237" t="s">
        <v>411</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034" customFormat="1" ht="14.25" hidden="1" customHeight="1">
      <c r="A16" s="1292"/>
      <c r="B16" s="1292"/>
      <c r="C16" s="1292"/>
      <c r="D16" s="1292"/>
      <c r="E16" s="2483"/>
      <c r="F16" s="2482"/>
      <c r="G16" s="1292"/>
      <c r="H16" s="1292"/>
      <c r="I16" s="1292"/>
      <c r="J16" s="1292"/>
      <c r="K16" s="1292"/>
      <c r="L16" s="1292"/>
      <c r="M16" s="1295"/>
      <c r="N16" s="1297"/>
      <c r="O16" s="1297"/>
      <c r="P16" s="287"/>
      <c r="Q16" s="1234"/>
      <c r="R16" s="1235"/>
      <c r="S16" s="1234"/>
      <c r="T16" s="1234"/>
      <c r="U16" s="1240"/>
      <c r="V16" s="1241" t="s">
        <v>412</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034" customFormat="1" ht="14.25" hidden="1" customHeight="1">
      <c r="A17" s="1292"/>
      <c r="B17" s="1292"/>
      <c r="C17" s="1292"/>
      <c r="D17" s="1292"/>
      <c r="E17" s="2482"/>
      <c r="F17" s="1292"/>
      <c r="G17" s="1292"/>
      <c r="H17" s="1292"/>
      <c r="I17" s="1292"/>
      <c r="J17" s="1292"/>
      <c r="K17" s="1292"/>
      <c r="L17" s="1292"/>
      <c r="M17" s="1295"/>
      <c r="N17" s="1297"/>
      <c r="O17" s="1297"/>
      <c r="P17" s="287"/>
      <c r="Q17" s="1234"/>
      <c r="R17" s="1235"/>
      <c r="S17" s="1234"/>
      <c r="T17" s="1234"/>
      <c r="U17" s="1240"/>
      <c r="V17" s="1243" t="s">
        <v>413</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2454"/>
      <c r="AM19" s="2453" t="s">
        <v>67</v>
      </c>
      <c r="AN19" s="2454"/>
      <c r="AO19" s="2453" t="s">
        <v>67</v>
      </c>
      <c r="AW19" s="1073">
        <v>0</v>
      </c>
    </row>
    <row r="20" spans="1:49" ht="14.25" hidden="1" customHeight="1">
      <c r="AG20" s="1278"/>
      <c r="AH20" s="1278"/>
      <c r="AI20" s="1278"/>
      <c r="AJ20" s="1278"/>
      <c r="AK20" s="1279"/>
      <c r="AL20" s="2454"/>
      <c r="AM20" s="2453"/>
      <c r="AN20" s="2454"/>
      <c r="AO20" s="2453"/>
      <c r="AW20" s="1073">
        <v>0</v>
      </c>
    </row>
    <row r="21" spans="1:49" ht="14.25" hidden="1" customHeight="1">
      <c r="AG21" s="1278"/>
      <c r="AH21" s="1278"/>
      <c r="AI21" s="1278"/>
      <c r="AJ21" s="1278"/>
      <c r="AK21" s="1279"/>
      <c r="AL21" s="2454"/>
      <c r="AM21" s="2453"/>
      <c r="AN21" s="2454"/>
      <c r="AO21" s="2453"/>
      <c r="AW21" s="1073">
        <v>0</v>
      </c>
    </row>
    <row r="22" spans="1:49" ht="14.25" hidden="1" customHeight="1">
      <c r="AG22" s="1278"/>
      <c r="AH22" s="1278"/>
      <c r="AI22" s="1278"/>
      <c r="AJ22" s="1278"/>
      <c r="AK22" s="265" t="str">
        <f>AL19&amp;"-"&amp;AN19</f>
        <v>-</v>
      </c>
      <c r="AL22" s="2453"/>
      <c r="AM22" s="2453"/>
      <c r="AN22" s="2453"/>
      <c r="AO22" s="2453"/>
      <c r="AW22" s="1073">
        <v>0</v>
      </c>
    </row>
    <row r="23" spans="1:49" ht="14.25" hidden="1" customHeight="1">
      <c r="AO23" s="264"/>
      <c r="AW23" s="1073">
        <v>0</v>
      </c>
    </row>
    <row r="24" spans="1:49" s="2056" customFormat="1" ht="22.5" hidden="1" customHeight="1">
      <c r="A24" s="1073"/>
      <c r="B24" s="1073"/>
      <c r="C24" s="1073"/>
      <c r="D24" s="1073"/>
      <c r="E24" s="1073"/>
      <c r="F24" s="1073"/>
      <c r="G24" s="1073"/>
      <c r="H24" s="1073"/>
      <c r="I24" s="1073"/>
      <c r="J24" s="1073"/>
      <c r="K24" s="1073"/>
      <c r="L24" s="1073"/>
      <c r="M24" s="1245"/>
      <c r="N24" s="1246"/>
      <c r="O24" s="1246"/>
      <c r="P24" s="1263" t="s">
        <v>414</v>
      </c>
      <c r="Q24" s="1280"/>
      <c r="R24" s="1289"/>
      <c r="S24" s="1289"/>
      <c r="T24" s="1289"/>
      <c r="U24" s="665"/>
      <c r="AC24" s="1285"/>
      <c r="AE24" s="1285"/>
      <c r="AF24" s="1284"/>
      <c r="AL24" s="1285"/>
      <c r="AN24" s="1285"/>
      <c r="AO24" s="1284"/>
      <c r="AR24" s="447"/>
      <c r="AS24" s="447"/>
      <c r="AT24" s="447"/>
      <c r="AU24" s="447"/>
      <c r="AV24" s="447"/>
      <c r="AW24" s="1078">
        <v>0</v>
      </c>
    </row>
    <row r="25" spans="1:49" s="205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056" customFormat="1" ht="14.25" hidden="1" customHeight="1">
      <c r="A26" s="1073"/>
      <c r="B26" s="1073"/>
      <c r="C26" s="1073"/>
      <c r="D26" s="1073"/>
      <c r="E26" s="1073"/>
      <c r="F26" s="1073"/>
      <c r="G26" s="1073"/>
      <c r="H26" s="1073"/>
      <c r="I26" s="1073"/>
      <c r="J26" s="1073"/>
      <c r="K26" s="1073"/>
      <c r="L26" s="1073"/>
      <c r="M26" s="1245"/>
      <c r="N26" s="1246"/>
      <c r="O26" s="1246"/>
      <c r="P26" s="1228" t="s">
        <v>415</v>
      </c>
      <c r="Q26" s="1280"/>
      <c r="R26" s="1289"/>
      <c r="S26" s="1289"/>
      <c r="T26" s="1289"/>
      <c r="U26" s="665"/>
      <c r="V26" s="1078" t="s">
        <v>416</v>
      </c>
      <c r="AD26" s="123" t="s">
        <v>417</v>
      </c>
      <c r="AF26" s="123" t="s">
        <v>418</v>
      </c>
      <c r="AG26" s="1078" t="s">
        <v>416</v>
      </c>
      <c r="AM26" s="123" t="s">
        <v>419</v>
      </c>
      <c r="AO26" s="123" t="s">
        <v>418</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2"/>
      <c r="S29" s="312"/>
      <c r="T29" s="312"/>
      <c r="U29" s="1193"/>
      <c r="V29" s="299"/>
      <c r="W29" s="299"/>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2"/>
      <c r="S30" s="312"/>
      <c r="T30" s="312"/>
      <c r="U30" s="243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37"/>
      <c r="W30" s="2437"/>
      <c r="X30" s="2437"/>
      <c r="Y30" s="2437"/>
      <c r="Z30" s="2437"/>
      <c r="AA30" s="2437"/>
      <c r="AB30" s="2437"/>
      <c r="AC30" s="2437"/>
      <c r="AD30" s="2437"/>
      <c r="AE30" s="2437"/>
      <c r="AF30" s="2437"/>
      <c r="AG30" s="2437"/>
      <c r="AH30" s="2437"/>
      <c r="AI30" s="2437"/>
      <c r="AJ30" s="2437"/>
      <c r="AK30" s="2437"/>
      <c r="AL30" s="2437"/>
      <c r="AM30" s="2437"/>
      <c r="AN30" s="2437"/>
      <c r="AO30" s="1161"/>
      <c r="AW30" s="1073">
        <v>54</v>
      </c>
    </row>
    <row r="31" spans="1:49" ht="14.65" customHeight="1">
      <c r="R31" s="312"/>
      <c r="S31" s="312"/>
      <c r="T31" s="312"/>
      <c r="U31" s="2409" t="str">
        <f>IF(org=0,"Не определено",org)</f>
        <v>ПАО "ТГК-1" филиал "Невский"</v>
      </c>
      <c r="V31" s="2409"/>
      <c r="W31" s="2409"/>
      <c r="X31" s="2409"/>
      <c r="Y31" s="2409"/>
      <c r="Z31" s="2409"/>
      <c r="AA31" s="2409"/>
      <c r="AB31" s="2409"/>
      <c r="AC31" s="2409"/>
      <c r="AD31" s="2409"/>
      <c r="AE31" s="2409"/>
      <c r="AF31" s="2409"/>
      <c r="AG31" s="2409"/>
      <c r="AH31" s="2409"/>
      <c r="AI31" s="2409"/>
      <c r="AJ31" s="2409"/>
      <c r="AK31" s="2409"/>
      <c r="AL31" s="2409"/>
      <c r="AM31" s="2409"/>
      <c r="AN31" s="2409"/>
      <c r="AO31" s="1161"/>
      <c r="AW31" s="1073">
        <v>14</v>
      </c>
    </row>
    <row r="32" spans="1:49" ht="14.25" hidden="1" customHeight="1">
      <c r="R32" s="312"/>
      <c r="S32" s="312"/>
      <c r="T32" s="312"/>
      <c r="U32" s="1193"/>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098" customFormat="1" ht="25.5" hidden="1" customHeight="1">
      <c r="A33" s="1166"/>
      <c r="B33" s="1166"/>
      <c r="C33" s="1166"/>
      <c r="D33" s="1166"/>
      <c r="E33" s="1166"/>
      <c r="F33" s="1166"/>
      <c r="G33" s="1166"/>
      <c r="H33" s="1166"/>
      <c r="I33" s="1166"/>
      <c r="J33" s="1166"/>
      <c r="K33" s="1166"/>
      <c r="L33" s="1166"/>
      <c r="M33" s="1298"/>
      <c r="N33" s="1166"/>
      <c r="O33" s="1166"/>
      <c r="P33" s="1166"/>
      <c r="U33" s="2447" t="s">
        <v>43</v>
      </c>
      <c r="V33" s="2447"/>
      <c r="W33" s="1290"/>
      <c r="X33" s="2449" t="str">
        <f>IF(TITLE_NAME_OR_PR_CHANGE="",IF(TITLE_NAME_OR_PR="","",TITLE_NAME_OR_PR),TITLE_NAME_OR_PR_CHANGE)</f>
        <v/>
      </c>
      <c r="Y33" s="2449"/>
      <c r="Z33" s="2449"/>
      <c r="AA33" s="2449"/>
      <c r="AB33" s="2449"/>
      <c r="AC33" s="2449"/>
      <c r="AD33" s="2449"/>
      <c r="AE33" s="2449"/>
      <c r="AF33" s="263"/>
      <c r="AG33" s="2449" t="str">
        <f>IF(TITLE_NAME_OR_PR_CHANGE="",IF(TITLE_NAME_OR_PR="","",TITLE_NAME_OR_PR),TITLE_NAME_OR_PR_CHANGE)</f>
        <v/>
      </c>
      <c r="AH33" s="2449"/>
      <c r="AI33" s="2449"/>
      <c r="AJ33" s="2449"/>
      <c r="AK33" s="2449"/>
      <c r="AL33" s="2449"/>
      <c r="AM33" s="2449"/>
      <c r="AN33" s="2449"/>
      <c r="AO33" s="263"/>
      <c r="AP33" s="263"/>
      <c r="AQ33" s="217"/>
      <c r="AR33" s="304"/>
      <c r="AS33" s="304"/>
      <c r="AT33" s="304"/>
      <c r="AU33" s="304"/>
      <c r="AV33" s="304"/>
      <c r="AW33" s="354">
        <v>0</v>
      </c>
    </row>
    <row r="34" spans="1:49" s="2098" customFormat="1" ht="18.75" hidden="1" customHeight="1">
      <c r="A34" s="1166"/>
      <c r="B34" s="1166"/>
      <c r="C34" s="1166"/>
      <c r="D34" s="1166"/>
      <c r="E34" s="1166"/>
      <c r="F34" s="1166"/>
      <c r="G34" s="1166"/>
      <c r="H34" s="1166"/>
      <c r="I34" s="1166"/>
      <c r="J34" s="1166"/>
      <c r="K34" s="1166"/>
      <c r="L34" s="1166"/>
      <c r="M34" s="1298"/>
      <c r="N34" s="1166"/>
      <c r="O34" s="1166"/>
      <c r="P34" s="1166"/>
      <c r="U34" s="2447" t="s">
        <v>420</v>
      </c>
      <c r="V34" s="2447"/>
      <c r="W34" s="1290"/>
      <c r="X34" s="2448" t="str">
        <f>IF(TITLE_DATE_PR_CHANGE="",IF(TITLE_DATE_PR="","",TITLE_DATE_PR),TITLE_DATE_PR_CHANGE)</f>
        <v/>
      </c>
      <c r="Y34" s="2448"/>
      <c r="Z34" s="2448"/>
      <c r="AA34" s="2448"/>
      <c r="AB34" s="2448"/>
      <c r="AC34" s="2448"/>
      <c r="AD34" s="2448"/>
      <c r="AE34" s="2448"/>
      <c r="AF34" s="263"/>
      <c r="AG34" s="2448" t="str">
        <f>IF(TITLE_DATE_PR_CHANGE="",IF(TITLE_DATE_PR="","",TITLE_DATE_PR),TITLE_DATE_PR_CHANGE)</f>
        <v/>
      </c>
      <c r="AH34" s="2448"/>
      <c r="AI34" s="2448"/>
      <c r="AJ34" s="2448"/>
      <c r="AK34" s="2448"/>
      <c r="AL34" s="2448"/>
      <c r="AM34" s="2448"/>
      <c r="AN34" s="2448"/>
      <c r="AO34" s="263"/>
      <c r="AP34" s="263"/>
      <c r="AQ34" s="217"/>
      <c r="AR34" s="304"/>
      <c r="AS34" s="304"/>
      <c r="AT34" s="304"/>
      <c r="AU34" s="304"/>
      <c r="AV34" s="304"/>
      <c r="AW34" s="354">
        <v>0</v>
      </c>
    </row>
    <row r="35" spans="1:49" s="2098" customFormat="1" ht="18.75" hidden="1" customHeight="1">
      <c r="A35" s="1166"/>
      <c r="B35" s="1166"/>
      <c r="C35" s="1166"/>
      <c r="D35" s="1166"/>
      <c r="E35" s="1166"/>
      <c r="F35" s="1166"/>
      <c r="G35" s="1166"/>
      <c r="H35" s="1166"/>
      <c r="I35" s="1166"/>
      <c r="J35" s="1166"/>
      <c r="K35" s="1166"/>
      <c r="L35" s="1166"/>
      <c r="M35" s="1298"/>
      <c r="N35" s="1166"/>
      <c r="O35" s="1166"/>
      <c r="P35" s="1166"/>
      <c r="U35" s="2447" t="s">
        <v>421</v>
      </c>
      <c r="V35" s="2447"/>
      <c r="W35" s="1290"/>
      <c r="X35" s="2449" t="str">
        <f>IF(TITLE_NUMBER_PR_CHANGE="",IF(TITLE_NUMBER_PR="","",TITLE_NUMBER_PR),TITLE_NUMBER_PR_CHANGE)</f>
        <v/>
      </c>
      <c r="Y35" s="2449"/>
      <c r="Z35" s="2449"/>
      <c r="AA35" s="2449"/>
      <c r="AB35" s="2449"/>
      <c r="AC35" s="2449"/>
      <c r="AD35" s="2449"/>
      <c r="AE35" s="2449"/>
      <c r="AF35" s="263"/>
      <c r="AG35" s="2449" t="str">
        <f>IF(TITLE_NUMBER_PR_CHANGE="",IF(TITLE_NUMBER_PR="","",TITLE_NUMBER_PR),TITLE_NUMBER_PR_CHANGE)</f>
        <v/>
      </c>
      <c r="AH35" s="2449"/>
      <c r="AI35" s="2449"/>
      <c r="AJ35" s="2449"/>
      <c r="AK35" s="2449"/>
      <c r="AL35" s="2449"/>
      <c r="AM35" s="2449"/>
      <c r="AN35" s="2449"/>
      <c r="AO35" s="263"/>
      <c r="AP35" s="263"/>
      <c r="AQ35" s="217"/>
      <c r="AR35" s="304"/>
      <c r="AS35" s="304"/>
      <c r="AT35" s="304"/>
      <c r="AU35" s="304"/>
      <c r="AV35" s="304"/>
      <c r="AW35" s="354">
        <v>0</v>
      </c>
    </row>
    <row r="36" spans="1:49" s="2098" customFormat="1" ht="18.75" hidden="1" customHeight="1">
      <c r="A36" s="1166"/>
      <c r="B36" s="1166"/>
      <c r="C36" s="1166"/>
      <c r="D36" s="1166"/>
      <c r="E36" s="1166"/>
      <c r="F36" s="1166"/>
      <c r="G36" s="1166"/>
      <c r="H36" s="1166"/>
      <c r="I36" s="1166"/>
      <c r="J36" s="1166"/>
      <c r="K36" s="1166"/>
      <c r="L36" s="1166"/>
      <c r="M36" s="1298"/>
      <c r="N36" s="1166"/>
      <c r="O36" s="1166"/>
      <c r="P36" s="1166"/>
      <c r="U36" s="2447" t="s">
        <v>44</v>
      </c>
      <c r="V36" s="2447"/>
      <c r="W36" s="1290"/>
      <c r="X36" s="2449" t="str">
        <f>IF(TITLE_IST_PUB_CHANGE="",IF(TITLE_IST_PUB="","",TITLE_IST_PUB),TITLE_IST_PUB_CHANGE)</f>
        <v/>
      </c>
      <c r="Y36" s="2449"/>
      <c r="Z36" s="2449"/>
      <c r="AA36" s="2449"/>
      <c r="AB36" s="2449"/>
      <c r="AC36" s="2449"/>
      <c r="AD36" s="2449"/>
      <c r="AE36" s="2449"/>
      <c r="AF36" s="263"/>
      <c r="AG36" s="2449" t="str">
        <f>IF(TITLE_IST_PUB_CHANGE="",IF(TITLE_IST_PUB="","",TITLE_IST_PUB),TITLE_IST_PUB_CHANGE)</f>
        <v/>
      </c>
      <c r="AH36" s="2449"/>
      <c r="AI36" s="2449"/>
      <c r="AJ36" s="2449"/>
      <c r="AK36" s="2449"/>
      <c r="AL36" s="2449"/>
      <c r="AM36" s="2449"/>
      <c r="AN36" s="2449"/>
      <c r="AO36" s="263"/>
      <c r="AP36" s="263"/>
      <c r="AQ36" s="217"/>
      <c r="AR36" s="304"/>
      <c r="AS36" s="304"/>
      <c r="AT36" s="304"/>
      <c r="AU36" s="304"/>
      <c r="AV36" s="304"/>
      <c r="AW36" s="354">
        <v>0</v>
      </c>
    </row>
    <row r="37" spans="1:49" ht="14.25" hidden="1" customHeight="1">
      <c r="R37" s="312"/>
      <c r="S37" s="312"/>
      <c r="T37" s="312"/>
      <c r="U37" s="1193"/>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098" customFormat="1" ht="18.75" hidden="1" customHeight="1">
      <c r="A38" s="1166"/>
      <c r="B38" s="1166"/>
      <c r="C38" s="1166"/>
      <c r="D38" s="1166"/>
      <c r="E38" s="1166"/>
      <c r="F38" s="1166"/>
      <c r="G38" s="1166"/>
      <c r="H38" s="1166"/>
      <c r="I38" s="1166"/>
      <c r="J38" s="1166"/>
      <c r="K38" s="1166"/>
      <c r="L38" s="1166"/>
      <c r="M38" s="1298"/>
      <c r="N38" s="1166"/>
      <c r="O38" s="1166"/>
      <c r="P38" s="1166"/>
      <c r="U38" s="2447" t="s">
        <v>422</v>
      </c>
      <c r="V38" s="2447"/>
      <c r="W38" s="1290"/>
      <c r="X38" s="2448" t="str">
        <f>IF(TITLE_DATE_PR_CHANGE="",IF(TITLE_DATE_PR="","",TITLE_DATE_PR),TITLE_DATE_PR_CHANGE)</f>
        <v/>
      </c>
      <c r="Y38" s="2448"/>
      <c r="Z38" s="2448"/>
      <c r="AA38" s="2448"/>
      <c r="AB38" s="2448"/>
      <c r="AC38" s="2448"/>
      <c r="AD38" s="2448"/>
      <c r="AE38" s="2448"/>
      <c r="AF38" s="263"/>
      <c r="AG38" s="2448" t="str">
        <f>IF(TITLE_DATE_PR_CHANGE="",IF(TITLE_DATE_PR="","",TITLE_DATE_PR),TITLE_DATE_PR_CHANGE)</f>
        <v/>
      </c>
      <c r="AH38" s="2448"/>
      <c r="AI38" s="2448"/>
      <c r="AJ38" s="2448"/>
      <c r="AK38" s="2448"/>
      <c r="AL38" s="2448"/>
      <c r="AM38" s="2448"/>
      <c r="AN38" s="2448"/>
      <c r="AO38" s="263"/>
      <c r="AP38" s="263"/>
      <c r="AQ38" s="217"/>
      <c r="AR38" s="304"/>
      <c r="AS38" s="304"/>
      <c r="AT38" s="304"/>
      <c r="AU38" s="304"/>
      <c r="AV38" s="304"/>
      <c r="AW38" s="354">
        <v>0</v>
      </c>
    </row>
    <row r="39" spans="1:49" s="2098" customFormat="1" ht="18.75" hidden="1" customHeight="1">
      <c r="A39" s="1166"/>
      <c r="B39" s="1166"/>
      <c r="C39" s="1166"/>
      <c r="D39" s="1166"/>
      <c r="E39" s="1166"/>
      <c r="F39" s="1166"/>
      <c r="G39" s="1166"/>
      <c r="H39" s="1166"/>
      <c r="I39" s="1166"/>
      <c r="J39" s="1166"/>
      <c r="K39" s="1166"/>
      <c r="L39" s="1166"/>
      <c r="M39" s="1298"/>
      <c r="N39" s="1166"/>
      <c r="O39" s="1166"/>
      <c r="P39" s="1166"/>
      <c r="U39" s="2447" t="s">
        <v>423</v>
      </c>
      <c r="V39" s="2447"/>
      <c r="W39" s="1290"/>
      <c r="X39" s="2449" t="str">
        <f>IF(TITLE_NUMBER_PR_CHANGE="",IF(TITLE_NUMBER_PR="","",TITLE_NUMBER_PR),TITLE_NUMBER_PR_CHANGE)</f>
        <v/>
      </c>
      <c r="Y39" s="2449"/>
      <c r="Z39" s="2449"/>
      <c r="AA39" s="2449"/>
      <c r="AB39" s="2449"/>
      <c r="AC39" s="2449"/>
      <c r="AD39" s="2449"/>
      <c r="AE39" s="2449"/>
      <c r="AF39" s="263"/>
      <c r="AG39" s="2449" t="str">
        <f>IF(TITLE_NUMBER_PR_CHANGE="",IF(TITLE_NUMBER_PR="","",TITLE_NUMBER_PR),TITLE_NUMBER_PR_CHANGE)</f>
        <v/>
      </c>
      <c r="AH39" s="2449"/>
      <c r="AI39" s="2449"/>
      <c r="AJ39" s="2449"/>
      <c r="AK39" s="2449"/>
      <c r="AL39" s="2449"/>
      <c r="AM39" s="2449"/>
      <c r="AN39" s="2449"/>
      <c r="AO39" s="263"/>
      <c r="AP39" s="263"/>
      <c r="AQ39" s="217"/>
      <c r="AR39" s="304"/>
      <c r="AS39" s="304"/>
      <c r="AT39" s="304"/>
      <c r="AU39" s="304"/>
      <c r="AV39" s="304"/>
      <c r="AW39" s="354">
        <v>0</v>
      </c>
    </row>
    <row r="40" spans="1:49" s="2098"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424</v>
      </c>
      <c r="AG40" s="263"/>
      <c r="AH40" s="263"/>
      <c r="AI40" s="263"/>
      <c r="AJ40" s="263"/>
      <c r="AK40" s="263"/>
      <c r="AL40" s="263"/>
      <c r="AM40" s="263"/>
      <c r="AN40" s="263"/>
      <c r="AO40" s="215" t="s">
        <v>424</v>
      </c>
      <c r="AR40" s="304"/>
      <c r="AS40" s="304"/>
      <c r="AT40" s="304"/>
      <c r="AU40" s="304"/>
      <c r="AV40" s="304"/>
      <c r="AW40" s="354">
        <v>0</v>
      </c>
    </row>
    <row r="41" spans="1:49" ht="14.65" customHeight="1">
      <c r="R41" s="312"/>
      <c r="S41" s="312"/>
      <c r="T41" s="312"/>
      <c r="U41" s="1193"/>
      <c r="V41" s="299"/>
      <c r="W41" s="1162"/>
      <c r="X41" s="2468"/>
      <c r="Y41" s="2468"/>
      <c r="Z41" s="2468"/>
      <c r="AA41" s="2468"/>
      <c r="AB41" s="2468"/>
      <c r="AC41" s="2468"/>
      <c r="AD41" s="2468"/>
      <c r="AE41" s="2468"/>
      <c r="AF41" s="2468"/>
      <c r="AG41" s="2468"/>
      <c r="AH41" s="2468"/>
      <c r="AI41" s="2468"/>
      <c r="AJ41" s="2468"/>
      <c r="AK41" s="2468"/>
      <c r="AL41" s="2468"/>
      <c r="AM41" s="2468"/>
      <c r="AN41" s="2468"/>
      <c r="AO41" s="2468"/>
      <c r="AW41" s="1073">
        <v>14</v>
      </c>
    </row>
    <row r="42" spans="1:49" ht="14.65" customHeight="1">
      <c r="R42" s="312"/>
      <c r="S42" s="312"/>
      <c r="T42" s="312"/>
      <c r="U42" s="2328" t="s">
        <v>297</v>
      </c>
      <c r="V42" s="2328"/>
      <c r="W42" s="2328"/>
      <c r="X42" s="2328"/>
      <c r="Y42" s="2328"/>
      <c r="Z42" s="2328"/>
      <c r="AA42" s="2328"/>
      <c r="AB42" s="2328"/>
      <c r="AC42" s="2328"/>
      <c r="AD42" s="2328"/>
      <c r="AE42" s="2328"/>
      <c r="AF42" s="2328"/>
      <c r="AG42" s="2328"/>
      <c r="AH42" s="2328"/>
      <c r="AI42" s="2328"/>
      <c r="AJ42" s="2328"/>
      <c r="AK42" s="2328"/>
      <c r="AL42" s="2328"/>
      <c r="AM42" s="2328"/>
      <c r="AN42" s="2328"/>
      <c r="AO42" s="2328"/>
      <c r="AP42" s="2328"/>
      <c r="AQ42" s="2328" t="s">
        <v>298</v>
      </c>
      <c r="AW42" s="1073">
        <v>14</v>
      </c>
    </row>
    <row r="43" spans="1:49" ht="14.65" customHeight="1">
      <c r="R43" s="312"/>
      <c r="S43" s="312"/>
      <c r="T43" s="312"/>
      <c r="U43" s="2469" t="s">
        <v>90</v>
      </c>
      <c r="V43" s="2417" t="s">
        <v>425</v>
      </c>
      <c r="W43" s="238"/>
      <c r="X43" s="2470" t="s">
        <v>426</v>
      </c>
      <c r="Y43" s="2486"/>
      <c r="Z43" s="2486"/>
      <c r="AA43" s="2486"/>
      <c r="AB43" s="2486"/>
      <c r="AC43" s="2471"/>
      <c r="AD43" s="2471"/>
      <c r="AE43" s="2472"/>
      <c r="AF43" s="2473" t="s">
        <v>427</v>
      </c>
      <c r="AG43" s="2470" t="s">
        <v>426</v>
      </c>
      <c r="AH43" s="2486"/>
      <c r="AI43" s="2486"/>
      <c r="AJ43" s="2486"/>
      <c r="AK43" s="2486"/>
      <c r="AL43" s="2471"/>
      <c r="AM43" s="2471"/>
      <c r="AN43" s="2472"/>
      <c r="AO43" s="2473" t="s">
        <v>428</v>
      </c>
      <c r="AP43" s="2476" t="s">
        <v>429</v>
      </c>
      <c r="AQ43" s="2328"/>
      <c r="AW43" s="1073">
        <v>14</v>
      </c>
    </row>
    <row r="44" spans="1:49" ht="35.65" customHeight="1">
      <c r="R44" s="312"/>
      <c r="S44" s="312"/>
      <c r="T44" s="312"/>
      <c r="U44" s="2469"/>
      <c r="V44" s="2417"/>
      <c r="W44" s="954"/>
      <c r="X44" s="2388" t="s">
        <v>452</v>
      </c>
      <c r="Y44" s="2328" t="s">
        <v>453</v>
      </c>
      <c r="Z44" s="2328"/>
      <c r="AA44" s="2328"/>
      <c r="AB44" s="2328"/>
      <c r="AC44" s="2388" t="s">
        <v>433</v>
      </c>
      <c r="AD44" s="2498"/>
      <c r="AE44" s="2389"/>
      <c r="AF44" s="2474"/>
      <c r="AG44" s="2388" t="s">
        <v>452</v>
      </c>
      <c r="AH44" s="2328" t="s">
        <v>453</v>
      </c>
      <c r="AI44" s="2328"/>
      <c r="AJ44" s="2328"/>
      <c r="AK44" s="2328"/>
      <c r="AL44" s="2388" t="s">
        <v>433</v>
      </c>
      <c r="AM44" s="2498"/>
      <c r="AN44" s="2389"/>
      <c r="AO44" s="2474"/>
      <c r="AP44" s="2477"/>
      <c r="AQ44" s="2328"/>
      <c r="AW44" s="1073">
        <v>34</v>
      </c>
    </row>
    <row r="45" spans="1:49" ht="14.65" customHeight="1">
      <c r="R45" s="312"/>
      <c r="S45" s="312"/>
      <c r="T45" s="312"/>
      <c r="U45" s="2469"/>
      <c r="V45" s="2417"/>
      <c r="W45" s="954"/>
      <c r="X45" s="2390"/>
      <c r="Y45" s="2423" t="s">
        <v>454</v>
      </c>
      <c r="Z45" s="2422" t="s">
        <v>455</v>
      </c>
      <c r="AA45" s="2435"/>
      <c r="AB45" s="2436"/>
      <c r="AC45" s="2393"/>
      <c r="AD45" s="2499"/>
      <c r="AE45" s="2394"/>
      <c r="AF45" s="2474"/>
      <c r="AG45" s="2390"/>
      <c r="AH45" s="2423" t="s">
        <v>454</v>
      </c>
      <c r="AI45" s="2422" t="s">
        <v>455</v>
      </c>
      <c r="AJ45" s="2435"/>
      <c r="AK45" s="2436"/>
      <c r="AL45" s="2393"/>
      <c r="AM45" s="2499"/>
      <c r="AN45" s="2394"/>
      <c r="AO45" s="2474"/>
      <c r="AP45" s="2477"/>
      <c r="AQ45" s="2328"/>
      <c r="AW45" s="1073">
        <v>14</v>
      </c>
    </row>
    <row r="46" spans="1:49" ht="27.4" customHeight="1">
      <c r="R46" s="312"/>
      <c r="S46" s="312"/>
      <c r="T46" s="312"/>
      <c r="U46" s="2469"/>
      <c r="V46" s="2417"/>
      <c r="W46" s="954"/>
      <c r="X46" s="2390"/>
      <c r="Y46" s="2497"/>
      <c r="Z46" s="2423" t="s">
        <v>456</v>
      </c>
      <c r="AA46" s="2422" t="s">
        <v>457</v>
      </c>
      <c r="AB46" s="2436"/>
      <c r="AC46" s="2423" t="s">
        <v>443</v>
      </c>
      <c r="AD46" s="2427" t="s">
        <v>444</v>
      </c>
      <c r="AE46" s="2425"/>
      <c r="AF46" s="2474"/>
      <c r="AG46" s="2390"/>
      <c r="AH46" s="2497"/>
      <c r="AI46" s="2423" t="s">
        <v>456</v>
      </c>
      <c r="AJ46" s="2422" t="s">
        <v>457</v>
      </c>
      <c r="AK46" s="2436"/>
      <c r="AL46" s="2423" t="s">
        <v>443</v>
      </c>
      <c r="AM46" s="2427" t="s">
        <v>444</v>
      </c>
      <c r="AN46" s="2425"/>
      <c r="AO46" s="2474"/>
      <c r="AP46" s="2477"/>
      <c r="AQ46" s="2328"/>
      <c r="AW46" s="1073">
        <v>26</v>
      </c>
    </row>
    <row r="47" spans="1:49" ht="65.25" customHeight="1">
      <c r="A47" s="1177"/>
      <c r="B47" s="1177" t="s">
        <v>134</v>
      </c>
      <c r="C47" s="1177" t="s">
        <v>135</v>
      </c>
      <c r="D47" s="1177" t="s">
        <v>136</v>
      </c>
      <c r="E47" s="1228" t="s">
        <v>434</v>
      </c>
      <c r="F47" s="1228" t="s">
        <v>435</v>
      </c>
      <c r="G47" s="1228" t="s">
        <v>436</v>
      </c>
      <c r="H47" s="1228" t="s">
        <v>437</v>
      </c>
      <c r="I47" s="1228" t="s">
        <v>438</v>
      </c>
      <c r="J47" s="1228" t="s">
        <v>439</v>
      </c>
      <c r="K47" s="1228" t="s">
        <v>440</v>
      </c>
      <c r="L47" s="1228" t="s">
        <v>458</v>
      </c>
      <c r="M47" s="1228" t="s">
        <v>415</v>
      </c>
      <c r="R47" s="312"/>
      <c r="S47" s="312"/>
      <c r="T47" s="312"/>
      <c r="U47" s="2469"/>
      <c r="V47" s="2417"/>
      <c r="W47" s="239"/>
      <c r="X47" s="2393"/>
      <c r="Y47" s="2424"/>
      <c r="Z47" s="2424"/>
      <c r="AA47" s="1140" t="s">
        <v>459</v>
      </c>
      <c r="AB47" s="1140" t="s">
        <v>460</v>
      </c>
      <c r="AC47" s="2424"/>
      <c r="AD47" s="2428"/>
      <c r="AE47" s="2426"/>
      <c r="AF47" s="2475"/>
      <c r="AG47" s="2393"/>
      <c r="AH47" s="2424"/>
      <c r="AI47" s="2424"/>
      <c r="AJ47" s="1140" t="s">
        <v>459</v>
      </c>
      <c r="AK47" s="1140" t="s">
        <v>460</v>
      </c>
      <c r="AL47" s="2424"/>
      <c r="AM47" s="2428"/>
      <c r="AN47" s="2426"/>
      <c r="AO47" s="2475"/>
      <c r="AP47" s="2478"/>
      <c r="AQ47" s="2328"/>
      <c r="AW47" s="1073">
        <v>62</v>
      </c>
    </row>
    <row r="48" spans="1:49" s="202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108</v>
      </c>
      <c r="V48" s="1173" t="s">
        <v>109</v>
      </c>
      <c r="W48" s="1163" t="str">
        <f ca="1">OFFSET(W48,0,-1)</f>
        <v>2</v>
      </c>
      <c r="X48" s="1253">
        <f ca="1">OFFSET(X48,0,-1)+1</f>
        <v>3</v>
      </c>
      <c r="Y48" s="1259"/>
      <c r="Z48" s="1259"/>
      <c r="AA48" s="1259">
        <f ca="1">OFFSET(AA48,0,-1)+1</f>
        <v>1</v>
      </c>
      <c r="AB48" s="1259">
        <f ca="1">OFFSET(AB48,0,-1)+1</f>
        <v>2</v>
      </c>
      <c r="AC48" s="1253">
        <f ca="1">OFFSET(AC48,0,-1)+1</f>
        <v>3</v>
      </c>
      <c r="AD48" s="2467">
        <f ca="1">OFFSET(AD48,0,-1)+1</f>
        <v>4</v>
      </c>
      <c r="AE48" s="2467"/>
      <c r="AF48" s="1253">
        <f ca="1">OFFSET(AF48,0,-2)+1</f>
        <v>5</v>
      </c>
      <c r="AG48" s="1253">
        <f ca="1">OFFSET(AG48,0,-1)+1</f>
        <v>6</v>
      </c>
      <c r="AH48" s="1253"/>
      <c r="AI48" s="1253"/>
      <c r="AJ48" s="1253">
        <f ca="1">OFFSET(AJ48,0,-1)+1</f>
        <v>1</v>
      </c>
      <c r="AK48" s="1253">
        <f ca="1">OFFSET(AK48,0,-1)+1</f>
        <v>2</v>
      </c>
      <c r="AL48" s="1253">
        <f ca="1">OFFSET(AL48,0,-1)+1</f>
        <v>3</v>
      </c>
      <c r="AM48" s="2467">
        <f ca="1">OFFSET(AM48,0,-1)+1</f>
        <v>4</v>
      </c>
      <c r="AN48" s="2467"/>
      <c r="AO48" s="1253">
        <f ca="1">OFFSET(AO48,0,-2)+1</f>
        <v>5</v>
      </c>
      <c r="AP48" s="1163">
        <f ca="1">OFFSET(AP48,0,-1)</f>
        <v>5</v>
      </c>
      <c r="AQ48" s="1253">
        <f ca="1">OFFSET(AQ48,0,-1)+1</f>
        <v>6</v>
      </c>
      <c r="AR48" s="447"/>
      <c r="AS48" s="447"/>
      <c r="AT48" s="447"/>
      <c r="AU48" s="447"/>
      <c r="AV48" s="447"/>
      <c r="AW48" s="432">
        <v>0</v>
      </c>
    </row>
    <row r="49" spans="1:49" ht="21.95" customHeight="1">
      <c r="A49" s="1185" t="s">
        <v>173</v>
      </c>
      <c r="B49" s="1185"/>
      <c r="C49" s="1185"/>
      <c r="D49" s="1185"/>
      <c r="E49" s="2482">
        <v>1</v>
      </c>
      <c r="F49" s="1185"/>
      <c r="G49" s="1185"/>
      <c r="H49" s="1185"/>
      <c r="I49" s="1185"/>
      <c r="J49" s="1185"/>
      <c r="K49" s="1185"/>
      <c r="L49" s="1185"/>
      <c r="M49" s="1228"/>
      <c r="N49" s="624"/>
      <c r="O49" s="624"/>
      <c r="P49" s="624"/>
      <c r="Q49" s="297"/>
      <c r="R49" s="296"/>
      <c r="S49" s="296"/>
      <c r="T49" s="291"/>
      <c r="U49" s="1254">
        <f>INDEX(PT_DIFFERENTIATION_NUM_NTAR,MATCH(A49,PT_DIFFERENTIATION_NTAR_ID,0))</f>
        <v>0</v>
      </c>
      <c r="V49" s="235" t="s">
        <v>122</v>
      </c>
      <c r="W49" s="237"/>
      <c r="X49" s="2450"/>
      <c r="Y49" s="2451"/>
      <c r="Z49" s="2451"/>
      <c r="AA49" s="2451"/>
      <c r="AB49" s="2451"/>
      <c r="AC49" s="2451"/>
      <c r="AD49" s="2451"/>
      <c r="AE49" s="2451"/>
      <c r="AF49" s="2452"/>
      <c r="AG49" s="2450" t="str">
        <f>INDEX(PT_DIFFERENTIATION_NTAR,MATCH(A49,PT_DIFFERENTIATION_NTAR_ID,0))</f>
        <v/>
      </c>
      <c r="AH49" s="2451"/>
      <c r="AI49" s="2451"/>
      <c r="AJ49" s="2451"/>
      <c r="AK49" s="2451"/>
      <c r="AL49" s="2451"/>
      <c r="AM49" s="2451"/>
      <c r="AN49" s="2451"/>
      <c r="AO49" s="2451"/>
      <c r="AP49" s="2452"/>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173</v>
      </c>
      <c r="B50" s="1185" t="s">
        <v>174</v>
      </c>
      <c r="C50" s="1185"/>
      <c r="D50" s="1185"/>
      <c r="E50" s="2483"/>
      <c r="F50" s="2482">
        <v>1</v>
      </c>
      <c r="G50" s="1185"/>
      <c r="H50" s="1185"/>
      <c r="I50" s="1185"/>
      <c r="J50" s="1185"/>
      <c r="K50" s="1185"/>
      <c r="L50" s="1185"/>
      <c r="M50" s="1228"/>
      <c r="N50" s="624"/>
      <c r="O50" s="624"/>
      <c r="P50" s="624"/>
      <c r="Q50" s="1250"/>
      <c r="R50" s="288"/>
      <c r="S50" s="445"/>
      <c r="T50" s="289"/>
      <c r="U50" s="1254" t="str">
        <f>INDEX(PT_DIFFERENTIATION_NUM_TER,MATCH(B50,PT_DIFFERENTIATION_TER_ID,0))</f>
        <v>.</v>
      </c>
      <c r="V50" s="245" t="s">
        <v>394</v>
      </c>
      <c r="W50" s="237"/>
      <c r="X50" s="2450"/>
      <c r="Y50" s="2451"/>
      <c r="Z50" s="2451"/>
      <c r="AA50" s="2451"/>
      <c r="AB50" s="2451"/>
      <c r="AC50" s="2451"/>
      <c r="AD50" s="2451"/>
      <c r="AE50" s="2451"/>
      <c r="AF50" s="2452"/>
      <c r="AG50" s="2450" t="str">
        <f>INDEX(PT_DIFFERENTIATION_TER,MATCH(B50,PT_DIFFERENTIATION_TER_ID,0))</f>
        <v/>
      </c>
      <c r="AH50" s="2451"/>
      <c r="AI50" s="2451"/>
      <c r="AJ50" s="2451"/>
      <c r="AK50" s="2451"/>
      <c r="AL50" s="2451"/>
      <c r="AM50" s="2451"/>
      <c r="AN50" s="2451"/>
      <c r="AO50" s="2451"/>
      <c r="AP50" s="2452"/>
      <c r="AQ50" s="1176" t="s">
        <v>395</v>
      </c>
      <c r="AS50" s="436"/>
      <c r="AT50" s="436" t="str">
        <f t="shared" si="2"/>
        <v>Территория действия тарифа</v>
      </c>
      <c r="AU50" s="436"/>
      <c r="AV50" s="436"/>
      <c r="AW50" s="1073">
        <v>21</v>
      </c>
    </row>
    <row r="51" spans="1:49" ht="24" customHeight="1">
      <c r="A51" s="1185" t="s">
        <v>173</v>
      </c>
      <c r="B51" s="1185" t="s">
        <v>174</v>
      </c>
      <c r="C51" s="1185" t="s">
        <v>175</v>
      </c>
      <c r="D51" s="1185"/>
      <c r="E51" s="2483"/>
      <c r="F51" s="2483"/>
      <c r="G51" s="2482">
        <v>1</v>
      </c>
      <c r="H51" s="1185"/>
      <c r="I51" s="1185"/>
      <c r="J51" s="1185"/>
      <c r="K51" s="1185"/>
      <c r="L51" s="1185"/>
      <c r="M51" s="1228"/>
      <c r="N51" s="624"/>
      <c r="O51" s="624"/>
      <c r="P51" s="624"/>
      <c r="Q51" s="290"/>
      <c r="R51" s="288"/>
      <c r="S51" s="445"/>
      <c r="T51" s="289"/>
      <c r="U51" s="1254" t="str">
        <f>INDEX(PT_DIFFERENTIATION_NUM_CS,MATCH(C51,PT_DIFFERENTIATION_CS_ID,0))</f>
        <v>..</v>
      </c>
      <c r="V51" s="246" t="s">
        <v>396</v>
      </c>
      <c r="W51" s="237"/>
      <c r="X51" s="2450"/>
      <c r="Y51" s="2451"/>
      <c r="Z51" s="2451"/>
      <c r="AA51" s="2451"/>
      <c r="AB51" s="2451"/>
      <c r="AC51" s="2451"/>
      <c r="AD51" s="2451"/>
      <c r="AE51" s="2451"/>
      <c r="AF51" s="2452"/>
      <c r="AG51" s="2450" t="str">
        <f>INDEX(PT_DIFFERENTIATION_CS,MATCH(C51,PT_DIFFERENTIATION_CS_ID,0))</f>
        <v/>
      </c>
      <c r="AH51" s="2451"/>
      <c r="AI51" s="2451"/>
      <c r="AJ51" s="2451"/>
      <c r="AK51" s="2451"/>
      <c r="AL51" s="2451"/>
      <c r="AM51" s="2451"/>
      <c r="AN51" s="2451"/>
      <c r="AO51" s="2451"/>
      <c r="AP51" s="2452"/>
      <c r="AQ51" s="1176" t="s">
        <v>397</v>
      </c>
      <c r="AS51" s="436"/>
      <c r="AT51" s="436" t="str">
        <f t="shared" si="2"/>
        <v xml:space="preserve">Наименование системы теплоснабжения </v>
      </c>
      <c r="AU51" s="436"/>
      <c r="AV51" s="436"/>
      <c r="AW51" s="1073">
        <v>23</v>
      </c>
    </row>
    <row r="52" spans="1:49" ht="21.95" customHeight="1">
      <c r="A52" s="1185" t="s">
        <v>173</v>
      </c>
      <c r="B52" s="1185" t="s">
        <v>174</v>
      </c>
      <c r="C52" s="1185" t="s">
        <v>175</v>
      </c>
      <c r="D52" s="1185" t="s">
        <v>176</v>
      </c>
      <c r="E52" s="2483"/>
      <c r="F52" s="2483"/>
      <c r="G52" s="2483"/>
      <c r="H52" s="2482">
        <v>1</v>
      </c>
      <c r="I52" s="1185"/>
      <c r="J52" s="1185"/>
      <c r="K52" s="1185"/>
      <c r="L52" s="1185"/>
      <c r="M52" s="1228"/>
      <c r="N52" s="624"/>
      <c r="O52" s="624"/>
      <c r="P52" s="624"/>
      <c r="Q52" s="290"/>
      <c r="R52" s="288"/>
      <c r="S52" s="445"/>
      <c r="T52" s="289"/>
      <c r="U52" s="1254" t="str">
        <f>INDEX(PT_DIFFERENTIATION_NUM_IST_TE,MATCH(D52,PT_DIFFERENTIATION_IST_TE_ID,0))</f>
        <v>...</v>
      </c>
      <c r="V52" s="247" t="s">
        <v>398</v>
      </c>
      <c r="W52" s="237"/>
      <c r="X52" s="2450"/>
      <c r="Y52" s="2451"/>
      <c r="Z52" s="2451"/>
      <c r="AA52" s="2451"/>
      <c r="AB52" s="2451"/>
      <c r="AC52" s="2451"/>
      <c r="AD52" s="2451"/>
      <c r="AE52" s="2451"/>
      <c r="AF52" s="2452"/>
      <c r="AG52" s="2450" t="str">
        <f>INDEX(PT_DIFFERENTIATION_IST_TE,MATCH(D52,PT_DIFFERENTIATION_IST_TE_ID,0))</f>
        <v/>
      </c>
      <c r="AH52" s="2451"/>
      <c r="AI52" s="2451"/>
      <c r="AJ52" s="2451"/>
      <c r="AK52" s="2451"/>
      <c r="AL52" s="2451"/>
      <c r="AM52" s="2451"/>
      <c r="AN52" s="2451"/>
      <c r="AO52" s="2451"/>
      <c r="AP52" s="2452"/>
      <c r="AQ52" s="1176" t="s">
        <v>399</v>
      </c>
      <c r="AS52" s="436"/>
      <c r="AT52" s="436" t="str">
        <f t="shared" si="2"/>
        <v xml:space="preserve">Источник тепловой энергии  </v>
      </c>
      <c r="AU52" s="436"/>
      <c r="AV52" s="436"/>
      <c r="AW52" s="1073">
        <v>21</v>
      </c>
    </row>
    <row r="53" spans="1:49" s="2034" customFormat="1" ht="0" hidden="1" customHeight="1">
      <c r="A53" s="1293" t="s">
        <v>173</v>
      </c>
      <c r="B53" s="1293" t="s">
        <v>174</v>
      </c>
      <c r="C53" s="1293" t="s">
        <v>175</v>
      </c>
      <c r="D53" s="1293" t="s">
        <v>176</v>
      </c>
      <c r="E53" s="2483"/>
      <c r="F53" s="2483"/>
      <c r="G53" s="2483"/>
      <c r="H53" s="2483"/>
      <c r="I53" s="2328" t="str">
        <f>U52&amp;".1"</f>
        <v>....1</v>
      </c>
      <c r="J53" s="1293"/>
      <c r="K53" s="1293"/>
      <c r="L53" s="1293"/>
      <c r="M53" s="1299" t="s">
        <v>400</v>
      </c>
      <c r="N53" s="1164"/>
      <c r="O53" s="1164"/>
      <c r="P53" s="1164"/>
      <c r="Q53" s="2460">
        <v>1</v>
      </c>
      <c r="R53" s="1249"/>
      <c r="S53" s="1249"/>
      <c r="T53" s="292"/>
      <c r="U53" s="965"/>
      <c r="V53" s="1301"/>
      <c r="W53" s="1302"/>
      <c r="X53" s="2487"/>
      <c r="Y53" s="2488"/>
      <c r="Z53" s="2488"/>
      <c r="AA53" s="2488"/>
      <c r="AB53" s="2488"/>
      <c r="AC53" s="2488"/>
      <c r="AD53" s="2488"/>
      <c r="AE53" s="2488"/>
      <c r="AF53" s="2489"/>
      <c r="AG53" s="2487"/>
      <c r="AH53" s="2488"/>
      <c r="AI53" s="2488"/>
      <c r="AJ53" s="2488"/>
      <c r="AK53" s="2488"/>
      <c r="AL53" s="2488"/>
      <c r="AM53" s="2488"/>
      <c r="AN53" s="2488"/>
      <c r="AO53" s="2488"/>
      <c r="AP53" s="2489"/>
      <c r="AQ53" s="1303"/>
      <c r="AS53" s="436"/>
      <c r="AT53" s="436" t="str">
        <f t="shared" si="2"/>
        <v/>
      </c>
      <c r="AU53" s="436"/>
      <c r="AV53" s="436"/>
      <c r="AW53" s="447">
        <v>0</v>
      </c>
    </row>
    <row r="54" spans="1:49" ht="21.95" customHeight="1">
      <c r="A54" s="1185" t="s">
        <v>173</v>
      </c>
      <c r="B54" s="1185" t="s">
        <v>174</v>
      </c>
      <c r="C54" s="1185" t="s">
        <v>175</v>
      </c>
      <c r="D54" s="1185" t="s">
        <v>176</v>
      </c>
      <c r="E54" s="2483"/>
      <c r="F54" s="2483"/>
      <c r="G54" s="2483"/>
      <c r="H54" s="2483"/>
      <c r="I54" s="2310"/>
      <c r="J54" s="2328" t="str">
        <f>I53&amp;".1"</f>
        <v>....1.1</v>
      </c>
      <c r="K54" s="1185"/>
      <c r="L54" s="1185"/>
      <c r="M54" s="1228" t="s">
        <v>403</v>
      </c>
      <c r="Q54" s="2460"/>
      <c r="R54" s="2460">
        <v>1</v>
      </c>
      <c r="S54" s="454"/>
      <c r="T54" s="293"/>
      <c r="U54" s="1254" t="str">
        <f>$J54</f>
        <v>....1.1</v>
      </c>
      <c r="V54" s="223" t="s">
        <v>404</v>
      </c>
      <c r="W54" s="237"/>
      <c r="X54" s="2444"/>
      <c r="Y54" s="2445"/>
      <c r="Z54" s="2445"/>
      <c r="AA54" s="2445"/>
      <c r="AB54" s="2445"/>
      <c r="AC54" s="2440"/>
      <c r="AD54" s="2440"/>
      <c r="AE54" s="2440"/>
      <c r="AF54" s="2500"/>
      <c r="AG54" s="2444"/>
      <c r="AH54" s="2445"/>
      <c r="AI54" s="2445"/>
      <c r="AJ54" s="2445"/>
      <c r="AK54" s="2445"/>
      <c r="AL54" s="2445"/>
      <c r="AM54" s="2445"/>
      <c r="AN54" s="2445"/>
      <c r="AO54" s="2445"/>
      <c r="AP54" s="2446"/>
      <c r="AQ54" s="1176" t="s">
        <v>405</v>
      </c>
      <c r="AS54" s="436"/>
      <c r="AT54" s="436" t="str">
        <f t="shared" si="2"/>
        <v>Группа потребителей</v>
      </c>
      <c r="AU54" s="436"/>
      <c r="AV54" s="436"/>
      <c r="AW54" s="1073">
        <v>21</v>
      </c>
    </row>
    <row r="55" spans="1:49" ht="21.95" customHeight="1">
      <c r="A55" s="1185" t="s">
        <v>173</v>
      </c>
      <c r="B55" s="1185" t="s">
        <v>174</v>
      </c>
      <c r="C55" s="1185" t="s">
        <v>175</v>
      </c>
      <c r="D55" s="1185" t="s">
        <v>176</v>
      </c>
      <c r="E55" s="2483"/>
      <c r="F55" s="2483"/>
      <c r="G55" s="2483"/>
      <c r="H55" s="2483"/>
      <c r="I55" s="2310"/>
      <c r="J55" s="2310"/>
      <c r="K55" s="2328" t="str">
        <f>J54&amp;".1"</f>
        <v>....1.1.1</v>
      </c>
      <c r="L55" s="78"/>
      <c r="M55" s="1228" t="s">
        <v>406</v>
      </c>
      <c r="Q55" s="2460"/>
      <c r="R55" s="2460"/>
      <c r="S55" s="454">
        <v>1</v>
      </c>
      <c r="T55" s="293"/>
      <c r="U55" s="1254" t="str">
        <f>$K55</f>
        <v>....1.1.1</v>
      </c>
      <c r="V55" s="1265"/>
      <c r="W55" s="237"/>
      <c r="X55" s="687"/>
      <c r="Y55" s="687"/>
      <c r="Z55" s="687"/>
      <c r="AA55" s="687"/>
      <c r="AB55" s="1323"/>
      <c r="AC55" s="2461"/>
      <c r="AD55" s="2338" t="s">
        <v>67</v>
      </c>
      <c r="AE55" s="2461"/>
      <c r="AF55" s="2338" t="s">
        <v>67</v>
      </c>
      <c r="AG55" s="1325"/>
      <c r="AH55" s="687"/>
      <c r="AI55" s="687"/>
      <c r="AJ55" s="687"/>
      <c r="AK55" s="1175"/>
      <c r="AL55" s="2461"/>
      <c r="AM55" s="2338" t="s">
        <v>67</v>
      </c>
      <c r="AN55" s="2461"/>
      <c r="AO55" s="2338" t="s">
        <v>67</v>
      </c>
      <c r="AP55" s="1266"/>
      <c r="AQ55" s="1225" t="s">
        <v>449</v>
      </c>
      <c r="AR55" s="447" t="e">
        <f ca="1">STRCHECKDATE(X57:AP57)</f>
        <v>#NAME?</v>
      </c>
      <c r="AS55" s="436"/>
      <c r="AT55" s="436" t="str">
        <f t="shared" si="2"/>
        <v/>
      </c>
      <c r="AU55" s="436"/>
      <c r="AV55" s="436"/>
      <c r="AW55" s="1073">
        <v>21</v>
      </c>
    </row>
    <row r="56" spans="1:49" ht="11.45" customHeight="1">
      <c r="A56" s="1185" t="s">
        <v>173</v>
      </c>
      <c r="B56" s="1185" t="s">
        <v>174</v>
      </c>
      <c r="C56" s="1185" t="s">
        <v>175</v>
      </c>
      <c r="D56" s="1185" t="s">
        <v>176</v>
      </c>
      <c r="E56" s="2483"/>
      <c r="F56" s="2483"/>
      <c r="G56" s="2483"/>
      <c r="H56" s="2483"/>
      <c r="I56" s="2310"/>
      <c r="J56" s="2310"/>
      <c r="K56" s="2310"/>
      <c r="L56" s="2328" t="str">
        <f>K55&amp;".1"</f>
        <v>....1.1.1.1</v>
      </c>
      <c r="M56" s="1228"/>
      <c r="Q56" s="2460"/>
      <c r="R56" s="2460"/>
      <c r="S56" s="454">
        <v>1</v>
      </c>
      <c r="T56" s="293"/>
      <c r="U56" s="1254" t="str">
        <f>$L56</f>
        <v>....1.1.1.1</v>
      </c>
      <c r="V56" s="1309"/>
      <c r="W56" s="237"/>
      <c r="X56" s="262"/>
      <c r="Y56" s="687"/>
      <c r="Z56" s="687"/>
      <c r="AA56" s="687"/>
      <c r="AB56" s="1323"/>
      <c r="AC56" s="2462"/>
      <c r="AD56" s="2338"/>
      <c r="AE56" s="2462"/>
      <c r="AF56" s="2338"/>
      <c r="AG56" s="1325"/>
      <c r="AH56" s="687"/>
      <c r="AI56" s="687"/>
      <c r="AJ56" s="687"/>
      <c r="AK56" s="1175"/>
      <c r="AL56" s="2462"/>
      <c r="AM56" s="2338"/>
      <c r="AN56" s="2462"/>
      <c r="AO56" s="2338"/>
      <c r="AP56" s="1266"/>
      <c r="AQ56" s="2479" t="s">
        <v>450</v>
      </c>
      <c r="AR56" s="447" t="e">
        <f ca="1">STRCHECKDATE(X58:AP58)</f>
        <v>#NAME?</v>
      </c>
      <c r="AS56" s="436"/>
      <c r="AT56" s="436" t="str">
        <f t="shared" si="2"/>
        <v/>
      </c>
      <c r="AU56" s="436"/>
      <c r="AV56" s="436"/>
      <c r="AW56" s="1073">
        <v>11</v>
      </c>
    </row>
    <row r="57" spans="1:49" ht="0" hidden="1" customHeight="1">
      <c r="A57" s="1185" t="s">
        <v>173</v>
      </c>
      <c r="B57" s="1185" t="s">
        <v>174</v>
      </c>
      <c r="C57" s="1185" t="s">
        <v>175</v>
      </c>
      <c r="D57" s="1185" t="s">
        <v>176</v>
      </c>
      <c r="E57" s="2483"/>
      <c r="F57" s="2483"/>
      <c r="G57" s="2483"/>
      <c r="H57" s="2483"/>
      <c r="I57" s="2310"/>
      <c r="J57" s="2310"/>
      <c r="K57" s="2310"/>
      <c r="L57" s="2328"/>
      <c r="M57" s="1228"/>
      <c r="Q57" s="2460"/>
      <c r="R57" s="2460"/>
      <c r="S57" s="454"/>
      <c r="T57" s="293"/>
      <c r="U57" s="1260"/>
      <c r="V57" s="237"/>
      <c r="W57" s="237"/>
      <c r="X57" s="262"/>
      <c r="Y57" s="262"/>
      <c r="Z57" s="262"/>
      <c r="AA57" s="262"/>
      <c r="AB57" s="1324" t="str">
        <f>AC55&amp;"-"&amp;AE55</f>
        <v>-</v>
      </c>
      <c r="AC57" s="2462"/>
      <c r="AD57" s="2338"/>
      <c r="AE57" s="2462"/>
      <c r="AF57" s="2338"/>
      <c r="AG57" s="1300"/>
      <c r="AH57" s="262"/>
      <c r="AI57" s="262"/>
      <c r="AJ57" s="262"/>
      <c r="AK57" s="265" t="str">
        <f>AL55&amp;"-"&amp;AN55</f>
        <v>-</v>
      </c>
      <c r="AL57" s="2462"/>
      <c r="AM57" s="2338"/>
      <c r="AN57" s="2462"/>
      <c r="AO57" s="2338"/>
      <c r="AP57" s="1267"/>
      <c r="AQ57" s="2480"/>
      <c r="AS57" s="436"/>
      <c r="AT57" s="436" t="str">
        <f t="shared" si="2"/>
        <v/>
      </c>
      <c r="AU57" s="436"/>
      <c r="AV57" s="436"/>
      <c r="AW57" s="1073">
        <v>0</v>
      </c>
    </row>
    <row r="58" spans="1:49" ht="11.45" customHeight="1">
      <c r="A58" s="1185" t="s">
        <v>173</v>
      </c>
      <c r="B58" s="1185" t="s">
        <v>174</v>
      </c>
      <c r="C58" s="1185" t="s">
        <v>175</v>
      </c>
      <c r="D58" s="1185" t="s">
        <v>176</v>
      </c>
      <c r="E58" s="2483"/>
      <c r="F58" s="2483"/>
      <c r="G58" s="2483"/>
      <c r="H58" s="2483"/>
      <c r="I58" s="2310"/>
      <c r="J58" s="2310"/>
      <c r="K58" s="2328"/>
      <c r="L58" s="1185"/>
      <c r="M58" s="1228"/>
      <c r="Q58" s="2460"/>
      <c r="R58" s="2460"/>
      <c r="S58" s="1249"/>
      <c r="T58" s="292"/>
      <c r="U58" s="1196"/>
      <c r="V58" s="225" t="s">
        <v>451</v>
      </c>
      <c r="W58" s="303"/>
      <c r="X58" s="303"/>
      <c r="Y58" s="303"/>
      <c r="Z58" s="303"/>
      <c r="AA58" s="303"/>
      <c r="AB58" s="303"/>
      <c r="AC58" s="2462"/>
      <c r="AD58" s="2338"/>
      <c r="AE58" s="2462"/>
      <c r="AF58" s="2338"/>
      <c r="AG58" s="303"/>
      <c r="AH58" s="303"/>
      <c r="AI58" s="303"/>
      <c r="AJ58" s="303"/>
      <c r="AK58" s="303"/>
      <c r="AL58" s="2462"/>
      <c r="AM58" s="2338"/>
      <c r="AN58" s="2462"/>
      <c r="AO58" s="2338"/>
      <c r="AP58" s="261"/>
      <c r="AQ58" s="2480"/>
      <c r="AS58" s="436"/>
      <c r="AT58" s="436" t="str">
        <f t="shared" si="2"/>
        <v>Добавить наименование поставщика</v>
      </c>
      <c r="AU58" s="436"/>
      <c r="AV58" s="436"/>
      <c r="AW58" s="1073">
        <v>11</v>
      </c>
    </row>
    <row r="59" spans="1:49" ht="11.45" customHeight="1">
      <c r="A59" s="1185" t="s">
        <v>173</v>
      </c>
      <c r="B59" s="1185" t="s">
        <v>174</v>
      </c>
      <c r="C59" s="1185" t="s">
        <v>175</v>
      </c>
      <c r="D59" s="1185" t="s">
        <v>176</v>
      </c>
      <c r="E59" s="2483"/>
      <c r="F59" s="2483"/>
      <c r="G59" s="2483"/>
      <c r="H59" s="2483"/>
      <c r="I59" s="2310"/>
      <c r="J59" s="2328"/>
      <c r="K59" s="1185"/>
      <c r="L59" s="1185"/>
      <c r="M59" s="1228"/>
      <c r="Q59" s="2460"/>
      <c r="R59" s="2460"/>
      <c r="S59" s="1249"/>
      <c r="T59" s="292"/>
      <c r="U59" s="1196"/>
      <c r="V59" s="224" t="s">
        <v>408</v>
      </c>
      <c r="W59" s="303"/>
      <c r="X59" s="303"/>
      <c r="Y59" s="303"/>
      <c r="Z59" s="303"/>
      <c r="AA59" s="303"/>
      <c r="AB59" s="303"/>
      <c r="AC59" s="1326"/>
      <c r="AD59" s="1326"/>
      <c r="AE59" s="1326"/>
      <c r="AF59" s="1326"/>
      <c r="AG59" s="303"/>
      <c r="AH59" s="303"/>
      <c r="AI59" s="303"/>
      <c r="AJ59" s="303"/>
      <c r="AK59" s="303"/>
      <c r="AL59" s="303"/>
      <c r="AM59" s="303"/>
      <c r="AN59" s="303"/>
      <c r="AO59" s="303"/>
      <c r="AP59" s="261"/>
      <c r="AQ59" s="2481"/>
      <c r="AS59" s="436"/>
      <c r="AT59" s="436" t="str">
        <f t="shared" si="2"/>
        <v>Добавить вид теплоносителя (параметры теплоносителя)</v>
      </c>
      <c r="AU59" s="436"/>
      <c r="AV59" s="436"/>
      <c r="AW59" s="1073">
        <v>11</v>
      </c>
    </row>
    <row r="60" spans="1:49" ht="11.45" customHeight="1">
      <c r="A60" s="1185" t="s">
        <v>173</v>
      </c>
      <c r="B60" s="1185" t="s">
        <v>174</v>
      </c>
      <c r="C60" s="1185" t="s">
        <v>175</v>
      </c>
      <c r="D60" s="1185" t="s">
        <v>176</v>
      </c>
      <c r="E60" s="2483"/>
      <c r="F60" s="2483"/>
      <c r="G60" s="2483"/>
      <c r="H60" s="2483"/>
      <c r="I60" s="2328"/>
      <c r="J60" s="1185"/>
      <c r="K60" s="1185"/>
      <c r="L60" s="1185"/>
      <c r="M60" s="1228"/>
      <c r="Q60" s="2460"/>
      <c r="R60" s="1249"/>
      <c r="S60" s="1249"/>
      <c r="T60" s="292"/>
      <c r="U60" s="1196"/>
      <c r="V60" s="301" t="s">
        <v>409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3">
        <v>11</v>
      </c>
    </row>
    <row r="61" spans="1:49" ht="0" hidden="1" customHeight="1">
      <c r="A61" s="1185" t="s">
        <v>173</v>
      </c>
      <c r="B61" s="1185" t="s">
        <v>174</v>
      </c>
      <c r="C61" s="1185" t="s">
        <v>175</v>
      </c>
      <c r="D61" s="1185" t="s">
        <v>176</v>
      </c>
      <c r="E61" s="2483"/>
      <c r="F61" s="2483"/>
      <c r="G61" s="2483"/>
      <c r="H61" s="2482"/>
      <c r="I61" s="1185"/>
      <c r="J61" s="1185"/>
      <c r="K61" s="1185"/>
      <c r="L61" s="1185"/>
      <c r="M61" s="1228"/>
      <c r="N61" s="624"/>
      <c r="O61" s="624"/>
      <c r="P61" s="445"/>
      <c r="Q61" s="296"/>
      <c r="R61" s="311"/>
      <c r="S61" s="291"/>
      <c r="T61" s="29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034" customFormat="1" ht="0" hidden="1" customHeight="1">
      <c r="A62" s="1293" t="s">
        <v>173</v>
      </c>
      <c r="B62" s="1293" t="s">
        <v>174</v>
      </c>
      <c r="C62" s="1293" t="s">
        <v>175</v>
      </c>
      <c r="D62" s="1292"/>
      <c r="E62" s="2483"/>
      <c r="F62" s="2483"/>
      <c r="G62" s="2482"/>
      <c r="H62" s="1292"/>
      <c r="I62" s="1292"/>
      <c r="J62" s="1292"/>
      <c r="K62" s="1292"/>
      <c r="L62" s="1292"/>
      <c r="M62" s="1295"/>
      <c r="N62" s="1296"/>
      <c r="O62" s="1296"/>
      <c r="P62" s="287"/>
      <c r="Q62" s="1234"/>
      <c r="R62" s="1235"/>
      <c r="S62" s="1234"/>
      <c r="T62" s="1234"/>
      <c r="U62" s="1240"/>
      <c r="V62" s="1243" t="s">
        <v>411</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034" customFormat="1" ht="0" hidden="1" customHeight="1">
      <c r="A63" s="1293" t="s">
        <v>173</v>
      </c>
      <c r="B63" s="1293" t="s">
        <v>174</v>
      </c>
      <c r="C63" s="1292"/>
      <c r="D63" s="1292"/>
      <c r="E63" s="2483"/>
      <c r="F63" s="2482"/>
      <c r="G63" s="1292"/>
      <c r="H63" s="1292"/>
      <c r="I63" s="1292"/>
      <c r="J63" s="1292"/>
      <c r="K63" s="1292"/>
      <c r="L63" s="1292"/>
      <c r="M63" s="1295"/>
      <c r="N63" s="1297"/>
      <c r="O63" s="1297"/>
      <c r="P63" s="287"/>
      <c r="Q63" s="1234"/>
      <c r="R63" s="1235"/>
      <c r="S63" s="1234"/>
      <c r="T63" s="1234"/>
      <c r="U63" s="1240"/>
      <c r="V63" s="1243" t="s">
        <v>412</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034" customFormat="1" ht="0" hidden="1" customHeight="1">
      <c r="A64" s="1293" t="s">
        <v>173</v>
      </c>
      <c r="B64" s="1293"/>
      <c r="C64" s="1293"/>
      <c r="D64" s="1293"/>
      <c r="E64" s="2482"/>
      <c r="F64" s="1293"/>
      <c r="G64" s="1293"/>
      <c r="H64" s="1293"/>
      <c r="I64" s="1293"/>
      <c r="J64" s="1293"/>
      <c r="K64" s="1293"/>
      <c r="L64" s="1293"/>
      <c r="M64" s="1299"/>
      <c r="N64" s="1297"/>
      <c r="O64" s="1297"/>
      <c r="P64" s="287"/>
      <c r="Q64" s="316"/>
      <c r="R64" s="1262"/>
      <c r="S64" s="316"/>
      <c r="T64" s="316"/>
      <c r="U64" s="1240"/>
      <c r="V64" s="1243" t="s">
        <v>413</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034" customFormat="1" ht="4.1500000000000004" customHeight="1">
      <c r="A65" s="1292"/>
      <c r="B65" s="1292"/>
      <c r="C65" s="1292"/>
      <c r="D65" s="1292"/>
      <c r="E65" s="1293"/>
      <c r="F65" s="1292"/>
      <c r="G65" s="1292"/>
      <c r="H65" s="1292"/>
      <c r="I65" s="1292"/>
      <c r="J65" s="1292"/>
      <c r="K65" s="1292"/>
      <c r="L65" s="1292"/>
      <c r="M65" s="1295"/>
      <c r="N65" s="1297"/>
      <c r="O65" s="1297"/>
      <c r="P65" s="287"/>
      <c r="Q65" s="1234"/>
      <c r="R65" s="1235"/>
      <c r="S65" s="1234"/>
      <c r="T65" s="1234"/>
      <c r="U65" s="1240"/>
      <c r="V65" s="1243" t="s">
        <v>445</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2455"/>
      <c r="W67" s="2455"/>
      <c r="X67" s="2455"/>
      <c r="Y67" s="2455"/>
      <c r="Z67" s="2455"/>
      <c r="AA67" s="2455"/>
      <c r="AB67" s="2455"/>
      <c r="AC67" s="2455"/>
      <c r="AD67" s="2455"/>
      <c r="AE67" s="2455"/>
      <c r="AF67" s="2455"/>
      <c r="AG67" s="2455"/>
      <c r="AH67" s="2455"/>
      <c r="AI67" s="2455"/>
      <c r="AJ67" s="2455"/>
      <c r="AK67" s="2455"/>
      <c r="AL67" s="2455"/>
      <c r="AM67" s="2455"/>
      <c r="AN67" s="2455"/>
      <c r="AO67" s="2455"/>
      <c r="AP67" s="2455"/>
      <c r="AQ67" s="2455"/>
      <c r="AW67" s="1073">
        <v>34</v>
      </c>
    </row>
    <row r="68" spans="1:49" ht="21" customHeight="1">
      <c r="P68" s="445"/>
      <c r="V68" s="2455"/>
      <c r="W68" s="2455"/>
      <c r="X68" s="2455"/>
      <c r="Y68" s="2455"/>
      <c r="Z68" s="2455"/>
      <c r="AA68" s="2455"/>
      <c r="AB68" s="2455"/>
      <c r="AC68" s="2455"/>
      <c r="AD68" s="2455"/>
      <c r="AE68" s="2455"/>
      <c r="AF68" s="2455"/>
      <c r="AG68" s="2455"/>
      <c r="AH68" s="2455"/>
      <c r="AI68" s="2455"/>
      <c r="AJ68" s="2455"/>
      <c r="AK68" s="2455"/>
      <c r="AL68" s="2455"/>
      <c r="AM68" s="2455"/>
      <c r="AN68" s="2455"/>
      <c r="AO68" s="2455"/>
      <c r="AP68" s="2455"/>
      <c r="AQ68" s="2455"/>
      <c r="AW68" s="1073">
        <v>20</v>
      </c>
    </row>
    <row r="69" spans="1:49" ht="14.65" customHeight="1">
      <c r="P69" s="445"/>
      <c r="AW69" s="1073">
        <v>14</v>
      </c>
    </row>
    <row r="70" spans="1:49" ht="28.5" customHeight="1">
      <c r="P70" s="445"/>
      <c r="V70" s="2455"/>
      <c r="W70" s="2455"/>
      <c r="X70" s="2455"/>
      <c r="Y70" s="2455"/>
      <c r="Z70" s="2455"/>
      <c r="AA70" s="2455"/>
      <c r="AB70" s="2455"/>
      <c r="AC70" s="2455"/>
      <c r="AD70" s="2455"/>
      <c r="AE70" s="2455"/>
      <c r="AF70" s="2455"/>
      <c r="AG70" s="2455"/>
      <c r="AH70" s="2455"/>
      <c r="AI70" s="2455"/>
      <c r="AJ70" s="2455"/>
      <c r="AK70" s="2455"/>
      <c r="AL70" s="2455"/>
      <c r="AM70" s="2455"/>
      <c r="AN70" s="2455"/>
      <c r="AO70" s="2455"/>
      <c r="AP70" s="2455"/>
      <c r="AQ70" s="2455"/>
      <c r="AW70" s="1073">
        <v>27</v>
      </c>
    </row>
    <row r="71" spans="1:49" ht="18.75" customHeight="1">
      <c r="P71" s="445"/>
      <c r="V71" s="2455"/>
      <c r="W71" s="2455"/>
      <c r="X71" s="2455"/>
      <c r="Y71" s="2455"/>
      <c r="Z71" s="2455"/>
      <c r="AA71" s="2455"/>
      <c r="AB71" s="2455"/>
      <c r="AC71" s="2455"/>
      <c r="AD71" s="2455"/>
      <c r="AE71" s="2455"/>
      <c r="AF71" s="2455"/>
      <c r="AG71" s="2455"/>
      <c r="AH71" s="2455"/>
      <c r="AI71" s="2455"/>
      <c r="AJ71" s="2455"/>
      <c r="AK71" s="2455"/>
      <c r="AL71" s="2455"/>
      <c r="AM71" s="2455"/>
      <c r="AN71" s="2455"/>
      <c r="AO71" s="2455"/>
      <c r="AP71" s="2455"/>
      <c r="AQ71" s="2455"/>
      <c r="AW71" s="1073">
        <v>18</v>
      </c>
    </row>
    <row r="72" spans="1:49" ht="22.5" hidden="1" customHeight="1">
      <c r="A72" s="1073" t="s">
        <v>84</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6" sqref="F16"/>
    </sheetView>
  </sheetViews>
  <sheetFormatPr defaultColWidth="9.140625" defaultRowHeight="11.25" customHeight="1"/>
  <cols>
    <col min="1" max="1" width="10.7109375" style="2005" hidden="1" customWidth="1"/>
    <col min="2" max="2" width="10.7109375" style="2007" hidden="1" customWidth="1"/>
    <col min="3" max="3" width="3" style="2006" customWidth="1"/>
    <col min="4" max="4" width="1" style="2062" customWidth="1"/>
    <col min="5" max="6" width="55" style="2062" customWidth="1"/>
    <col min="7" max="7" width="1" style="2107" customWidth="1"/>
    <col min="8" max="8" width="18" style="2062" hidden="1" customWidth="1"/>
    <col min="9" max="9" width="59" style="2004" customWidth="1"/>
    <col min="10" max="10" width="52.140625" style="2056" hidden="1" customWidth="1"/>
    <col min="11" max="11" width="8" style="2062" customWidth="1"/>
    <col min="12" max="12" width="77" style="2062" customWidth="1"/>
    <col min="13" max="16" width="8" style="2062" customWidth="1"/>
    <col min="17" max="17" width="12" style="2062" hidden="1" customWidth="1"/>
  </cols>
  <sheetData>
    <row r="1" spans="1:17" s="2032" customFormat="1" ht="3" customHeight="1">
      <c r="A1" s="713"/>
      <c r="B1" s="178"/>
      <c r="F1" s="179" t="s">
        <v>13</v>
      </c>
      <c r="G1" s="347"/>
      <c r="H1" s="11"/>
      <c r="I1" s="347"/>
      <c r="J1" s="797"/>
      <c r="Q1" s="179" t="s">
        <v>14</v>
      </c>
    </row>
    <row r="2" spans="1:17" s="2071" customFormat="1" ht="14.25" customHeight="1">
      <c r="A2" s="713"/>
      <c r="B2" s="38"/>
      <c r="E2" s="1657" t="str">
        <f>code</f>
        <v>Код отчёта: PP110.OPEN.INFO.INVEST.HEAT.EIAS</v>
      </c>
      <c r="F2" s="206"/>
      <c r="G2" s="182"/>
      <c r="H2" s="182"/>
      <c r="I2" s="182"/>
      <c r="J2" s="798"/>
      <c r="K2" s="182"/>
      <c r="Q2" s="11">
        <v>14</v>
      </c>
    </row>
    <row r="3" spans="1:17" ht="14.65" customHeight="1">
      <c r="E3" s="183" t="str">
        <f>version</f>
        <v>Версия отчёта: 1.1.6</v>
      </c>
      <c r="F3" s="206"/>
      <c r="G3" s="701"/>
      <c r="H3" s="701"/>
      <c r="I3" s="701"/>
      <c r="J3" s="799"/>
      <c r="K3" s="28"/>
      <c r="Q3" s="14">
        <v>14</v>
      </c>
    </row>
    <row r="4" spans="1:17" s="2021" customFormat="1" ht="6.4" customHeight="1">
      <c r="A4" s="714"/>
      <c r="B4" s="169"/>
      <c r="C4" s="170"/>
      <c r="D4" s="171"/>
      <c r="E4" s="180"/>
      <c r="F4" s="181"/>
      <c r="G4" s="702"/>
      <c r="H4" s="345"/>
      <c r="I4" s="347"/>
      <c r="J4" s="800"/>
      <c r="Q4" s="173">
        <v>6</v>
      </c>
    </row>
    <row r="5" spans="1:17" ht="39.75" customHeight="1">
      <c r="D5" s="15"/>
      <c r="E5" s="2309" t="str">
        <f>NameTemplatesInTitle</f>
        <v>Информация об инвестиционных программах регулируемой организации в области теплоснабжения</v>
      </c>
      <c r="F5" s="2310"/>
      <c r="G5" s="703"/>
      <c r="J5" s="801"/>
      <c r="Q5" s="14">
        <v>38</v>
      </c>
    </row>
    <row r="6" spans="1:17" s="202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21" customFormat="1" ht="6.4" customHeight="1">
      <c r="A8" s="715"/>
      <c r="B8" s="169"/>
      <c r="C8" s="170"/>
      <c r="D8" s="176"/>
      <c r="E8" s="174"/>
      <c r="F8" s="177"/>
      <c r="G8" s="17"/>
      <c r="H8" s="345"/>
      <c r="I8" s="347"/>
      <c r="J8" s="803"/>
      <c r="Q8" s="173">
        <v>6</v>
      </c>
    </row>
    <row r="9" spans="1:17" s="2062" customFormat="1" ht="19.5" hidden="1" customHeight="1">
      <c r="A9" s="714"/>
      <c r="B9" s="38"/>
      <c r="C9" s="344"/>
      <c r="D9" s="346"/>
      <c r="E9" s="1083" t="s">
        <v>17</v>
      </c>
      <c r="F9" s="1836"/>
      <c r="G9" s="703"/>
      <c r="I9" s="1815" t="str">
        <f>IF(TITLE_STRUCTURE_INFO_ROIV="","","раскрывается "&amp;INDEX(ROIV_INFO_COMMENT,MATCH(TITLE_STRUCTURE_INFO_ROIV,ROIV_INFO_LIST,0)))</f>
        <v/>
      </c>
      <c r="J9" s="802"/>
      <c r="Q9" s="345">
        <v>0</v>
      </c>
    </row>
    <row r="10" spans="1:17" s="2021" customFormat="1" ht="24" hidden="1" customHeight="1">
      <c r="A10" s="715"/>
      <c r="B10" s="362"/>
      <c r="C10" s="363"/>
      <c r="D10" s="176"/>
      <c r="E10" s="1083" t="s">
        <v>18</v>
      </c>
      <c r="F10" s="1978" t="s">
        <v>19</v>
      </c>
      <c r="G10" s="17"/>
      <c r="H10" s="345"/>
      <c r="I10" s="347"/>
      <c r="J10" s="803"/>
      <c r="Q10" s="366">
        <v>24</v>
      </c>
    </row>
    <row r="11" spans="1:17" ht="22.5" hidden="1" customHeight="1">
      <c r="A11" s="2312" t="s">
        <v>20</v>
      </c>
      <c r="D11" s="15"/>
      <c r="E11" s="1083" t="s">
        <v>21</v>
      </c>
      <c r="F11" s="1649" t="s">
        <v>22</v>
      </c>
      <c r="G11" s="17"/>
      <c r="H11" s="704" t="s">
        <v>23</v>
      </c>
      <c r="J11" s="802" t="s">
        <v>24</v>
      </c>
      <c r="Q11" s="14">
        <v>0</v>
      </c>
    </row>
    <row r="12" spans="1:17" ht="22.5" hidden="1" customHeight="1">
      <c r="A12" s="2312"/>
      <c r="D12" s="15"/>
      <c r="E12" s="1083" t="s">
        <v>25</v>
      </c>
      <c r="F12" s="1649"/>
      <c r="G12" s="13"/>
      <c r="J12" s="802" t="s">
        <v>26</v>
      </c>
      <c r="Q12" s="14">
        <v>0</v>
      </c>
    </row>
    <row r="13" spans="1:17" s="2062" customFormat="1" ht="22.5" hidden="1" customHeight="1">
      <c r="A13" s="718" t="s">
        <v>27</v>
      </c>
      <c r="B13" s="38"/>
      <c r="C13" s="344"/>
      <c r="D13" s="346"/>
      <c r="E13" s="1692" t="s">
        <v>28</v>
      </c>
      <c r="F13" s="1649" t="s">
        <v>22</v>
      </c>
      <c r="G13" s="17"/>
      <c r="H13" s="701"/>
      <c r="I13" s="347"/>
      <c r="J13" s="1693" t="s">
        <v>29</v>
      </c>
      <c r="Q13" s="345">
        <v>0</v>
      </c>
    </row>
    <row r="14" spans="1:17" s="2062" customFormat="1" ht="27" customHeight="1">
      <c r="A14" s="718" t="s">
        <v>30</v>
      </c>
      <c r="B14" s="38"/>
      <c r="C14" s="344"/>
      <c r="D14" s="346"/>
      <c r="E14" s="1083" t="s">
        <v>31</v>
      </c>
      <c r="F14" s="2060">
        <v>2025</v>
      </c>
      <c r="G14" s="17"/>
      <c r="H14" s="701"/>
      <c r="I14" s="347"/>
      <c r="J14" s="802" t="s">
        <v>32</v>
      </c>
      <c r="Q14" s="345">
        <v>0</v>
      </c>
    </row>
    <row r="15" spans="1:17" s="2062" customFormat="1" ht="19.5" hidden="1" customHeight="1">
      <c r="A15" s="718" t="s">
        <v>33</v>
      </c>
      <c r="B15" s="38"/>
      <c r="C15" s="344"/>
      <c r="D15" s="346"/>
      <c r="E15" s="1083" t="s">
        <v>34</v>
      </c>
      <c r="F15" s="1684"/>
      <c r="G15" s="17"/>
      <c r="H15" s="701"/>
      <c r="I15" s="347"/>
      <c r="J15" s="802" t="s">
        <v>35</v>
      </c>
      <c r="Q15" s="345">
        <v>0</v>
      </c>
    </row>
    <row r="16" spans="1:17" s="2114" customFormat="1" ht="21" customHeight="1">
      <c r="A16" s="2005"/>
      <c r="B16" s="2007"/>
      <c r="C16" s="2006"/>
      <c r="D16" s="2001"/>
      <c r="E16" s="2002" t="s">
        <v>36</v>
      </c>
      <c r="F16" s="2097" t="s">
        <v>37</v>
      </c>
      <c r="G16" s="2055"/>
      <c r="H16" s="2003" t="s">
        <v>23</v>
      </c>
      <c r="I16" s="2004"/>
      <c r="J16" s="2056"/>
      <c r="K16" s="2062"/>
      <c r="L16" s="2062"/>
      <c r="M16" s="2062"/>
      <c r="N16" s="2062"/>
      <c r="O16" s="2062"/>
      <c r="P16" s="2062"/>
      <c r="Q16" s="2062">
        <v>20</v>
      </c>
    </row>
    <row r="17" spans="1:17" ht="21" customHeight="1">
      <c r="D17" s="15"/>
      <c r="E17" s="327" t="s">
        <v>38</v>
      </c>
      <c r="F17" s="2097" t="s">
        <v>39</v>
      </c>
      <c r="G17" s="13"/>
      <c r="H17" s="704" t="s">
        <v>23</v>
      </c>
      <c r="Q17" s="14">
        <v>20</v>
      </c>
    </row>
    <row r="18" spans="1:17" ht="25.5" customHeight="1">
      <c r="D18" s="15"/>
      <c r="E18" s="1692" t="s">
        <v>40</v>
      </c>
      <c r="F18" s="2115">
        <v>46006.591122685182</v>
      </c>
      <c r="G18" s="13"/>
      <c r="I18" s="705"/>
      <c r="J18" s="2311" t="s">
        <v>41</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311"/>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42</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43</v>
      </c>
      <c r="F23" s="153"/>
      <c r="G23" s="13"/>
      <c r="Q23" s="14">
        <v>0</v>
      </c>
    </row>
    <row r="24" spans="1:17" ht="19.5" hidden="1" customHeight="1">
      <c r="D24" s="15"/>
      <c r="E24" s="327" t="s">
        <v>44</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45</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46</v>
      </c>
      <c r="F28" s="155"/>
      <c r="G28" s="13"/>
      <c r="Q28" s="14">
        <v>0</v>
      </c>
    </row>
    <row r="29" spans="1:17" ht="19.5" hidden="1" customHeight="1">
      <c r="D29" s="15"/>
      <c r="E29" s="327" t="s">
        <v>44</v>
      </c>
      <c r="F29" s="155"/>
      <c r="G29" s="13"/>
      <c r="Q29" s="14">
        <v>0</v>
      </c>
    </row>
    <row r="30" spans="1:17" s="202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021" customFormat="1" ht="11.45" customHeight="1">
      <c r="A35" s="715"/>
      <c r="B35" s="169"/>
      <c r="C35" s="170"/>
      <c r="D35" s="176"/>
      <c r="E35" s="174"/>
      <c r="F35" s="177"/>
      <c r="G35" s="17"/>
      <c r="H35" s="345"/>
      <c r="I35" s="347"/>
      <c r="J35" s="800"/>
      <c r="Q35" s="173">
        <v>11</v>
      </c>
    </row>
    <row r="36" spans="1:17" ht="19.5" customHeight="1">
      <c r="A36" s="805"/>
      <c r="D36" s="19"/>
      <c r="E36" s="327" t="s">
        <v>53</v>
      </c>
      <c r="F36" s="2089" t="s">
        <v>54</v>
      </c>
      <c r="G36" s="17"/>
      <c r="Q36" s="14">
        <v>0</v>
      </c>
    </row>
    <row r="37" spans="1:17" ht="21" customHeight="1">
      <c r="A37" s="805"/>
      <c r="D37" s="19"/>
      <c r="E37" s="327" t="s">
        <v>55</v>
      </c>
      <c r="F37" s="2089" t="s">
        <v>56</v>
      </c>
      <c r="G37" s="17"/>
      <c r="Q37" s="14">
        <v>20</v>
      </c>
    </row>
    <row r="38" spans="1:17" s="2021"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23</v>
      </c>
      <c r="Q39" s="14">
        <v>35</v>
      </c>
    </row>
    <row r="40" spans="1:17" s="2021" customFormat="1" ht="6" hidden="1" customHeight="1">
      <c r="A40" s="714"/>
      <c r="B40" s="362"/>
      <c r="C40" s="363"/>
      <c r="D40" s="364"/>
      <c r="E40" s="365"/>
      <c r="F40" s="976"/>
      <c r="G40" s="13"/>
      <c r="H40" s="345"/>
      <c r="I40" s="347"/>
      <c r="J40" s="802"/>
      <c r="Q40" s="366">
        <v>6</v>
      </c>
    </row>
    <row r="41" spans="1:17" s="2062"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21" customFormat="1" ht="6" hidden="1" customHeight="1">
      <c r="A42" s="714"/>
      <c r="B42" s="362"/>
      <c r="C42" s="363"/>
      <c r="D42" s="364"/>
      <c r="E42" s="365"/>
      <c r="F42" s="976"/>
      <c r="G42" s="13"/>
      <c r="H42" s="345"/>
      <c r="I42" s="347"/>
      <c r="J42" s="800"/>
      <c r="Q42" s="366">
        <v>0</v>
      </c>
    </row>
    <row r="43" spans="1:17" s="2062" customFormat="1" ht="27" hidden="1" customHeight="1">
      <c r="A43" s="714"/>
      <c r="B43" s="349"/>
      <c r="C43" s="344"/>
      <c r="D43" s="346"/>
      <c r="E43" s="327" t="s">
        <v>58</v>
      </c>
      <c r="F43" s="646" t="s">
        <v>19</v>
      </c>
      <c r="G43" s="13"/>
      <c r="I43" s="347"/>
      <c r="J43" s="802"/>
      <c r="Q43" s="345">
        <v>0</v>
      </c>
    </row>
    <row r="44" spans="1:17" s="2062" customFormat="1" ht="27" hidden="1" customHeight="1">
      <c r="A44" s="714"/>
      <c r="B44" s="349"/>
      <c r="C44" s="344"/>
      <c r="D44" s="346"/>
      <c r="E44" s="1083" t="s">
        <v>59</v>
      </c>
      <c r="F44" s="1803"/>
      <c r="G44" s="13"/>
      <c r="I44" s="347"/>
      <c r="J44" s="802"/>
      <c r="Q44" s="345">
        <v>0</v>
      </c>
    </row>
    <row r="45" spans="1:17" s="2021" customFormat="1" ht="6" hidden="1" customHeight="1">
      <c r="A45" s="714"/>
      <c r="B45" s="362"/>
      <c r="C45" s="363"/>
      <c r="D45" s="364"/>
      <c r="E45" s="365"/>
      <c r="F45" s="976"/>
      <c r="G45" s="13"/>
      <c r="H45" s="345"/>
      <c r="I45" s="347"/>
      <c r="J45" s="802"/>
      <c r="Q45" s="366">
        <v>0</v>
      </c>
    </row>
    <row r="46" spans="1:17" s="2021" customFormat="1" ht="24.75" hidden="1" customHeight="1">
      <c r="A46" s="714"/>
      <c r="B46" s="362"/>
      <c r="C46" s="363"/>
      <c r="D46" s="364"/>
      <c r="E46" s="1083" t="s">
        <v>60</v>
      </c>
      <c r="F46" s="646" t="s">
        <v>19</v>
      </c>
      <c r="G46" s="13"/>
      <c r="H46" s="345"/>
      <c r="I46" s="347"/>
      <c r="J46" s="802"/>
      <c r="Q46" s="366">
        <v>0</v>
      </c>
    </row>
    <row r="47" spans="1:17" s="2062" customFormat="1" ht="24.75" hidden="1" customHeight="1">
      <c r="A47" s="714"/>
      <c r="B47" s="349"/>
      <c r="C47" s="344"/>
      <c r="D47" s="346"/>
      <c r="E47" s="1083" t="s">
        <v>61</v>
      </c>
      <c r="F47" s="646" t="s">
        <v>19</v>
      </c>
      <c r="G47" s="13"/>
      <c r="I47" s="347"/>
      <c r="J47" s="802"/>
      <c r="Q47" s="345">
        <v>0</v>
      </c>
    </row>
    <row r="48" spans="1:17" s="202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21" customFormat="1" ht="6" hidden="1" customHeight="1">
      <c r="A50" s="715"/>
      <c r="B50" s="362"/>
      <c r="C50" s="363"/>
      <c r="D50" s="176"/>
      <c r="E50" s="174"/>
      <c r="F50" s="177"/>
      <c r="G50" s="17"/>
      <c r="H50" s="345"/>
      <c r="I50" s="347"/>
      <c r="J50" s="802"/>
      <c r="Q50" s="366">
        <v>0</v>
      </c>
    </row>
    <row r="51" spans="1:17" s="2062" customFormat="1" ht="28.5" hidden="1" customHeight="1">
      <c r="A51" s="716"/>
      <c r="B51" s="349"/>
      <c r="C51" s="466"/>
      <c r="D51" s="467"/>
      <c r="E51" s="327" t="s">
        <v>62</v>
      </c>
      <c r="F51" s="646" t="s">
        <v>19</v>
      </c>
      <c r="G51" s="468"/>
      <c r="I51" s="470"/>
      <c r="J51" s="804"/>
      <c r="P51" s="471"/>
      <c r="Q51" s="469">
        <v>0</v>
      </c>
    </row>
    <row r="52" spans="1:17" s="2021" customFormat="1" ht="6" hidden="1" customHeight="1">
      <c r="A52" s="715"/>
      <c r="B52" s="362"/>
      <c r="C52" s="363"/>
      <c r="D52" s="176"/>
      <c r="E52" s="174"/>
      <c r="F52" s="177"/>
      <c r="G52" s="17"/>
      <c r="H52" s="345"/>
      <c r="I52" s="347"/>
      <c r="J52" s="800"/>
      <c r="Q52" s="366">
        <v>0</v>
      </c>
    </row>
    <row r="53" spans="1:17" s="2062" customFormat="1" ht="27" hidden="1" customHeight="1">
      <c r="A53" s="716"/>
      <c r="B53" s="349"/>
      <c r="C53" s="466"/>
      <c r="D53" s="467"/>
      <c r="E53" s="327" t="s">
        <v>63</v>
      </c>
      <c r="F53" s="971" t="s">
        <v>19</v>
      </c>
      <c r="G53" s="468"/>
      <c r="I53" s="470"/>
      <c r="J53" s="804"/>
      <c r="P53" s="471"/>
      <c r="Q53" s="469">
        <v>0</v>
      </c>
    </row>
    <row r="54" spans="1:17" s="2062" customFormat="1" ht="27" hidden="1" customHeight="1">
      <c r="A54" s="716"/>
      <c r="B54" s="349"/>
      <c r="C54" s="466"/>
      <c r="D54" s="467"/>
      <c r="E54" s="327" t="s">
        <v>64</v>
      </c>
      <c r="F54" s="1691"/>
      <c r="G54" s="468"/>
      <c r="I54" s="470"/>
      <c r="J54" s="804"/>
      <c r="P54" s="471"/>
      <c r="Q54" s="469">
        <v>0</v>
      </c>
    </row>
    <row r="55" spans="1:17" s="2021" customFormat="1" ht="6" hidden="1" customHeight="1">
      <c r="A55" s="715"/>
      <c r="B55" s="362"/>
      <c r="C55" s="363"/>
      <c r="D55" s="176"/>
      <c r="E55" s="174"/>
      <c r="F55" s="177"/>
      <c r="G55" s="17"/>
      <c r="H55" s="345"/>
      <c r="I55" s="347"/>
      <c r="J55" s="800"/>
      <c r="Q55" s="366">
        <v>0</v>
      </c>
    </row>
    <row r="56" spans="1:17" s="2062" customFormat="1" ht="25.5" hidden="1" customHeight="1">
      <c r="A56" s="716"/>
      <c r="B56" s="349"/>
      <c r="C56" s="466"/>
      <c r="D56" s="467"/>
      <c r="E56" s="327" t="s">
        <v>65</v>
      </c>
      <c r="F56" s="971" t="s">
        <v>19</v>
      </c>
      <c r="G56" s="468"/>
      <c r="I56" s="470"/>
      <c r="J56" s="804"/>
      <c r="P56" s="471"/>
      <c r="Q56" s="469">
        <v>0</v>
      </c>
    </row>
    <row r="57" spans="1:17" s="2021" customFormat="1" ht="6" hidden="1" customHeight="1">
      <c r="A57" s="715"/>
      <c r="B57" s="362"/>
      <c r="C57" s="363"/>
      <c r="D57" s="176"/>
      <c r="E57" s="174"/>
      <c r="F57" s="177"/>
      <c r="G57" s="17"/>
      <c r="H57" s="345"/>
      <c r="I57" s="347"/>
      <c r="J57" s="800"/>
      <c r="Q57" s="366">
        <v>0</v>
      </c>
    </row>
    <row r="58" spans="1:17" s="2062" customFormat="1" ht="15" hidden="1" customHeight="1">
      <c r="A58" s="716"/>
      <c r="B58" s="349"/>
      <c r="C58" s="466"/>
      <c r="D58" s="467"/>
      <c r="E58" s="327" t="s">
        <v>66</v>
      </c>
      <c r="F58" s="971" t="s">
        <v>67</v>
      </c>
      <c r="G58" s="468"/>
      <c r="I58" s="470"/>
      <c r="J58" s="804"/>
      <c r="P58" s="471"/>
      <c r="Q58" s="469">
        <v>0</v>
      </c>
    </row>
    <row r="59" spans="1:17" s="2062"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t="s">
        <v>67</v>
      </c>
      <c r="G59" s="468"/>
      <c r="I59" s="470"/>
      <c r="J59" s="804"/>
      <c r="P59" s="471"/>
      <c r="Q59" s="469">
        <v>0</v>
      </c>
    </row>
    <row r="60" spans="1:17" s="2062" customFormat="1" ht="15" customHeight="1">
      <c r="A60" s="716"/>
      <c r="B60" s="349"/>
      <c r="C60" s="466"/>
      <c r="D60" s="467"/>
      <c r="E60" s="1083" t="s">
        <v>68</v>
      </c>
      <c r="F60" s="2089" t="s">
        <v>69</v>
      </c>
      <c r="G60" s="468"/>
      <c r="I60" s="470"/>
      <c r="J60" s="804"/>
      <c r="P60" s="471"/>
      <c r="Q60" s="469">
        <v>0</v>
      </c>
    </row>
    <row r="61" spans="1:17" s="2021" customFormat="1" ht="6" hidden="1" customHeight="1">
      <c r="A61" s="715"/>
      <c r="B61" s="362"/>
      <c r="C61" s="363"/>
      <c r="D61" s="364"/>
      <c r="E61" s="365"/>
      <c r="F61" s="976"/>
      <c r="G61" s="13"/>
      <c r="H61" s="345"/>
      <c r="I61" s="347"/>
      <c r="J61" s="802"/>
      <c r="Q61" s="366">
        <v>0</v>
      </c>
    </row>
    <row r="62" spans="1:17" s="2062" customFormat="1" ht="33.75" hidden="1" customHeight="1">
      <c r="A62" s="715"/>
      <c r="B62" s="38"/>
      <c r="C62" s="344"/>
      <c r="D62" s="346"/>
      <c r="E62" s="1083" t="s">
        <v>70</v>
      </c>
      <c r="F62" s="1589" t="s">
        <v>67</v>
      </c>
      <c r="G62" s="13"/>
      <c r="H62" s="704" t="s">
        <v>23</v>
      </c>
      <c r="I62" s="347"/>
      <c r="J62" s="802"/>
      <c r="Q62" s="345">
        <v>0</v>
      </c>
    </row>
    <row r="63" spans="1:17" s="2021"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39"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t="s">
        <v>77</v>
      </c>
      <c r="G67" s="17"/>
      <c r="Q67" s="14">
        <v>20</v>
      </c>
    </row>
    <row r="68" spans="1:17" ht="21" customHeight="1">
      <c r="A68" s="717"/>
      <c r="B68" s="39"/>
      <c r="D68" s="22"/>
      <c r="E68" s="327" t="s">
        <v>78</v>
      </c>
      <c r="F68" s="208" t="s">
        <v>79</v>
      </c>
      <c r="G68" s="17"/>
      <c r="Q68" s="14">
        <v>20</v>
      </c>
    </row>
    <row r="69" spans="1:17" ht="21" customHeight="1">
      <c r="A69" s="717"/>
      <c r="B69" s="39"/>
      <c r="D69" s="22"/>
      <c r="E69" s="327" t="s">
        <v>80</v>
      </c>
      <c r="F69" s="208" t="s">
        <v>81</v>
      </c>
      <c r="G69" s="17"/>
      <c r="Q69" s="14">
        <v>20</v>
      </c>
    </row>
    <row r="70" spans="1:17" ht="21" customHeight="1">
      <c r="D70" s="346"/>
      <c r="E70" s="327" t="s">
        <v>82</v>
      </c>
      <c r="F70" s="2116"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type="list" allowBlank="1" showInputMessage="1" showErrorMessage="1" errorTitle="Ошибка" error="Выберите значение из списка" sqref="F16">
      <formula1>kind_of_type_price</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 style="2029" customWidth="1"/>
    <col min="17" max="17" width="3" style="2023" customWidth="1"/>
    <col min="18" max="18" width="3" style="2059" customWidth="1"/>
    <col min="19" max="19" width="12" style="2106" customWidth="1"/>
    <col min="20" max="20" width="31" style="2062" customWidth="1"/>
    <col min="21" max="21" width="0.140625" style="2062" customWidth="1"/>
    <col min="22" max="23" width="21.7109375" style="2062" hidden="1" customWidth="1"/>
    <col min="24" max="24" width="11.7109375" style="2062" hidden="1" customWidth="1"/>
    <col min="25" max="25" width="3.7109375" style="2062" hidden="1" customWidth="1"/>
    <col min="26" max="26" width="11.7109375" style="2062" hidden="1" customWidth="1"/>
    <col min="27" max="27" width="8.5703125" style="2062" hidden="1" customWidth="1"/>
    <col min="28" max="28" width="5.42578125" style="2062" customWidth="1"/>
    <col min="29" max="30" width="3" style="2062" customWidth="1"/>
    <col min="31" max="31" width="24" style="2062" customWidth="1"/>
    <col min="32" max="32" width="3.7109375" style="2062" customWidth="1"/>
    <col min="33" max="34" width="3" style="2062" customWidth="1"/>
    <col min="35" max="35" width="24" style="2062" customWidth="1"/>
    <col min="36" max="36" width="3.7109375" style="2062" customWidth="1"/>
    <col min="37" max="38" width="3" style="2062" customWidth="1"/>
    <col min="39" max="39" width="18" style="2062" customWidth="1"/>
    <col min="40" max="41" width="21" style="2062" customWidth="1"/>
    <col min="42" max="42" width="11" style="2062" customWidth="1"/>
    <col min="43" max="43" width="3.7109375" style="2062" customWidth="1"/>
    <col min="44" max="44" width="11" style="2062" customWidth="1"/>
    <col min="45" max="45" width="8.5703125" style="2062" hidden="1" customWidth="1"/>
    <col min="46" max="46" width="4" style="2062" customWidth="1"/>
    <col min="47" max="47" width="115" style="2062" customWidth="1"/>
    <col min="48" max="52" width="10" style="2034" customWidth="1"/>
    <col min="53" max="53" width="10.5703125" style="2062" hidden="1"/>
  </cols>
  <sheetData>
    <row r="1" spans="1:53" ht="22.5" hidden="1" customHeight="1">
      <c r="W1" s="264"/>
      <c r="X1" s="264"/>
      <c r="AO1" s="264"/>
      <c r="AP1" s="264"/>
      <c r="BA1" s="1073" t="s">
        <v>14</v>
      </c>
    </row>
    <row r="2" spans="1:53" ht="21" hidden="1" customHeight="1">
      <c r="A2" s="1281"/>
      <c r="B2" s="1281"/>
      <c r="C2" s="1281"/>
      <c r="D2" s="1281"/>
      <c r="E2" s="2456">
        <v>1</v>
      </c>
      <c r="F2" s="1281"/>
      <c r="G2" s="1281"/>
      <c r="H2" s="1281"/>
      <c r="I2" s="1281"/>
      <c r="J2" s="1281"/>
      <c r="K2" s="1281"/>
      <c r="L2" s="1282"/>
      <c r="M2" s="1283"/>
      <c r="N2" s="1283"/>
      <c r="O2" s="1283"/>
      <c r="P2" s="1327"/>
      <c r="Q2" s="799"/>
      <c r="R2" s="291"/>
      <c r="S2" s="1254" t="e">
        <f>INDEX(PT_DIFFERENTIATION_NUM_NTAR,MATCH(A2,PT_DIFFERENTIATION_NTAR_ID,0))</f>
        <v>#N/A</v>
      </c>
      <c r="T2" s="235" t="s">
        <v>122</v>
      </c>
      <c r="U2" s="237"/>
      <c r="V2" s="2451"/>
      <c r="W2" s="2451"/>
      <c r="X2" s="2451"/>
      <c r="Y2" s="2451"/>
      <c r="Z2" s="2451"/>
      <c r="AA2" s="2452"/>
      <c r="AB2" s="2450" t="e">
        <f>INDEX(PT_DIFFERENTIATION_NTAR,MATCH(A2,PT_DIFFERENTIATION_NTAR_ID,0))</f>
        <v>#N/A</v>
      </c>
      <c r="AC2" s="2451"/>
      <c r="AD2" s="2451"/>
      <c r="AE2" s="2451"/>
      <c r="AF2" s="2451"/>
      <c r="AG2" s="2451"/>
      <c r="AH2" s="2451"/>
      <c r="AI2" s="2451"/>
      <c r="AJ2" s="2451"/>
      <c r="AK2" s="2451"/>
      <c r="AL2" s="2451"/>
      <c r="AM2" s="2451"/>
      <c r="AN2" s="2451"/>
      <c r="AO2" s="2451"/>
      <c r="AP2" s="2451"/>
      <c r="AQ2" s="2451"/>
      <c r="AR2" s="2451"/>
      <c r="AS2" s="2451"/>
      <c r="AT2" s="2452"/>
      <c r="AU2" s="1176" t="s">
        <v>393</v>
      </c>
      <c r="AW2" s="436"/>
      <c r="AX2" s="436" t="str">
        <f t="shared" ref="AX2:AX8" si="0">IF(T2="","",T2)</f>
        <v>Наименование тарифа</v>
      </c>
      <c r="AY2" s="436"/>
      <c r="AZ2" s="436"/>
      <c r="BA2" s="1073">
        <v>0</v>
      </c>
    </row>
    <row r="3" spans="1:53" ht="21" hidden="1" customHeight="1">
      <c r="A3" s="1281"/>
      <c r="B3" s="1281"/>
      <c r="C3" s="1281"/>
      <c r="D3" s="1281"/>
      <c r="E3" s="2457"/>
      <c r="F3" s="2456">
        <v>1</v>
      </c>
      <c r="G3" s="1281"/>
      <c r="H3" s="1281"/>
      <c r="I3" s="1281"/>
      <c r="J3" s="1281"/>
      <c r="K3" s="1281"/>
      <c r="L3" s="1282"/>
      <c r="M3" s="1283"/>
      <c r="N3" s="1283"/>
      <c r="O3" s="1283"/>
      <c r="P3" s="1328"/>
      <c r="Q3" s="1329"/>
      <c r="R3" s="289"/>
      <c r="S3" s="1254" t="e">
        <f>INDEX(PT_DIFFERENTIATION_NUM_TER,MATCH(B3,PT_DIFFERENTIATION_TER_ID,0))</f>
        <v>#N/A</v>
      </c>
      <c r="T3" s="245" t="s">
        <v>394</v>
      </c>
      <c r="U3" s="237"/>
      <c r="V3" s="2451"/>
      <c r="W3" s="2451"/>
      <c r="X3" s="2451"/>
      <c r="Y3" s="2451"/>
      <c r="Z3" s="2451"/>
      <c r="AA3" s="2452"/>
      <c r="AB3" s="2450" t="e">
        <f>INDEX(PT_DIFFERENTIATION_TER,MATCH(B3,PT_DIFFERENTIATION_TER_ID,0))</f>
        <v>#N/A</v>
      </c>
      <c r="AC3" s="2451"/>
      <c r="AD3" s="2451"/>
      <c r="AE3" s="2451"/>
      <c r="AF3" s="2451"/>
      <c r="AG3" s="2451"/>
      <c r="AH3" s="2451"/>
      <c r="AI3" s="2451"/>
      <c r="AJ3" s="2451"/>
      <c r="AK3" s="2451"/>
      <c r="AL3" s="2451"/>
      <c r="AM3" s="2451"/>
      <c r="AN3" s="2451"/>
      <c r="AO3" s="2451"/>
      <c r="AP3" s="2451"/>
      <c r="AQ3" s="2451"/>
      <c r="AR3" s="2451"/>
      <c r="AS3" s="2451"/>
      <c r="AT3" s="2452"/>
      <c r="AU3" s="1176" t="s">
        <v>395</v>
      </c>
      <c r="AW3" s="436"/>
      <c r="AX3" s="436" t="str">
        <f t="shared" si="0"/>
        <v>Территория действия тарифа</v>
      </c>
      <c r="AY3" s="436"/>
      <c r="AZ3" s="436"/>
      <c r="BA3" s="1073">
        <v>0</v>
      </c>
    </row>
    <row r="4" spans="1:53" ht="22.5" hidden="1" customHeight="1">
      <c r="A4" s="1281"/>
      <c r="B4" s="1281"/>
      <c r="C4" s="1281"/>
      <c r="D4" s="1281"/>
      <c r="E4" s="2457"/>
      <c r="F4" s="2457"/>
      <c r="G4" s="2456">
        <v>1</v>
      </c>
      <c r="H4" s="1281"/>
      <c r="I4" s="1281"/>
      <c r="J4" s="1281"/>
      <c r="K4" s="1281"/>
      <c r="L4" s="1282"/>
      <c r="M4" s="1283"/>
      <c r="N4" s="1283"/>
      <c r="O4" s="1283"/>
      <c r="P4" s="1330"/>
      <c r="Q4" s="1329"/>
      <c r="R4" s="289"/>
      <c r="S4" s="1254" t="e">
        <f>INDEX(PT_DIFFERENTIATION_NUM_CS,MATCH(C4,PT_DIFFERENTIATION_CS_ID,0))</f>
        <v>#N/A</v>
      </c>
      <c r="T4" s="246" t="s">
        <v>396</v>
      </c>
      <c r="U4" s="237"/>
      <c r="V4" s="2451"/>
      <c r="W4" s="2451"/>
      <c r="X4" s="2451"/>
      <c r="Y4" s="2451"/>
      <c r="Z4" s="2451"/>
      <c r="AA4" s="2452"/>
      <c r="AB4" s="2450" t="e">
        <f>INDEX(PT_DIFFERENTIATION_CS,MATCH(C4,PT_DIFFERENTIATION_CS_ID,0))</f>
        <v>#N/A</v>
      </c>
      <c r="AC4" s="2451"/>
      <c r="AD4" s="2451"/>
      <c r="AE4" s="2451"/>
      <c r="AF4" s="2451"/>
      <c r="AG4" s="2451"/>
      <c r="AH4" s="2451"/>
      <c r="AI4" s="2451"/>
      <c r="AJ4" s="2451"/>
      <c r="AK4" s="2451"/>
      <c r="AL4" s="2451"/>
      <c r="AM4" s="2451"/>
      <c r="AN4" s="2451"/>
      <c r="AO4" s="2451"/>
      <c r="AP4" s="2451"/>
      <c r="AQ4" s="2451"/>
      <c r="AR4" s="2451"/>
      <c r="AS4" s="2451"/>
      <c r="AT4" s="2452"/>
      <c r="AU4" s="1176" t="s">
        <v>397</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2457"/>
      <c r="F5" s="2457"/>
      <c r="G5" s="2457"/>
      <c r="H5" s="2456">
        <v>1</v>
      </c>
      <c r="I5" s="1281"/>
      <c r="J5" s="1281"/>
      <c r="K5" s="1281"/>
      <c r="L5" s="1282"/>
      <c r="M5" s="1283"/>
      <c r="N5" s="1283"/>
      <c r="O5" s="1283"/>
      <c r="P5" s="1330"/>
      <c r="Q5" s="1329"/>
      <c r="R5" s="289"/>
      <c r="S5" s="1254" t="e">
        <f>INDEX(PT_DIFFERENTIATION_NUM_IST_TE,MATCH(D5,PT_DIFFERENTIATION_IST_TE_ID,0))</f>
        <v>#N/A</v>
      </c>
      <c r="T5" s="247" t="s">
        <v>398</v>
      </c>
      <c r="U5" s="237"/>
      <c r="V5" s="2451"/>
      <c r="W5" s="2451"/>
      <c r="X5" s="2451"/>
      <c r="Y5" s="2451"/>
      <c r="Z5" s="2451"/>
      <c r="AA5" s="2452"/>
      <c r="AB5" s="2450" t="e">
        <f>INDEX(PT_DIFFERENTIATION_IST_TE,MATCH(D5,PT_DIFFERENTIATION_IST_TE_ID,0))</f>
        <v>#N/A</v>
      </c>
      <c r="AC5" s="2451"/>
      <c r="AD5" s="2451"/>
      <c r="AE5" s="2451"/>
      <c r="AF5" s="2451"/>
      <c r="AG5" s="2451"/>
      <c r="AH5" s="2451"/>
      <c r="AI5" s="2451"/>
      <c r="AJ5" s="2451"/>
      <c r="AK5" s="2451"/>
      <c r="AL5" s="2451"/>
      <c r="AM5" s="2451"/>
      <c r="AN5" s="2451"/>
      <c r="AO5" s="2451"/>
      <c r="AP5" s="2451"/>
      <c r="AQ5" s="2451"/>
      <c r="AR5" s="2451"/>
      <c r="AS5" s="2451"/>
      <c r="AT5" s="2452"/>
      <c r="AU5" s="1176" t="s">
        <v>399</v>
      </c>
      <c r="AW5" s="436"/>
      <c r="AX5" s="436" t="str">
        <f t="shared" si="0"/>
        <v xml:space="preserve">Источник тепловой энергии  </v>
      </c>
      <c r="AY5" s="436"/>
      <c r="AZ5" s="436"/>
      <c r="BA5" s="1073">
        <v>0</v>
      </c>
    </row>
    <row r="6" spans="1:53" s="2034" customFormat="1" ht="0.75" hidden="1" customHeight="1">
      <c r="A6" s="1261"/>
      <c r="B6" s="1261"/>
      <c r="C6" s="1261"/>
      <c r="D6" s="1261"/>
      <c r="E6" s="2457"/>
      <c r="F6" s="2457"/>
      <c r="G6" s="2457"/>
      <c r="H6" s="2457"/>
      <c r="I6" s="2458" t="e">
        <f>S5&amp;".1"</f>
        <v>#N/A</v>
      </c>
      <c r="J6" s="1261"/>
      <c r="K6" s="1261"/>
      <c r="L6" s="1264" t="s">
        <v>400</v>
      </c>
      <c r="M6" s="446"/>
      <c r="N6" s="446"/>
      <c r="O6" s="446"/>
      <c r="P6" s="2460">
        <v>1</v>
      </c>
      <c r="Q6" s="1249"/>
      <c r="R6" s="292"/>
      <c r="S6" s="965"/>
      <c r="T6" s="1301"/>
      <c r="U6" s="1302"/>
      <c r="V6" s="2488"/>
      <c r="W6" s="2488"/>
      <c r="X6" s="2488"/>
      <c r="Y6" s="2488"/>
      <c r="Z6" s="2488"/>
      <c r="AA6" s="2489"/>
      <c r="AB6" s="2487"/>
      <c r="AC6" s="2488"/>
      <c r="AD6" s="2488"/>
      <c r="AE6" s="2488"/>
      <c r="AF6" s="2488"/>
      <c r="AG6" s="2488"/>
      <c r="AH6" s="2488"/>
      <c r="AI6" s="2488"/>
      <c r="AJ6" s="2488"/>
      <c r="AK6" s="2488"/>
      <c r="AL6" s="2488"/>
      <c r="AM6" s="2488"/>
      <c r="AN6" s="2488"/>
      <c r="AO6" s="2488"/>
      <c r="AP6" s="2488"/>
      <c r="AQ6" s="2488"/>
      <c r="AR6" s="2488"/>
      <c r="AS6" s="2488"/>
      <c r="AT6" s="2489"/>
      <c r="AU6" s="1303"/>
      <c r="AW6" s="436"/>
      <c r="AX6" s="436" t="str">
        <f t="shared" si="0"/>
        <v/>
      </c>
      <c r="AY6" s="436"/>
      <c r="AZ6" s="436"/>
      <c r="BA6" s="447">
        <v>0</v>
      </c>
    </row>
    <row r="7" spans="1:53" s="2034" customFormat="1" ht="0.75" hidden="1" customHeight="1">
      <c r="A7" s="1261"/>
      <c r="B7" s="1261"/>
      <c r="C7" s="1261"/>
      <c r="D7" s="1261"/>
      <c r="E7" s="2457"/>
      <c r="F7" s="2457"/>
      <c r="G7" s="2457"/>
      <c r="H7" s="2457"/>
      <c r="I7" s="2459"/>
      <c r="J7" s="2458" t="e">
        <f>S5&amp;".1"</f>
        <v>#N/A</v>
      </c>
      <c r="K7" s="1261"/>
      <c r="L7" s="1264"/>
      <c r="M7" s="446"/>
      <c r="N7" s="446"/>
      <c r="O7" s="446"/>
      <c r="P7" s="2460"/>
      <c r="Q7" s="2460">
        <v>1</v>
      </c>
      <c r="R7" s="293"/>
      <c r="S7" s="965"/>
      <c r="T7" s="1317"/>
      <c r="U7" s="1302"/>
      <c r="V7" s="2488"/>
      <c r="W7" s="2488"/>
      <c r="X7" s="2488"/>
      <c r="Y7" s="2488"/>
      <c r="Z7" s="2488"/>
      <c r="AA7" s="2489"/>
      <c r="AB7" s="2487"/>
      <c r="AC7" s="2488"/>
      <c r="AD7" s="2488"/>
      <c r="AE7" s="2488"/>
      <c r="AF7" s="2488"/>
      <c r="AG7" s="2488"/>
      <c r="AH7" s="2488"/>
      <c r="AI7" s="2488"/>
      <c r="AJ7" s="2488"/>
      <c r="AK7" s="2488"/>
      <c r="AL7" s="2488"/>
      <c r="AM7" s="2488"/>
      <c r="AN7" s="2488"/>
      <c r="AO7" s="2488"/>
      <c r="AP7" s="2488"/>
      <c r="AQ7" s="2488"/>
      <c r="AR7" s="2488"/>
      <c r="AS7" s="2488"/>
      <c r="AT7" s="2489"/>
      <c r="AU7" s="1303"/>
      <c r="AW7" s="436"/>
      <c r="AX7" s="436" t="str">
        <f t="shared" si="0"/>
        <v/>
      </c>
      <c r="AY7" s="436"/>
      <c r="AZ7" s="436"/>
      <c r="BA7" s="447">
        <v>0</v>
      </c>
    </row>
    <row r="8" spans="1:53" ht="21" hidden="1" customHeight="1">
      <c r="A8" s="1281"/>
      <c r="B8" s="1281"/>
      <c r="C8" s="1281"/>
      <c r="D8" s="1281"/>
      <c r="E8" s="2457"/>
      <c r="F8" s="2457"/>
      <c r="G8" s="2457"/>
      <c r="H8" s="2457"/>
      <c r="I8" s="2459"/>
      <c r="J8" s="2459"/>
      <c r="K8" s="2458" t="e">
        <f>S5&amp;".1"</f>
        <v>#N/A</v>
      </c>
      <c r="L8" s="1282"/>
      <c r="P8" s="2460"/>
      <c r="Q8" s="2460"/>
      <c r="R8" s="2516">
        <v>1</v>
      </c>
      <c r="S8" s="2513" t="e">
        <f>$K8</f>
        <v>#N/A</v>
      </c>
      <c r="T8" s="2510"/>
      <c r="U8" s="237"/>
      <c r="V8" s="687"/>
      <c r="W8" s="1175"/>
      <c r="X8" s="2461"/>
      <c r="Y8" s="2338" t="s">
        <v>67</v>
      </c>
      <c r="Z8" s="2461"/>
      <c r="AA8" s="2338" t="s">
        <v>67</v>
      </c>
      <c r="AB8" s="2338" t="s">
        <v>19</v>
      </c>
      <c r="AC8" s="2509"/>
      <c r="AD8" s="2413">
        <v>1</v>
      </c>
      <c r="AE8" s="2523"/>
      <c r="AF8" s="2338" t="s">
        <v>19</v>
      </c>
      <c r="AG8" s="2509"/>
      <c r="AH8" s="2413">
        <v>1</v>
      </c>
      <c r="AI8" s="2523"/>
      <c r="AJ8" s="2338" t="s">
        <v>19</v>
      </c>
      <c r="AK8" s="248"/>
      <c r="AL8" s="1255">
        <v>1</v>
      </c>
      <c r="AM8" s="1316"/>
      <c r="AN8" s="687"/>
      <c r="AO8" s="1175"/>
      <c r="AP8" s="1651"/>
      <c r="AQ8" s="1377" t="s">
        <v>67</v>
      </c>
      <c r="AR8" s="1651"/>
      <c r="AS8" s="1377" t="s">
        <v>67</v>
      </c>
      <c r="AT8" s="1266"/>
      <c r="AU8" s="2479" t="s">
        <v>461</v>
      </c>
      <c r="AV8" s="447" t="e">
        <f ca="1">STRCHECKDATE(V11:AT11)</f>
        <v>#NAME?</v>
      </c>
      <c r="AW8" s="436"/>
      <c r="AX8" s="436" t="str">
        <f t="shared" si="0"/>
        <v/>
      </c>
      <c r="AY8" s="436"/>
      <c r="AZ8" s="436"/>
      <c r="BA8" s="1073">
        <v>0</v>
      </c>
    </row>
    <row r="9" spans="1:53" ht="11.25" hidden="1" customHeight="1">
      <c r="A9" s="1281"/>
      <c r="B9" s="1281"/>
      <c r="C9" s="1281"/>
      <c r="D9" s="1281"/>
      <c r="E9" s="2457"/>
      <c r="F9" s="2457"/>
      <c r="G9" s="2457"/>
      <c r="H9" s="2457"/>
      <c r="I9" s="2459"/>
      <c r="J9" s="2459"/>
      <c r="K9" s="2458"/>
      <c r="L9" s="1282"/>
      <c r="P9" s="2460"/>
      <c r="Q9" s="2460"/>
      <c r="R9" s="2516"/>
      <c r="S9" s="2514"/>
      <c r="T9" s="2511"/>
      <c r="U9" s="237"/>
      <c r="V9" s="1311"/>
      <c r="W9" s="1315"/>
      <c r="X9" s="2461"/>
      <c r="Y9" s="2338"/>
      <c r="Z9" s="2461"/>
      <c r="AA9" s="2338"/>
      <c r="AB9" s="2338"/>
      <c r="AC9" s="2509"/>
      <c r="AD9" s="2413"/>
      <c r="AE9" s="2523"/>
      <c r="AF9" s="2338"/>
      <c r="AG9" s="2509"/>
      <c r="AH9" s="2413"/>
      <c r="AI9" s="2523"/>
      <c r="AJ9" s="2338"/>
      <c r="AK9" s="253"/>
      <c r="AL9" s="352"/>
      <c r="AM9" s="351" t="s">
        <v>462</v>
      </c>
      <c r="AN9" s="1311"/>
      <c r="AO9" s="1414"/>
      <c r="AP9" s="1311"/>
      <c r="AQ9" s="1311"/>
      <c r="AR9" s="1311"/>
      <c r="AS9" s="1311"/>
      <c r="AT9" s="1308"/>
      <c r="AU9" s="2480"/>
      <c r="AW9" s="436"/>
      <c r="AX9" s="436"/>
      <c r="AY9" s="436"/>
      <c r="AZ9" s="436"/>
      <c r="BA9" s="1073">
        <v>0</v>
      </c>
    </row>
    <row r="10" spans="1:53" ht="11.25" hidden="1" customHeight="1">
      <c r="A10" s="1281"/>
      <c r="B10" s="1281"/>
      <c r="C10" s="1281"/>
      <c r="D10" s="1281"/>
      <c r="E10" s="2457"/>
      <c r="F10" s="2457"/>
      <c r="G10" s="2457"/>
      <c r="H10" s="2457"/>
      <c r="I10" s="2459"/>
      <c r="J10" s="2459"/>
      <c r="K10" s="2458"/>
      <c r="L10" s="1282"/>
      <c r="P10" s="2460"/>
      <c r="Q10" s="2460"/>
      <c r="R10" s="2516"/>
      <c r="S10" s="2514"/>
      <c r="T10" s="2511"/>
      <c r="U10" s="237"/>
      <c r="V10" s="1311"/>
      <c r="W10" s="1315"/>
      <c r="X10" s="2461"/>
      <c r="Y10" s="2338"/>
      <c r="Z10" s="2461"/>
      <c r="AA10" s="2338"/>
      <c r="AB10" s="2338"/>
      <c r="AC10" s="2509"/>
      <c r="AD10" s="2413"/>
      <c r="AE10" s="2523"/>
      <c r="AF10" s="2338"/>
      <c r="AG10" s="231"/>
      <c r="AH10" s="351"/>
      <c r="AI10" s="351" t="s">
        <v>463</v>
      </c>
      <c r="AJ10" s="1311"/>
      <c r="AK10" s="1311"/>
      <c r="AL10" s="1311"/>
      <c r="AM10" s="1311"/>
      <c r="AN10" s="1311"/>
      <c r="AO10" s="1414"/>
      <c r="AP10" s="1311"/>
      <c r="AQ10" s="1311"/>
      <c r="AR10" s="1311"/>
      <c r="AS10" s="1311"/>
      <c r="AT10" s="1308"/>
      <c r="AU10" s="2480"/>
      <c r="AW10" s="436"/>
      <c r="AX10" s="436"/>
      <c r="AY10" s="436"/>
      <c r="AZ10" s="436"/>
      <c r="BA10" s="1073">
        <v>0</v>
      </c>
    </row>
    <row r="11" spans="1:53" ht="11.25" hidden="1" customHeight="1">
      <c r="A11" s="1281"/>
      <c r="B11" s="1281"/>
      <c r="C11" s="1281"/>
      <c r="D11" s="1281"/>
      <c r="E11" s="2457"/>
      <c r="F11" s="2457"/>
      <c r="G11" s="2457"/>
      <c r="H11" s="2457"/>
      <c r="I11" s="2459"/>
      <c r="J11" s="2459"/>
      <c r="K11" s="2458"/>
      <c r="L11" s="1282"/>
      <c r="P11" s="2460"/>
      <c r="Q11" s="2460"/>
      <c r="R11" s="2516"/>
      <c r="S11" s="2515"/>
      <c r="T11" s="2512"/>
      <c r="U11" s="237"/>
      <c r="V11" s="1311"/>
      <c r="W11" s="1314" t="str">
        <f>X8&amp;"-"&amp;Z8</f>
        <v>-</v>
      </c>
      <c r="X11" s="2462"/>
      <c r="Y11" s="2338"/>
      <c r="Z11" s="2462"/>
      <c r="AA11" s="2338"/>
      <c r="AB11" s="2338"/>
      <c r="AC11" s="249"/>
      <c r="AD11" s="251"/>
      <c r="AE11" s="351" t="s">
        <v>464</v>
      </c>
      <c r="AF11" s="1311"/>
      <c r="AG11" s="1311"/>
      <c r="AH11" s="1311"/>
      <c r="AI11" s="1311"/>
      <c r="AJ11" s="1311"/>
      <c r="AK11" s="1311"/>
      <c r="AL11" s="1311"/>
      <c r="AM11" s="1311"/>
      <c r="AN11" s="1311"/>
      <c r="AO11" s="1312" t="str">
        <f>AP8&amp;"-"&amp;AR8</f>
        <v>-</v>
      </c>
      <c r="AP11" s="1311"/>
      <c r="AQ11" s="1311"/>
      <c r="AR11" s="1311"/>
      <c r="AS11" s="1311"/>
      <c r="AT11" s="1267"/>
      <c r="AU11" s="2480"/>
      <c r="AW11" s="436"/>
      <c r="AX11" s="436" t="str">
        <f t="shared" ref="AX11:AX17" si="1">IF(T11="","",T11)</f>
        <v/>
      </c>
      <c r="AY11" s="436"/>
      <c r="AZ11" s="436"/>
      <c r="BA11" s="1073">
        <v>0</v>
      </c>
    </row>
    <row r="12" spans="1:53" ht="11.25" hidden="1" customHeight="1">
      <c r="A12" s="1281"/>
      <c r="B12" s="1281"/>
      <c r="C12" s="1281"/>
      <c r="D12" s="1281"/>
      <c r="E12" s="2457"/>
      <c r="F12" s="2457"/>
      <c r="G12" s="2457"/>
      <c r="H12" s="2457"/>
      <c r="I12" s="2459"/>
      <c r="J12" s="2458"/>
      <c r="K12" s="1281"/>
      <c r="L12" s="1282"/>
      <c r="P12" s="2460"/>
      <c r="Q12" s="2460"/>
      <c r="R12" s="292"/>
      <c r="S12" s="1196"/>
      <c r="T12" s="224" t="s">
        <v>465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81"/>
      <c r="AW12" s="436"/>
      <c r="AX12" s="436" t="str">
        <f t="shared" si="1"/>
        <v>Добавить строку</v>
      </c>
      <c r="AY12" s="436"/>
      <c r="AZ12" s="436"/>
      <c r="BA12" s="1073">
        <v>0</v>
      </c>
    </row>
    <row r="13" spans="1:53" s="2034" customFormat="1" ht="0.75" hidden="1" customHeight="1">
      <c r="A13" s="1261"/>
      <c r="B13" s="1261"/>
      <c r="C13" s="1261"/>
      <c r="D13" s="1261"/>
      <c r="E13" s="2457"/>
      <c r="F13" s="2457"/>
      <c r="G13" s="2457"/>
      <c r="H13" s="2457"/>
      <c r="I13" s="2458"/>
      <c r="J13" s="1261"/>
      <c r="K13" s="1261"/>
      <c r="L13" s="1264"/>
      <c r="M13" s="446"/>
      <c r="N13" s="446"/>
      <c r="O13" s="446"/>
      <c r="P13" s="2460"/>
      <c r="Q13" s="1249"/>
      <c r="R13" s="29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034" customFormat="1" ht="0.75" hidden="1" customHeight="1">
      <c r="A14" s="1261"/>
      <c r="B14" s="1261"/>
      <c r="C14" s="1261"/>
      <c r="D14" s="1261"/>
      <c r="E14" s="2457"/>
      <c r="F14" s="2457"/>
      <c r="G14" s="2457"/>
      <c r="H14" s="2456"/>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034" customFormat="1" ht="0.75" hidden="1" customHeight="1">
      <c r="A15" s="1261"/>
      <c r="B15" s="1261"/>
      <c r="C15" s="1261"/>
      <c r="D15" s="1232"/>
      <c r="E15" s="2457"/>
      <c r="F15" s="2457"/>
      <c r="G15" s="2456"/>
      <c r="H15" s="1232"/>
      <c r="I15" s="1232"/>
      <c r="J15" s="1232"/>
      <c r="K15" s="1232"/>
      <c r="L15" s="1257"/>
      <c r="M15" s="1233"/>
      <c r="N15" s="1233"/>
      <c r="P15" s="1234"/>
      <c r="Q15" s="1235"/>
      <c r="R15" s="1234"/>
      <c r="S15" s="1240"/>
      <c r="T15" s="1243" t="s">
        <v>411</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034" customFormat="1" ht="0.75" hidden="1" customHeight="1">
      <c r="A16" s="1261"/>
      <c r="B16" s="1261"/>
      <c r="C16" s="1232"/>
      <c r="D16" s="1232"/>
      <c r="E16" s="2457"/>
      <c r="F16" s="2456"/>
      <c r="G16" s="1232"/>
      <c r="H16" s="1232"/>
      <c r="I16" s="1232"/>
      <c r="J16" s="1232"/>
      <c r="K16" s="1232"/>
      <c r="L16" s="1257"/>
      <c r="M16" s="1239"/>
      <c r="N16" s="1239"/>
      <c r="P16" s="1234"/>
      <c r="Q16" s="1235"/>
      <c r="R16" s="1234"/>
      <c r="S16" s="1240"/>
      <c r="T16" s="1243" t="s">
        <v>412</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034" customFormat="1" ht="0.75" hidden="1" customHeight="1">
      <c r="A17" s="1261"/>
      <c r="B17" s="1261"/>
      <c r="C17" s="1261"/>
      <c r="D17" s="1261"/>
      <c r="E17" s="2456"/>
      <c r="F17" s="1261"/>
      <c r="G17" s="1261"/>
      <c r="H17" s="1261"/>
      <c r="I17" s="1261"/>
      <c r="J17" s="1261"/>
      <c r="K17" s="1261"/>
      <c r="L17" s="1264"/>
      <c r="M17" s="1239"/>
      <c r="N17" s="1239"/>
      <c r="O17" s="454"/>
      <c r="P17" s="316"/>
      <c r="Q17" s="1262"/>
      <c r="R17" s="316"/>
      <c r="S17" s="1240"/>
      <c r="T17" s="1243" t="s">
        <v>413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67</v>
      </c>
      <c r="AR19" s="1653"/>
      <c r="AS19" s="1378" t="s">
        <v>67</v>
      </c>
      <c r="BA19" s="1073">
        <v>0</v>
      </c>
    </row>
    <row r="20" spans="1:53" ht="14.25" hidden="1" customHeight="1">
      <c r="AV20" s="432"/>
      <c r="AW20" s="432"/>
      <c r="AX20" s="432"/>
      <c r="AY20" s="432"/>
      <c r="AZ20" s="432"/>
      <c r="BA20" s="1073">
        <v>0</v>
      </c>
    </row>
    <row r="21" spans="1:53" ht="14.25" hidden="1" customHeight="1">
      <c r="O21" s="1285" t="s">
        <v>414</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030" customFormat="1" ht="14.25" hidden="1" customHeight="1">
      <c r="M23" s="1426"/>
      <c r="N23" s="1426"/>
      <c r="O23" s="1427" t="s">
        <v>415</v>
      </c>
      <c r="P23" s="1426"/>
      <c r="Q23" s="1428"/>
      <c r="R23" s="1428"/>
      <c r="Y23" s="1425" t="s">
        <v>417</v>
      </c>
      <c r="AA23" s="1425" t="s">
        <v>418</v>
      </c>
      <c r="AB23" s="1425" t="s">
        <v>466</v>
      </c>
      <c r="AE23" s="1425" t="s">
        <v>467</v>
      </c>
      <c r="AF23" s="1425" t="s">
        <v>466</v>
      </c>
      <c r="AI23" s="1425" t="s">
        <v>468</v>
      </c>
      <c r="AJ23" s="1425" t="s">
        <v>466</v>
      </c>
      <c r="AM23" s="1425" t="s">
        <v>469</v>
      </c>
      <c r="AQ23" s="1425" t="s">
        <v>417</v>
      </c>
      <c r="AS23" s="1425" t="s">
        <v>418</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2"/>
      <c r="S26" s="1193"/>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2"/>
      <c r="S27" s="243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c r="AS27" s="1161"/>
      <c r="BA27" s="1073">
        <v>26</v>
      </c>
    </row>
    <row r="28" spans="1:53" ht="14.65" customHeight="1">
      <c r="Q28" s="228"/>
      <c r="R28" s="312"/>
      <c r="S28" s="2409" t="str">
        <f>IF(org=0,"Не определено",org)</f>
        <v>ПАО "ТГК-1" филиал "Невский"</v>
      </c>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1161"/>
      <c r="BA28" s="1073">
        <v>14</v>
      </c>
    </row>
    <row r="29" spans="1:53" ht="14.25" hidden="1" customHeight="1">
      <c r="Q29" s="228"/>
      <c r="R29" s="312"/>
      <c r="S29" s="1193"/>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098" customFormat="1" ht="25.5" hidden="1" customHeight="1">
      <c r="A30" s="1286"/>
      <c r="B30" s="1286"/>
      <c r="C30" s="1286"/>
      <c r="D30" s="1286"/>
      <c r="E30" s="1286"/>
      <c r="F30" s="1286"/>
      <c r="G30" s="1286"/>
      <c r="H30" s="1286"/>
      <c r="I30" s="1286"/>
      <c r="J30" s="1286"/>
      <c r="K30" s="1286"/>
      <c r="L30" s="1287"/>
      <c r="M30" s="1286"/>
      <c r="N30" s="1286"/>
      <c r="O30" s="1286"/>
      <c r="P30" s="1286"/>
      <c r="Q30" s="1286"/>
      <c r="S30" s="2447" t="s">
        <v>43</v>
      </c>
      <c r="T30" s="2447"/>
      <c r="U30" s="1290"/>
      <c r="V30" s="2449" t="str">
        <f>IF(TITLE_NAME_OR_PR_CHANGE="",IF(TITLE_NAME_OR_PR="","",TITLE_NAME_OR_PR),TITLE_NAME_OR_PR_CHANGE)</f>
        <v/>
      </c>
      <c r="W30" s="2449"/>
      <c r="X30" s="2449"/>
      <c r="Y30" s="2449"/>
      <c r="Z30" s="2449"/>
      <c r="AA30" s="263"/>
      <c r="AB30" s="2449" t="str">
        <f>IF(TITLE_NAME_OR_PR_CHANGE="",IF(TITLE_NAME_OR_PR="","",TITLE_NAME_OR_PR),TITLE_NAME_OR_PR_CHANGE)</f>
        <v/>
      </c>
      <c r="AC30" s="2449"/>
      <c r="AD30" s="2449"/>
      <c r="AE30" s="2449"/>
      <c r="AF30" s="2449"/>
      <c r="AG30" s="2449"/>
      <c r="AH30" s="2449"/>
      <c r="AI30" s="2449"/>
      <c r="AJ30" s="2449"/>
      <c r="AK30" s="2449"/>
      <c r="AL30" s="2449"/>
      <c r="AM30" s="2449"/>
      <c r="AN30" s="2449"/>
      <c r="AO30" s="2449"/>
      <c r="AP30" s="2449"/>
      <c r="AQ30" s="2449"/>
      <c r="AR30" s="2449"/>
      <c r="AS30" s="263"/>
      <c r="AT30" s="263"/>
      <c r="AU30" s="217"/>
      <c r="AV30" s="304"/>
      <c r="AW30" s="304"/>
      <c r="AX30" s="304"/>
      <c r="AY30" s="304"/>
      <c r="AZ30" s="304"/>
      <c r="BA30" s="354">
        <v>0</v>
      </c>
    </row>
    <row r="31" spans="1:53" s="2098" customFormat="1" ht="18.75" hidden="1" customHeight="1">
      <c r="A31" s="1286"/>
      <c r="B31" s="1286"/>
      <c r="C31" s="1286"/>
      <c r="D31" s="1286"/>
      <c r="E31" s="1286"/>
      <c r="F31" s="1286"/>
      <c r="G31" s="1286"/>
      <c r="H31" s="1286"/>
      <c r="I31" s="1286"/>
      <c r="J31" s="1286"/>
      <c r="K31" s="1286"/>
      <c r="L31" s="1287"/>
      <c r="M31" s="1286"/>
      <c r="N31" s="1286"/>
      <c r="O31" s="1286"/>
      <c r="P31" s="1286"/>
      <c r="Q31" s="1286"/>
      <c r="S31" s="2447" t="s">
        <v>420</v>
      </c>
      <c r="T31" s="2447"/>
      <c r="U31" s="1290"/>
      <c r="V31" s="2448" t="str">
        <f>IF(TITLE_DATE_PR_CHANGE="",IF(TITLE_DATE_PR="","",TITLE_DATE_PR),TITLE_DATE_PR_CHANGE)</f>
        <v/>
      </c>
      <c r="W31" s="2448"/>
      <c r="X31" s="2448"/>
      <c r="Y31" s="2448"/>
      <c r="Z31" s="2448"/>
      <c r="AA31" s="263"/>
      <c r="AB31" s="2448" t="str">
        <f>IF(TITLE_DATE_PR_CHANGE="",IF(TITLE_DATE_PR="","",TITLE_DATE_PR),TITLE_DATE_PR_CHANGE)</f>
        <v/>
      </c>
      <c r="AC31" s="2448"/>
      <c r="AD31" s="2448"/>
      <c r="AE31" s="2448"/>
      <c r="AF31" s="2448"/>
      <c r="AG31" s="2448"/>
      <c r="AH31" s="2448"/>
      <c r="AI31" s="2448"/>
      <c r="AJ31" s="2448"/>
      <c r="AK31" s="2448"/>
      <c r="AL31" s="2448"/>
      <c r="AM31" s="2448"/>
      <c r="AN31" s="2448"/>
      <c r="AO31" s="2448"/>
      <c r="AP31" s="2448"/>
      <c r="AQ31" s="2448"/>
      <c r="AR31" s="2448"/>
      <c r="AS31" s="263"/>
      <c r="AT31" s="263"/>
      <c r="AU31" s="217"/>
      <c r="AV31" s="304"/>
      <c r="AW31" s="304"/>
      <c r="AX31" s="304"/>
      <c r="AY31" s="304"/>
      <c r="AZ31" s="304"/>
      <c r="BA31" s="354">
        <v>0</v>
      </c>
    </row>
    <row r="32" spans="1:53" s="2098" customFormat="1" ht="18.75" hidden="1" customHeight="1">
      <c r="A32" s="1286"/>
      <c r="B32" s="1286"/>
      <c r="C32" s="1286"/>
      <c r="D32" s="1286"/>
      <c r="E32" s="1286"/>
      <c r="F32" s="1286"/>
      <c r="G32" s="1286"/>
      <c r="H32" s="1286"/>
      <c r="I32" s="1286"/>
      <c r="J32" s="1286"/>
      <c r="K32" s="1286"/>
      <c r="L32" s="1287"/>
      <c r="M32" s="1286"/>
      <c r="N32" s="1286"/>
      <c r="O32" s="1286"/>
      <c r="P32" s="1286"/>
      <c r="Q32" s="1286"/>
      <c r="S32" s="2447" t="s">
        <v>421</v>
      </c>
      <c r="T32" s="2447"/>
      <c r="U32" s="1290"/>
      <c r="V32" s="2449" t="str">
        <f>IF(TITLE_NUMBER_PR_CHANGE="",IF(TITLE_NUMBER_PR="","",TITLE_NUMBER_PR),TITLE_NUMBER_PR_CHANGE)</f>
        <v/>
      </c>
      <c r="W32" s="2449"/>
      <c r="X32" s="2449"/>
      <c r="Y32" s="2449"/>
      <c r="Z32" s="2449"/>
      <c r="AA32" s="263"/>
      <c r="AB32" s="2449" t="str">
        <f>IF(TITLE_NUMBER_PR_CHANGE="",IF(TITLE_NUMBER_PR="","",TITLE_NUMBER_PR),TITLE_NUMBER_PR_CHANGE)</f>
        <v/>
      </c>
      <c r="AC32" s="2449"/>
      <c r="AD32" s="2449"/>
      <c r="AE32" s="2449"/>
      <c r="AF32" s="2449"/>
      <c r="AG32" s="2449"/>
      <c r="AH32" s="2449"/>
      <c r="AI32" s="2449"/>
      <c r="AJ32" s="2449"/>
      <c r="AK32" s="2449"/>
      <c r="AL32" s="2449"/>
      <c r="AM32" s="2449"/>
      <c r="AN32" s="2449"/>
      <c r="AO32" s="2449"/>
      <c r="AP32" s="2449"/>
      <c r="AQ32" s="2449"/>
      <c r="AR32" s="2449"/>
      <c r="AS32" s="263"/>
      <c r="AT32" s="263"/>
      <c r="AU32" s="217"/>
      <c r="AV32" s="304"/>
      <c r="AW32" s="304"/>
      <c r="AX32" s="304"/>
      <c r="AY32" s="304"/>
      <c r="AZ32" s="304"/>
      <c r="BA32" s="354">
        <v>0</v>
      </c>
    </row>
    <row r="33" spans="1:53" s="2098" customFormat="1" ht="18.75" hidden="1" customHeight="1">
      <c r="A33" s="1286"/>
      <c r="B33" s="1286"/>
      <c r="C33" s="1286"/>
      <c r="D33" s="1286"/>
      <c r="E33" s="1286"/>
      <c r="F33" s="1286"/>
      <c r="G33" s="1286"/>
      <c r="H33" s="1286"/>
      <c r="I33" s="1286"/>
      <c r="J33" s="1286"/>
      <c r="K33" s="1286"/>
      <c r="L33" s="1287"/>
      <c r="M33" s="1286"/>
      <c r="N33" s="1286"/>
      <c r="O33" s="1286"/>
      <c r="P33" s="1286"/>
      <c r="Q33" s="1286"/>
      <c r="S33" s="2447" t="s">
        <v>44</v>
      </c>
      <c r="T33" s="2447"/>
      <c r="U33" s="1290"/>
      <c r="V33" s="2449" t="str">
        <f>IF(TITLE_IST_PUB_CHANGE="",IF(TITLE_IST_PUB="","",TITLE_IST_PUB),TITLE_IST_PUB_CHANGE)</f>
        <v/>
      </c>
      <c r="W33" s="2449"/>
      <c r="X33" s="2449"/>
      <c r="Y33" s="2449"/>
      <c r="Z33" s="2449"/>
      <c r="AA33" s="263"/>
      <c r="AB33" s="2449" t="str">
        <f>IF(TITLE_IST_PUB_CHANGE="",IF(TITLE_IST_PUB="","",TITLE_IST_PUB),TITLE_IST_PUB_CHANGE)</f>
        <v/>
      </c>
      <c r="AC33" s="2449"/>
      <c r="AD33" s="2449"/>
      <c r="AE33" s="2449"/>
      <c r="AF33" s="2449"/>
      <c r="AG33" s="2449"/>
      <c r="AH33" s="2449"/>
      <c r="AI33" s="2449"/>
      <c r="AJ33" s="2449"/>
      <c r="AK33" s="2449"/>
      <c r="AL33" s="2449"/>
      <c r="AM33" s="2449"/>
      <c r="AN33" s="2449"/>
      <c r="AO33" s="2449"/>
      <c r="AP33" s="2449"/>
      <c r="AQ33" s="2449"/>
      <c r="AR33" s="2449"/>
      <c r="AS33" s="263"/>
      <c r="AT33" s="263"/>
      <c r="AU33" s="217"/>
      <c r="AV33" s="304"/>
      <c r="AW33" s="304"/>
      <c r="AX33" s="304"/>
      <c r="AY33" s="304"/>
      <c r="AZ33" s="304"/>
      <c r="BA33" s="354">
        <v>0</v>
      </c>
    </row>
    <row r="34" spans="1:53" ht="14.25" hidden="1" customHeight="1">
      <c r="Q34" s="228"/>
      <c r="R34" s="312"/>
      <c r="S34" s="1193"/>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098" customFormat="1" ht="18.75" hidden="1" customHeight="1">
      <c r="A35" s="1286"/>
      <c r="B35" s="1286"/>
      <c r="C35" s="1286"/>
      <c r="D35" s="1286"/>
      <c r="E35" s="1286"/>
      <c r="F35" s="1286"/>
      <c r="G35" s="1286"/>
      <c r="H35" s="1286"/>
      <c r="I35" s="1286"/>
      <c r="J35" s="1286"/>
      <c r="K35" s="1286"/>
      <c r="L35" s="1287"/>
      <c r="M35" s="1286"/>
      <c r="N35" s="1286"/>
      <c r="O35" s="1286"/>
      <c r="P35" s="1286"/>
      <c r="Q35" s="1286"/>
      <c r="S35" s="2447" t="s">
        <v>420</v>
      </c>
      <c r="T35" s="2447"/>
      <c r="U35" s="1290"/>
      <c r="V35" s="2448" t="str">
        <f>IF(TITLE_DATE_PR_CHANGE="",IF(TITLE_DATE_PR="","",TITLE_DATE_PR),TITLE_DATE_PR_CHANGE)</f>
        <v/>
      </c>
      <c r="W35" s="2448"/>
      <c r="X35" s="2448"/>
      <c r="Y35" s="2448"/>
      <c r="Z35" s="2448"/>
      <c r="AA35" s="263"/>
      <c r="AB35" s="2448" t="str">
        <f>IF(TITLE_DATE_PR_CHANGE="",IF(TITLE_DATE_PR="","",TITLE_DATE_PR),TITLE_DATE_PR_CHANGE)</f>
        <v/>
      </c>
      <c r="AC35" s="2448"/>
      <c r="AD35" s="2448"/>
      <c r="AE35" s="2448"/>
      <c r="AF35" s="2448"/>
      <c r="AG35" s="2448"/>
      <c r="AH35" s="2448"/>
      <c r="AI35" s="2448"/>
      <c r="AJ35" s="2448"/>
      <c r="AK35" s="2448"/>
      <c r="AL35" s="2448"/>
      <c r="AM35" s="2448"/>
      <c r="AN35" s="2448"/>
      <c r="AO35" s="2448"/>
      <c r="AP35" s="2448"/>
      <c r="AQ35" s="2448"/>
      <c r="AR35" s="2448"/>
      <c r="AS35" s="263"/>
      <c r="AT35" s="263"/>
      <c r="AU35" s="217"/>
      <c r="AV35" s="304"/>
      <c r="AW35" s="304"/>
      <c r="AX35" s="304"/>
      <c r="AY35" s="304"/>
      <c r="AZ35" s="304"/>
      <c r="BA35" s="354">
        <v>0</v>
      </c>
    </row>
    <row r="36" spans="1:53" s="2098" customFormat="1" ht="18" hidden="1" customHeight="1">
      <c r="A36" s="1286"/>
      <c r="B36" s="1286"/>
      <c r="C36" s="1286"/>
      <c r="D36" s="1286"/>
      <c r="E36" s="1286"/>
      <c r="F36" s="1286"/>
      <c r="G36" s="1286"/>
      <c r="H36" s="1286"/>
      <c r="I36" s="1286"/>
      <c r="J36" s="1286"/>
      <c r="K36" s="1286"/>
      <c r="L36" s="1287"/>
      <c r="M36" s="1286"/>
      <c r="N36" s="1286"/>
      <c r="O36" s="1286"/>
      <c r="P36" s="1286"/>
      <c r="Q36" s="1286"/>
      <c r="S36" s="2447" t="s">
        <v>421</v>
      </c>
      <c r="T36" s="2447"/>
      <c r="U36" s="1290"/>
      <c r="V36" s="2449" t="str">
        <f>IF(TITLE_NUMBER_PR_CHANGE="",IF(TITLE_NUMBER_PR="","",TITLE_NUMBER_PR),TITLE_NUMBER_PR_CHANGE)</f>
        <v/>
      </c>
      <c r="W36" s="2449"/>
      <c r="X36" s="2449"/>
      <c r="Y36" s="2449"/>
      <c r="Z36" s="2449"/>
      <c r="AA36" s="263"/>
      <c r="AB36" s="2449" t="str">
        <f>IF(TITLE_NUMBER_PR_CHANGE="",IF(TITLE_NUMBER_PR="","",TITLE_NUMBER_PR),TITLE_NUMBER_PR_CHANGE)</f>
        <v/>
      </c>
      <c r="AC36" s="2449"/>
      <c r="AD36" s="2449"/>
      <c r="AE36" s="2449"/>
      <c r="AF36" s="2449"/>
      <c r="AG36" s="2449"/>
      <c r="AH36" s="2449"/>
      <c r="AI36" s="2449"/>
      <c r="AJ36" s="2449"/>
      <c r="AK36" s="2449"/>
      <c r="AL36" s="2449"/>
      <c r="AM36" s="2449"/>
      <c r="AN36" s="2449"/>
      <c r="AO36" s="2449"/>
      <c r="AP36" s="2449"/>
      <c r="AQ36" s="2449"/>
      <c r="AR36" s="2449"/>
      <c r="AS36" s="263"/>
      <c r="AT36" s="263"/>
      <c r="AU36" s="217"/>
      <c r="AV36" s="304"/>
      <c r="AW36" s="304"/>
      <c r="AX36" s="304"/>
      <c r="AY36" s="304"/>
      <c r="AZ36" s="304"/>
      <c r="BA36" s="354">
        <v>0</v>
      </c>
    </row>
    <row r="37" spans="1:53" s="2098"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4"/>
      <c r="AW37" s="304"/>
      <c r="AX37" s="304"/>
      <c r="AY37" s="304"/>
      <c r="AZ37" s="304"/>
      <c r="BA37" s="354">
        <v>1</v>
      </c>
    </row>
    <row r="38" spans="1:53" ht="14.65" customHeight="1">
      <c r="Q38" s="228"/>
      <c r="R38" s="312"/>
      <c r="S38" s="1193"/>
      <c r="T38" s="299"/>
      <c r="U38" s="1162"/>
      <c r="V38" s="2468"/>
      <c r="W38" s="2468"/>
      <c r="X38" s="2468"/>
      <c r="Y38" s="2468"/>
      <c r="Z38" s="2468"/>
      <c r="AA38" s="2468"/>
      <c r="AB38" s="2468"/>
      <c r="AC38" s="2468"/>
      <c r="AD38" s="2468"/>
      <c r="AE38" s="2468"/>
      <c r="AF38" s="2468"/>
      <c r="AG38" s="2468"/>
      <c r="AH38" s="2468"/>
      <c r="AI38" s="2468"/>
      <c r="AJ38" s="2468"/>
      <c r="AK38" s="2468"/>
      <c r="AL38" s="2468"/>
      <c r="AM38" s="2468"/>
      <c r="AN38" s="2468"/>
      <c r="AO38" s="2468"/>
      <c r="AP38" s="2468"/>
      <c r="AQ38" s="2468"/>
      <c r="AR38" s="2468"/>
      <c r="AS38" s="2468"/>
      <c r="BA38" s="1073">
        <v>14</v>
      </c>
    </row>
    <row r="39" spans="1:53" ht="14.65" customHeight="1">
      <c r="Q39" s="228"/>
      <c r="R39" s="312"/>
      <c r="S39" s="2328" t="s">
        <v>297</v>
      </c>
      <c r="T39" s="2328"/>
      <c r="U39" s="2328"/>
      <c r="V39" s="2328"/>
      <c r="W39" s="2328"/>
      <c r="X39" s="2328"/>
      <c r="Y39" s="2328"/>
      <c r="Z39" s="2328"/>
      <c r="AA39" s="2328"/>
      <c r="AB39" s="2387"/>
      <c r="AC39" s="2387"/>
      <c r="AD39" s="2387"/>
      <c r="AE39" s="2387"/>
      <c r="AF39" s="2328"/>
      <c r="AG39" s="2328"/>
      <c r="AH39" s="2328"/>
      <c r="AI39" s="2328"/>
      <c r="AJ39" s="2328"/>
      <c r="AK39" s="2328"/>
      <c r="AL39" s="2328"/>
      <c r="AM39" s="2328"/>
      <c r="AN39" s="2328"/>
      <c r="AO39" s="2328"/>
      <c r="AP39" s="2328"/>
      <c r="AQ39" s="2328"/>
      <c r="AR39" s="2328"/>
      <c r="AS39" s="2328"/>
      <c r="AT39" s="2328"/>
      <c r="AU39" s="2328" t="s">
        <v>298</v>
      </c>
      <c r="BA39" s="1073">
        <v>14</v>
      </c>
    </row>
    <row r="40" spans="1:53" ht="14.65" customHeight="1">
      <c r="Q40" s="228"/>
      <c r="R40" s="312"/>
      <c r="S40" s="2469" t="s">
        <v>90</v>
      </c>
      <c r="T40" s="2417" t="s">
        <v>470</v>
      </c>
      <c r="U40" s="238"/>
      <c r="V40" s="2471"/>
      <c r="W40" s="2471"/>
      <c r="X40" s="2471"/>
      <c r="Y40" s="2471"/>
      <c r="Z40" s="2472"/>
      <c r="AA40" s="2518" t="s">
        <v>427</v>
      </c>
      <c r="AB40" s="2502" t="s">
        <v>471</v>
      </c>
      <c r="AC40" s="2486"/>
      <c r="AD40" s="2486"/>
      <c r="AE40" s="2503"/>
      <c r="AF40" s="2486" t="s">
        <v>472</v>
      </c>
      <c r="AG40" s="2486"/>
      <c r="AH40" s="2486"/>
      <c r="AI40" s="2503"/>
      <c r="AJ40" s="2502" t="s">
        <v>473</v>
      </c>
      <c r="AK40" s="2486"/>
      <c r="AL40" s="2486"/>
      <c r="AM40" s="2503"/>
      <c r="AN40" s="2502" t="s">
        <v>426</v>
      </c>
      <c r="AO40" s="2486"/>
      <c r="AP40" s="2471"/>
      <c r="AQ40" s="2471"/>
      <c r="AR40" s="2472"/>
      <c r="AS40" s="2473" t="s">
        <v>427</v>
      </c>
      <c r="AT40" s="2476" t="s">
        <v>429</v>
      </c>
      <c r="AU40" s="2328"/>
      <c r="BA40" s="1073">
        <v>14</v>
      </c>
    </row>
    <row r="41" spans="1:53" ht="35.65" customHeight="1">
      <c r="Q41" s="228"/>
      <c r="R41" s="312"/>
      <c r="S41" s="2469"/>
      <c r="T41" s="2417"/>
      <c r="U41" s="954"/>
      <c r="V41" s="2328" t="s">
        <v>474</v>
      </c>
      <c r="W41" s="2328"/>
      <c r="X41" s="2388" t="s">
        <v>433</v>
      </c>
      <c r="Y41" s="2498"/>
      <c r="Z41" s="2389"/>
      <c r="AA41" s="2519"/>
      <c r="AB41" s="2504"/>
      <c r="AC41" s="2505"/>
      <c r="AD41" s="2505"/>
      <c r="AE41" s="2517"/>
      <c r="AF41" s="2505"/>
      <c r="AG41" s="2505"/>
      <c r="AH41" s="2505"/>
      <c r="AI41" s="2517"/>
      <c r="AJ41" s="2504"/>
      <c r="AK41" s="2505"/>
      <c r="AL41" s="2505"/>
      <c r="AM41" s="2505"/>
      <c r="AN41" s="2328" t="s">
        <v>474</v>
      </c>
      <c r="AO41" s="2328"/>
      <c r="AP41" s="2498" t="s">
        <v>433</v>
      </c>
      <c r="AQ41" s="2498"/>
      <c r="AR41" s="2389"/>
      <c r="AS41" s="2474"/>
      <c r="AT41" s="2477"/>
      <c r="AU41" s="2328"/>
      <c r="BA41" s="1073">
        <v>34</v>
      </c>
    </row>
    <row r="42" spans="1:53" ht="14.65" customHeight="1">
      <c r="Q42" s="228"/>
      <c r="R42" s="312"/>
      <c r="S42" s="2469"/>
      <c r="T42" s="2417"/>
      <c r="U42" s="954"/>
      <c r="V42" s="2522" t="str">
        <f>IF($AN$42&lt;&gt;"",$AN$42,"")</f>
        <v/>
      </c>
      <c r="W42" s="2522"/>
      <c r="X42" s="2393"/>
      <c r="Y42" s="2499"/>
      <c r="Z42" s="2394"/>
      <c r="AA42" s="2519"/>
      <c r="AB42" s="2504"/>
      <c r="AC42" s="2505"/>
      <c r="AD42" s="2505"/>
      <c r="AE42" s="2517"/>
      <c r="AF42" s="2505"/>
      <c r="AG42" s="2505"/>
      <c r="AH42" s="2505"/>
      <c r="AI42" s="2517"/>
      <c r="AJ42" s="2504"/>
      <c r="AK42" s="2505"/>
      <c r="AL42" s="2505"/>
      <c r="AM42" s="2505"/>
      <c r="AN42" s="2521"/>
      <c r="AO42" s="2521"/>
      <c r="AP42" s="2499"/>
      <c r="AQ42" s="2499"/>
      <c r="AR42" s="2394"/>
      <c r="AS42" s="2474"/>
      <c r="AT42" s="2477"/>
      <c r="AU42" s="2328"/>
      <c r="BA42" s="1073">
        <v>14</v>
      </c>
    </row>
    <row r="43" spans="1:53" ht="14.65" customHeight="1">
      <c r="A43" s="1288"/>
      <c r="B43" s="1288" t="s">
        <v>134</v>
      </c>
      <c r="C43" s="1288" t="s">
        <v>135</v>
      </c>
      <c r="D43" s="1288" t="s">
        <v>136</v>
      </c>
      <c r="E43" s="1282" t="s">
        <v>434</v>
      </c>
      <c r="F43" s="1282" t="s">
        <v>435</v>
      </c>
      <c r="G43" s="1282" t="s">
        <v>436</v>
      </c>
      <c r="H43" s="1282" t="s">
        <v>437</v>
      </c>
      <c r="I43" s="1282" t="s">
        <v>438</v>
      </c>
      <c r="J43" s="1282" t="s">
        <v>439</v>
      </c>
      <c r="K43" s="1282" t="s">
        <v>440</v>
      </c>
      <c r="L43" s="1282" t="s">
        <v>415</v>
      </c>
      <c r="Q43" s="228"/>
      <c r="R43" s="312"/>
      <c r="S43" s="2469"/>
      <c r="T43" s="2417"/>
      <c r="U43" s="239"/>
      <c r="V43" s="1248" t="s">
        <v>475</v>
      </c>
      <c r="W43" s="1248" t="s">
        <v>476</v>
      </c>
      <c r="X43" s="1256" t="s">
        <v>443</v>
      </c>
      <c r="Y43" s="2422" t="s">
        <v>444</v>
      </c>
      <c r="Z43" s="2436"/>
      <c r="AA43" s="2520"/>
      <c r="AB43" s="2506"/>
      <c r="AC43" s="2507"/>
      <c r="AD43" s="2507"/>
      <c r="AE43" s="2508"/>
      <c r="AF43" s="2507"/>
      <c r="AG43" s="2507"/>
      <c r="AH43" s="2507"/>
      <c r="AI43" s="2508"/>
      <c r="AJ43" s="2506"/>
      <c r="AK43" s="2507"/>
      <c r="AL43" s="2507"/>
      <c r="AM43" s="2508"/>
      <c r="AN43" s="1775" t="s">
        <v>475</v>
      </c>
      <c r="AO43" s="1775" t="s">
        <v>476</v>
      </c>
      <c r="AP43" s="1256" t="s">
        <v>443</v>
      </c>
      <c r="AQ43" s="2422" t="s">
        <v>444</v>
      </c>
      <c r="AR43" s="2436"/>
      <c r="AS43" s="2475"/>
      <c r="AT43" s="2478"/>
      <c r="AU43" s="2328"/>
      <c r="BA43" s="1073">
        <v>14</v>
      </c>
    </row>
    <row r="44" spans="1:53" s="2028"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108</v>
      </c>
      <c r="T44" s="1173" t="s">
        <v>109</v>
      </c>
      <c r="U44" s="1163" t="str">
        <f ca="1">OFFSET(U44,0,-1)</f>
        <v>2</v>
      </c>
      <c r="V44" s="1253">
        <f ca="1">OFFSET(V44,0,-1)+1</f>
        <v>3</v>
      </c>
      <c r="W44" s="1253">
        <f ca="1">OFFSET(W44,0,-1)+1</f>
        <v>4</v>
      </c>
      <c r="X44" s="1253">
        <f ca="1">OFFSET(X44,0,-1)+1</f>
        <v>5</v>
      </c>
      <c r="Y44" s="2467">
        <f ca="1">OFFSET(Y44,0,-1)+1</f>
        <v>6</v>
      </c>
      <c r="Z44" s="2467"/>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67">
        <f ca="1">OFFSET(AQ44,0,-1)+1</f>
        <v>4</v>
      </c>
      <c r="AR44" s="2467"/>
      <c r="AS44" s="1253">
        <f ca="1">OFFSET(AS44,0,-2)+1</f>
        <v>5</v>
      </c>
      <c r="AT44" s="1163">
        <f ca="1">OFFSET(AT44,0,-1)</f>
        <v>5</v>
      </c>
      <c r="AU44" s="1253">
        <f ca="1">OFFSET(AU44,0,-1)+1</f>
        <v>6</v>
      </c>
      <c r="AV44" s="447"/>
      <c r="AW44" s="447"/>
      <c r="AX44" s="447"/>
      <c r="AY44" s="447"/>
      <c r="AZ44" s="447"/>
      <c r="BA44" s="432">
        <v>0</v>
      </c>
    </row>
    <row r="45" spans="1:53" ht="107.25" customHeight="1">
      <c r="A45" s="1281" t="s">
        <v>197</v>
      </c>
      <c r="B45" s="1281"/>
      <c r="C45" s="1281"/>
      <c r="D45" s="1281"/>
      <c r="E45" s="2456">
        <v>1</v>
      </c>
      <c r="F45" s="1281"/>
      <c r="G45" s="1281"/>
      <c r="H45" s="1281"/>
      <c r="I45" s="1281"/>
      <c r="J45" s="1281"/>
      <c r="K45" s="1281"/>
      <c r="L45" s="1282"/>
      <c r="M45" s="1283"/>
      <c r="N45" s="1283"/>
      <c r="O45" s="1283"/>
      <c r="P45" s="1327"/>
      <c r="Q45" s="799"/>
      <c r="R45" s="291"/>
      <c r="S45" s="1254">
        <f>INDEX(PT_DIFFERENTIATION_NUM_NTAR,MATCH(A45,PT_DIFFERENTIATION_NTAR_ID,0))</f>
        <v>0</v>
      </c>
      <c r="T45" s="235" t="s">
        <v>122</v>
      </c>
      <c r="U45" s="237"/>
      <c r="V45" s="2451"/>
      <c r="W45" s="2451"/>
      <c r="X45" s="2451"/>
      <c r="Y45" s="2451"/>
      <c r="Z45" s="2451"/>
      <c r="AA45" s="2452"/>
      <c r="AB45" s="2450" t="str">
        <f>INDEX(PT_DIFFERENTIATION_NTAR,MATCH(A45,PT_DIFFERENTIATION_NTAR_ID,0))</f>
        <v/>
      </c>
      <c r="AC45" s="2451"/>
      <c r="AD45" s="2451"/>
      <c r="AE45" s="2451"/>
      <c r="AF45" s="2451"/>
      <c r="AG45" s="2451"/>
      <c r="AH45" s="2451"/>
      <c r="AI45" s="2451"/>
      <c r="AJ45" s="2451"/>
      <c r="AK45" s="2451"/>
      <c r="AL45" s="2451"/>
      <c r="AM45" s="2451"/>
      <c r="AN45" s="2451"/>
      <c r="AO45" s="2451"/>
      <c r="AP45" s="2451"/>
      <c r="AQ45" s="2451"/>
      <c r="AR45" s="2451"/>
      <c r="AS45" s="2451"/>
      <c r="AT45" s="2452"/>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197</v>
      </c>
      <c r="B46" s="1281" t="s">
        <v>198</v>
      </c>
      <c r="C46" s="1281"/>
      <c r="D46" s="1281"/>
      <c r="E46" s="2457"/>
      <c r="F46" s="2456">
        <v>1</v>
      </c>
      <c r="G46" s="1281"/>
      <c r="H46" s="1281"/>
      <c r="I46" s="1281"/>
      <c r="J46" s="1281"/>
      <c r="K46" s="1281"/>
      <c r="L46" s="1282"/>
      <c r="M46" s="1283"/>
      <c r="N46" s="1283"/>
      <c r="O46" s="1283"/>
      <c r="P46" s="1328"/>
      <c r="Q46" s="1329"/>
      <c r="R46" s="289"/>
      <c r="S46" s="1254" t="str">
        <f>INDEX(PT_DIFFERENTIATION_NUM_TER,MATCH(B46,PT_DIFFERENTIATION_TER_ID,0))</f>
        <v>.</v>
      </c>
      <c r="T46" s="245" t="s">
        <v>394</v>
      </c>
      <c r="U46" s="237"/>
      <c r="V46" s="2451"/>
      <c r="W46" s="2451"/>
      <c r="X46" s="2451"/>
      <c r="Y46" s="2451"/>
      <c r="Z46" s="2451"/>
      <c r="AA46" s="2452"/>
      <c r="AB46" s="2450" t="str">
        <f>INDEX(PT_DIFFERENTIATION_TER,MATCH(B46,PT_DIFFERENTIATION_TER_ID,0))</f>
        <v/>
      </c>
      <c r="AC46" s="2451"/>
      <c r="AD46" s="2451"/>
      <c r="AE46" s="2451"/>
      <c r="AF46" s="2451"/>
      <c r="AG46" s="2451"/>
      <c r="AH46" s="2451"/>
      <c r="AI46" s="2451"/>
      <c r="AJ46" s="2451"/>
      <c r="AK46" s="2451"/>
      <c r="AL46" s="2451"/>
      <c r="AM46" s="2451"/>
      <c r="AN46" s="2451"/>
      <c r="AO46" s="2451"/>
      <c r="AP46" s="2451"/>
      <c r="AQ46" s="2451"/>
      <c r="AR46" s="2451"/>
      <c r="AS46" s="2451"/>
      <c r="AT46" s="2452"/>
      <c r="AU46" s="1176" t="s">
        <v>395</v>
      </c>
      <c r="AW46" s="436"/>
      <c r="AX46" s="436" t="str">
        <f t="shared" si="2"/>
        <v>Территория действия тарифа</v>
      </c>
      <c r="AY46" s="436"/>
      <c r="AZ46" s="436"/>
      <c r="BA46" s="1073">
        <v>21</v>
      </c>
    </row>
    <row r="47" spans="1:53" ht="24" customHeight="1">
      <c r="A47" s="1281" t="s">
        <v>197</v>
      </c>
      <c r="B47" s="1281" t="s">
        <v>198</v>
      </c>
      <c r="C47" s="1281" t="s">
        <v>199</v>
      </c>
      <c r="D47" s="1281"/>
      <c r="E47" s="2457"/>
      <c r="F47" s="2457"/>
      <c r="G47" s="2456">
        <v>1</v>
      </c>
      <c r="H47" s="1281"/>
      <c r="I47" s="1281"/>
      <c r="J47" s="1281"/>
      <c r="K47" s="1281"/>
      <c r="L47" s="1282"/>
      <c r="M47" s="1283"/>
      <c r="N47" s="1283"/>
      <c r="O47" s="1283"/>
      <c r="P47" s="1330"/>
      <c r="Q47" s="1329"/>
      <c r="R47" s="289"/>
      <c r="S47" s="1254" t="str">
        <f>INDEX(PT_DIFFERENTIATION_NUM_CS,MATCH(C47,PT_DIFFERENTIATION_CS_ID,0))</f>
        <v>..</v>
      </c>
      <c r="T47" s="246" t="s">
        <v>396</v>
      </c>
      <c r="U47" s="237"/>
      <c r="V47" s="2451"/>
      <c r="W47" s="2451"/>
      <c r="X47" s="2451"/>
      <c r="Y47" s="2451"/>
      <c r="Z47" s="2451"/>
      <c r="AA47" s="2452"/>
      <c r="AB47" s="2450" t="str">
        <f>INDEX(PT_DIFFERENTIATION_CS,MATCH(C47,PT_DIFFERENTIATION_CS_ID,0))</f>
        <v/>
      </c>
      <c r="AC47" s="2451"/>
      <c r="AD47" s="2451"/>
      <c r="AE47" s="2451"/>
      <c r="AF47" s="2451"/>
      <c r="AG47" s="2451"/>
      <c r="AH47" s="2451"/>
      <c r="AI47" s="2451"/>
      <c r="AJ47" s="2451"/>
      <c r="AK47" s="2451"/>
      <c r="AL47" s="2451"/>
      <c r="AM47" s="2451"/>
      <c r="AN47" s="2451"/>
      <c r="AO47" s="2451"/>
      <c r="AP47" s="2451"/>
      <c r="AQ47" s="2451"/>
      <c r="AR47" s="2451"/>
      <c r="AS47" s="2451"/>
      <c r="AT47" s="2452"/>
      <c r="AU47" s="1176" t="s">
        <v>397</v>
      </c>
      <c r="AW47" s="436"/>
      <c r="AX47" s="436" t="str">
        <f t="shared" si="2"/>
        <v xml:space="preserve">Наименование системы теплоснабжения </v>
      </c>
      <c r="AY47" s="436"/>
      <c r="AZ47" s="436"/>
      <c r="BA47" s="1073">
        <v>23</v>
      </c>
    </row>
    <row r="48" spans="1:53" ht="21" customHeight="1">
      <c r="A48" s="1281" t="s">
        <v>197</v>
      </c>
      <c r="B48" s="1281" t="s">
        <v>198</v>
      </c>
      <c r="C48" s="1281" t="s">
        <v>199</v>
      </c>
      <c r="D48" s="1281" t="s">
        <v>200</v>
      </c>
      <c r="E48" s="2457"/>
      <c r="F48" s="2457"/>
      <c r="G48" s="2457"/>
      <c r="H48" s="2456">
        <v>1</v>
      </c>
      <c r="I48" s="1281"/>
      <c r="J48" s="1281"/>
      <c r="K48" s="1281"/>
      <c r="L48" s="1282"/>
      <c r="M48" s="1283"/>
      <c r="N48" s="1283"/>
      <c r="O48" s="1283"/>
      <c r="P48" s="1330"/>
      <c r="Q48" s="1329"/>
      <c r="R48" s="289"/>
      <c r="S48" s="1254" t="str">
        <f>INDEX(PT_DIFFERENTIATION_NUM_IST_TE,MATCH(D48,PT_DIFFERENTIATION_IST_TE_ID,0))</f>
        <v>...</v>
      </c>
      <c r="T48" s="247" t="s">
        <v>398</v>
      </c>
      <c r="U48" s="237"/>
      <c r="V48" s="2451"/>
      <c r="W48" s="2451"/>
      <c r="X48" s="2451"/>
      <c r="Y48" s="2451"/>
      <c r="Z48" s="2451"/>
      <c r="AA48" s="2452"/>
      <c r="AB48" s="2450" t="str">
        <f>INDEX(PT_DIFFERENTIATION_IST_TE,MATCH(D48,PT_DIFFERENTIATION_IST_TE_ID,0))</f>
        <v/>
      </c>
      <c r="AC48" s="2451"/>
      <c r="AD48" s="2451"/>
      <c r="AE48" s="2451"/>
      <c r="AF48" s="2451"/>
      <c r="AG48" s="2451"/>
      <c r="AH48" s="2451"/>
      <c r="AI48" s="2451"/>
      <c r="AJ48" s="2451"/>
      <c r="AK48" s="2451"/>
      <c r="AL48" s="2451"/>
      <c r="AM48" s="2451"/>
      <c r="AN48" s="2451"/>
      <c r="AO48" s="2451"/>
      <c r="AP48" s="2451"/>
      <c r="AQ48" s="2451"/>
      <c r="AR48" s="2451"/>
      <c r="AS48" s="2451"/>
      <c r="AT48" s="2452"/>
      <c r="AU48" s="1176" t="s">
        <v>399</v>
      </c>
      <c r="AW48" s="436"/>
      <c r="AX48" s="436" t="str">
        <f t="shared" si="2"/>
        <v xml:space="preserve">Источник тепловой энергии  </v>
      </c>
      <c r="AY48" s="436"/>
      <c r="AZ48" s="436"/>
      <c r="BA48" s="1073">
        <v>20</v>
      </c>
    </row>
    <row r="49" spans="1:53" s="2034" customFormat="1" ht="1.1499999999999999" customHeight="1">
      <c r="A49" s="1261" t="s">
        <v>197</v>
      </c>
      <c r="B49" s="1261" t="s">
        <v>198</v>
      </c>
      <c r="C49" s="1261" t="s">
        <v>199</v>
      </c>
      <c r="D49" s="1261" t="s">
        <v>200</v>
      </c>
      <c r="E49" s="2457"/>
      <c r="F49" s="2457"/>
      <c r="G49" s="2457"/>
      <c r="H49" s="2457"/>
      <c r="I49" s="2458" t="str">
        <f>S48&amp;".1"</f>
        <v>....1</v>
      </c>
      <c r="J49" s="1261"/>
      <c r="K49" s="1261"/>
      <c r="L49" s="1264" t="s">
        <v>400</v>
      </c>
      <c r="M49" s="446"/>
      <c r="N49" s="446"/>
      <c r="O49" s="446"/>
      <c r="P49" s="2460">
        <v>1</v>
      </c>
      <c r="Q49" s="1249"/>
      <c r="R49" s="292"/>
      <c r="S49" s="965"/>
      <c r="T49" s="1301"/>
      <c r="U49" s="1302"/>
      <c r="V49" s="2488"/>
      <c r="W49" s="2488"/>
      <c r="X49" s="2488"/>
      <c r="Y49" s="2488"/>
      <c r="Z49" s="2488"/>
      <c r="AA49" s="2489"/>
      <c r="AB49" s="2487"/>
      <c r="AC49" s="2488"/>
      <c r="AD49" s="2488"/>
      <c r="AE49" s="2488"/>
      <c r="AF49" s="2488"/>
      <c r="AG49" s="2488"/>
      <c r="AH49" s="2488"/>
      <c r="AI49" s="2488"/>
      <c r="AJ49" s="2488"/>
      <c r="AK49" s="2488"/>
      <c r="AL49" s="2488"/>
      <c r="AM49" s="2488"/>
      <c r="AN49" s="2488"/>
      <c r="AO49" s="2488"/>
      <c r="AP49" s="2488"/>
      <c r="AQ49" s="2488"/>
      <c r="AR49" s="2488"/>
      <c r="AS49" s="2488"/>
      <c r="AT49" s="2489"/>
      <c r="AU49" s="1303"/>
      <c r="AW49" s="436"/>
      <c r="AX49" s="436" t="str">
        <f t="shared" si="2"/>
        <v/>
      </c>
      <c r="AY49" s="436"/>
      <c r="AZ49" s="436"/>
      <c r="BA49" s="447">
        <v>1</v>
      </c>
    </row>
    <row r="50" spans="1:53" s="2034" customFormat="1" ht="1.1499999999999999" customHeight="1">
      <c r="A50" s="1261" t="s">
        <v>197</v>
      </c>
      <c r="B50" s="1261" t="s">
        <v>198</v>
      </c>
      <c r="C50" s="1261" t="s">
        <v>199</v>
      </c>
      <c r="D50" s="1261" t="s">
        <v>200</v>
      </c>
      <c r="E50" s="2457"/>
      <c r="F50" s="2457"/>
      <c r="G50" s="2457"/>
      <c r="H50" s="2457"/>
      <c r="I50" s="2459"/>
      <c r="J50" s="2458" t="str">
        <f>S48&amp;".1"</f>
        <v>....1</v>
      </c>
      <c r="K50" s="1261"/>
      <c r="L50" s="1264"/>
      <c r="M50" s="446"/>
      <c r="N50" s="446"/>
      <c r="O50" s="446"/>
      <c r="P50" s="2460"/>
      <c r="Q50" s="2460">
        <v>1</v>
      </c>
      <c r="R50" s="293"/>
      <c r="S50" s="965"/>
      <c r="T50" s="1317"/>
      <c r="U50" s="1302"/>
      <c r="V50" s="2488"/>
      <c r="W50" s="2488"/>
      <c r="X50" s="2488"/>
      <c r="Y50" s="2488"/>
      <c r="Z50" s="2488"/>
      <c r="AA50" s="2489"/>
      <c r="AB50" s="2487"/>
      <c r="AC50" s="2488"/>
      <c r="AD50" s="2488"/>
      <c r="AE50" s="2488"/>
      <c r="AF50" s="2488"/>
      <c r="AG50" s="2488"/>
      <c r="AH50" s="2488"/>
      <c r="AI50" s="2488"/>
      <c r="AJ50" s="2488"/>
      <c r="AK50" s="2488"/>
      <c r="AL50" s="2488"/>
      <c r="AM50" s="2488"/>
      <c r="AN50" s="2488"/>
      <c r="AO50" s="2488"/>
      <c r="AP50" s="2488"/>
      <c r="AQ50" s="2488"/>
      <c r="AR50" s="2488"/>
      <c r="AS50" s="2488"/>
      <c r="AT50" s="2489"/>
      <c r="AU50" s="1303"/>
      <c r="AW50" s="436"/>
      <c r="AX50" s="436" t="str">
        <f t="shared" si="2"/>
        <v/>
      </c>
      <c r="AY50" s="436"/>
      <c r="AZ50" s="436"/>
      <c r="BA50" s="447">
        <v>1</v>
      </c>
    </row>
    <row r="51" spans="1:53" ht="21.95" customHeight="1">
      <c r="A51" s="1281" t="s">
        <v>197</v>
      </c>
      <c r="B51" s="1281" t="s">
        <v>198</v>
      </c>
      <c r="C51" s="1281" t="s">
        <v>199</v>
      </c>
      <c r="D51" s="1281" t="s">
        <v>200</v>
      </c>
      <c r="E51" s="2457"/>
      <c r="F51" s="2457"/>
      <c r="G51" s="2457"/>
      <c r="H51" s="2457"/>
      <c r="I51" s="2459"/>
      <c r="J51" s="2459"/>
      <c r="K51" s="2458" t="str">
        <f>S48&amp;".1"</f>
        <v>....1</v>
      </c>
      <c r="L51" s="1282"/>
      <c r="P51" s="2460"/>
      <c r="Q51" s="2460"/>
      <c r="R51" s="293">
        <v>1</v>
      </c>
      <c r="S51" s="2513" t="str">
        <f>$K51</f>
        <v>....1</v>
      </c>
      <c r="T51" s="2510"/>
      <c r="U51" s="237"/>
      <c r="V51" s="687"/>
      <c r="W51" s="1175"/>
      <c r="X51" s="1651"/>
      <c r="Y51" s="1377" t="s">
        <v>67</v>
      </c>
      <c r="Z51" s="1651"/>
      <c r="AA51" s="1377" t="s">
        <v>67</v>
      </c>
      <c r="AB51" s="2338" t="s">
        <v>19</v>
      </c>
      <c r="AC51" s="2509"/>
      <c r="AD51" s="2413">
        <v>1</v>
      </c>
      <c r="AE51" s="2501" t="s">
        <v>22</v>
      </c>
      <c r="AF51" s="2338" t="s">
        <v>19</v>
      </c>
      <c r="AG51" s="2509"/>
      <c r="AH51" s="2413">
        <v>1</v>
      </c>
      <c r="AI51" s="2501" t="s">
        <v>22</v>
      </c>
      <c r="AJ51" s="2338" t="s">
        <v>19</v>
      </c>
      <c r="AK51" s="248"/>
      <c r="AL51" s="1255">
        <v>1</v>
      </c>
      <c r="AM51" s="1320"/>
      <c r="AN51" s="687"/>
      <c r="AO51" s="1175"/>
      <c r="AP51" s="1651"/>
      <c r="AQ51" s="1377" t="s">
        <v>67</v>
      </c>
      <c r="AR51" s="1651"/>
      <c r="AS51" s="1377" t="s">
        <v>67</v>
      </c>
      <c r="AT51" s="1266"/>
      <c r="AU51" s="2479" t="s">
        <v>477</v>
      </c>
      <c r="AV51" s="447" t="e">
        <f ca="1">STRCHECKDATE(V54:AT54)</f>
        <v>#NAME?</v>
      </c>
      <c r="AW51" s="436"/>
      <c r="AX51" s="436" t="str">
        <f t="shared" si="2"/>
        <v/>
      </c>
      <c r="AY51" s="436"/>
      <c r="AZ51" s="436"/>
      <c r="BA51" s="1073">
        <v>21</v>
      </c>
    </row>
    <row r="52" spans="1:53" ht="11.45" customHeight="1">
      <c r="A52" s="1281" t="s">
        <v>197</v>
      </c>
      <c r="B52" s="1281"/>
      <c r="C52" s="1281"/>
      <c r="D52" s="1281"/>
      <c r="E52" s="2457"/>
      <c r="F52" s="2457"/>
      <c r="G52" s="2457"/>
      <c r="H52" s="2457"/>
      <c r="I52" s="2459"/>
      <c r="J52" s="2459"/>
      <c r="K52" s="2458"/>
      <c r="L52" s="1282"/>
      <c r="P52" s="2460"/>
      <c r="Q52" s="2460"/>
      <c r="R52" s="293"/>
      <c r="S52" s="2514"/>
      <c r="T52" s="2511"/>
      <c r="U52" s="237"/>
      <c r="V52" s="1311"/>
      <c r="W52" s="1414"/>
      <c r="X52" s="1311"/>
      <c r="Y52" s="1311"/>
      <c r="Z52" s="1311"/>
      <c r="AA52" s="1311"/>
      <c r="AB52" s="2338"/>
      <c r="AC52" s="2509"/>
      <c r="AD52" s="2413"/>
      <c r="AE52" s="2501"/>
      <c r="AF52" s="2338"/>
      <c r="AG52" s="2509"/>
      <c r="AH52" s="2413"/>
      <c r="AI52" s="2501"/>
      <c r="AJ52" s="2338"/>
      <c r="AK52" s="253"/>
      <c r="AL52" s="352"/>
      <c r="AM52" s="351" t="s">
        <v>462</v>
      </c>
      <c r="AN52" s="1311"/>
      <c r="AO52" s="1414"/>
      <c r="AP52" s="1311"/>
      <c r="AQ52" s="1311"/>
      <c r="AR52" s="1311"/>
      <c r="AS52" s="1311"/>
      <c r="AT52" s="1308"/>
      <c r="AU52" s="2480"/>
      <c r="AW52" s="436"/>
      <c r="AX52" s="436"/>
      <c r="AY52" s="436"/>
      <c r="AZ52" s="436"/>
      <c r="BA52" s="1073">
        <v>11</v>
      </c>
    </row>
    <row r="53" spans="1:53" ht="11.45" customHeight="1">
      <c r="A53" s="1281" t="s">
        <v>197</v>
      </c>
      <c r="B53" s="1281"/>
      <c r="C53" s="1281"/>
      <c r="D53" s="1281"/>
      <c r="E53" s="2457"/>
      <c r="F53" s="2457"/>
      <c r="G53" s="2457"/>
      <c r="H53" s="2457"/>
      <c r="I53" s="2459"/>
      <c r="J53" s="2459"/>
      <c r="K53" s="2458"/>
      <c r="L53" s="1282"/>
      <c r="P53" s="2460"/>
      <c r="Q53" s="2460"/>
      <c r="R53" s="293"/>
      <c r="S53" s="2514"/>
      <c r="T53" s="2511"/>
      <c r="U53" s="237"/>
      <c r="V53" s="1311"/>
      <c r="W53" s="1414"/>
      <c r="X53" s="1311"/>
      <c r="Y53" s="1311"/>
      <c r="Z53" s="1311"/>
      <c r="AA53" s="1311"/>
      <c r="AB53" s="2338"/>
      <c r="AC53" s="2509"/>
      <c r="AD53" s="2413"/>
      <c r="AE53" s="2501"/>
      <c r="AF53" s="2338"/>
      <c r="AG53" s="231"/>
      <c r="AH53" s="351"/>
      <c r="AI53" s="351" t="s">
        <v>463</v>
      </c>
      <c r="AJ53" s="1311"/>
      <c r="AK53" s="1311"/>
      <c r="AL53" s="1311"/>
      <c r="AM53" s="1311"/>
      <c r="AN53" s="1311"/>
      <c r="AO53" s="1414"/>
      <c r="AP53" s="1311"/>
      <c r="AQ53" s="1311"/>
      <c r="AR53" s="1311"/>
      <c r="AS53" s="1311"/>
      <c r="AT53" s="1308"/>
      <c r="AU53" s="2480"/>
      <c r="AW53" s="436"/>
      <c r="AX53" s="436"/>
      <c r="AY53" s="436"/>
      <c r="AZ53" s="436"/>
      <c r="BA53" s="1073">
        <v>11</v>
      </c>
    </row>
    <row r="54" spans="1:53" ht="11.45" customHeight="1">
      <c r="A54" s="1281" t="s">
        <v>197</v>
      </c>
      <c r="B54" s="1281" t="s">
        <v>198</v>
      </c>
      <c r="C54" s="1281" t="s">
        <v>199</v>
      </c>
      <c r="D54" s="1281" t="s">
        <v>200</v>
      </c>
      <c r="E54" s="2457"/>
      <c r="F54" s="2457"/>
      <c r="G54" s="2457"/>
      <c r="H54" s="2457"/>
      <c r="I54" s="2459"/>
      <c r="J54" s="2459"/>
      <c r="K54" s="2458"/>
      <c r="L54" s="1282"/>
      <c r="P54" s="2460"/>
      <c r="Q54" s="2460"/>
      <c r="R54" s="293"/>
      <c r="S54" s="2515"/>
      <c r="T54" s="2512"/>
      <c r="U54" s="237"/>
      <c r="V54" s="1311"/>
      <c r="W54" s="1312" t="str">
        <f>X51&amp;"-"&amp;Z51</f>
        <v>-</v>
      </c>
      <c r="X54" s="1311"/>
      <c r="Y54" s="1311"/>
      <c r="Z54" s="1311"/>
      <c r="AA54" s="1311"/>
      <c r="AB54" s="2338"/>
      <c r="AC54" s="249"/>
      <c r="AD54" s="251"/>
      <c r="AE54" s="351" t="s">
        <v>464</v>
      </c>
      <c r="AF54" s="1311"/>
      <c r="AG54" s="1311"/>
      <c r="AH54" s="1311"/>
      <c r="AI54" s="1311"/>
      <c r="AJ54" s="1311"/>
      <c r="AK54" s="1311"/>
      <c r="AL54" s="1311"/>
      <c r="AM54" s="1311"/>
      <c r="AN54" s="1311"/>
      <c r="AO54" s="1312" t="str">
        <f>AP51&amp;"-"&amp;AR51</f>
        <v>-</v>
      </c>
      <c r="AP54" s="1311"/>
      <c r="AQ54" s="1311"/>
      <c r="AR54" s="1311"/>
      <c r="AS54" s="1311"/>
      <c r="AT54" s="1267"/>
      <c r="AU54" s="2480"/>
      <c r="AW54" s="436"/>
      <c r="AX54" s="436" t="str">
        <f t="shared" ref="AX54:AX62" si="3">IF(T54="","",T54)</f>
        <v/>
      </c>
      <c r="AY54" s="436"/>
      <c r="AZ54" s="436"/>
      <c r="BA54" s="1073">
        <v>11</v>
      </c>
    </row>
    <row r="55" spans="1:53" ht="11.45" customHeight="1">
      <c r="A55" s="1281" t="s">
        <v>197</v>
      </c>
      <c r="B55" s="1281" t="s">
        <v>198</v>
      </c>
      <c r="C55" s="1281" t="s">
        <v>199</v>
      </c>
      <c r="D55" s="1281" t="s">
        <v>200</v>
      </c>
      <c r="E55" s="2457"/>
      <c r="F55" s="2457"/>
      <c r="G55" s="2457"/>
      <c r="H55" s="2457"/>
      <c r="I55" s="2459"/>
      <c r="J55" s="2458"/>
      <c r="K55" s="1281"/>
      <c r="L55" s="1282"/>
      <c r="P55" s="2460"/>
      <c r="Q55" s="2460"/>
      <c r="R55" s="292"/>
      <c r="S55" s="1196"/>
      <c r="T55" s="224" t="s">
        <v>465</v>
      </c>
      <c r="U55" s="303"/>
      <c r="V55" s="303"/>
      <c r="W55" s="303"/>
      <c r="X55" s="303"/>
      <c r="Y55" s="303"/>
      <c r="Z55" s="303"/>
      <c r="AA55" s="261"/>
      <c r="AB55" s="1423"/>
      <c r="AC55" s="303"/>
      <c r="AD55" s="303"/>
      <c r="AE55" s="303"/>
      <c r="AF55" s="303"/>
      <c r="AG55" s="303"/>
      <c r="AH55" s="303"/>
      <c r="AI55" s="303"/>
      <c r="AJ55" s="303"/>
      <c r="AK55" s="303"/>
      <c r="AL55" s="303"/>
      <c r="AM55" s="303"/>
      <c r="AN55" s="303"/>
      <c r="AO55" s="303"/>
      <c r="AP55" s="303"/>
      <c r="AQ55" s="303"/>
      <c r="AR55" s="303"/>
      <c r="AS55" s="303"/>
      <c r="AT55" s="261"/>
      <c r="AU55" s="2481"/>
      <c r="AW55" s="436"/>
      <c r="AX55" s="436" t="str">
        <f t="shared" si="3"/>
        <v>Добавить строку</v>
      </c>
      <c r="AY55" s="436"/>
      <c r="AZ55" s="436"/>
      <c r="BA55" s="1073">
        <v>11</v>
      </c>
    </row>
    <row r="56" spans="1:53" s="2034" customFormat="1" ht="1.1499999999999999" customHeight="1">
      <c r="A56" s="1261" t="s">
        <v>197</v>
      </c>
      <c r="B56" s="1261" t="s">
        <v>198</v>
      </c>
      <c r="C56" s="1261" t="s">
        <v>199</v>
      </c>
      <c r="D56" s="1261" t="s">
        <v>200</v>
      </c>
      <c r="E56" s="2457"/>
      <c r="F56" s="2457"/>
      <c r="G56" s="2457"/>
      <c r="H56" s="2457"/>
      <c r="I56" s="2458"/>
      <c r="J56" s="1261"/>
      <c r="K56" s="1261"/>
      <c r="L56" s="1264"/>
      <c r="M56" s="446"/>
      <c r="N56" s="446"/>
      <c r="O56" s="446"/>
      <c r="P56" s="2460"/>
      <c r="Q56" s="1249"/>
      <c r="R56" s="292"/>
      <c r="S56" s="1304"/>
      <c r="T56" s="1305" t="s">
        <v>409</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028" customFormat="1" ht="1.1499999999999999" customHeight="1">
      <c r="A57" s="1261" t="s">
        <v>197</v>
      </c>
      <c r="B57" s="1261" t="s">
        <v>198</v>
      </c>
      <c r="C57" s="1261" t="s">
        <v>199</v>
      </c>
      <c r="D57" s="1261" t="s">
        <v>200</v>
      </c>
      <c r="E57" s="2457"/>
      <c r="F57" s="2457"/>
      <c r="G57" s="2457"/>
      <c r="H57" s="2456"/>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034" customFormat="1" ht="1.1499999999999999" customHeight="1">
      <c r="A58" s="1261" t="s">
        <v>197</v>
      </c>
      <c r="B58" s="1261" t="s">
        <v>198</v>
      </c>
      <c r="C58" s="1261" t="s">
        <v>199</v>
      </c>
      <c r="D58" s="1232"/>
      <c r="E58" s="2457"/>
      <c r="F58" s="2457"/>
      <c r="G58" s="2456"/>
      <c r="H58" s="1232"/>
      <c r="I58" s="1232"/>
      <c r="J58" s="1232"/>
      <c r="K58" s="1232"/>
      <c r="L58" s="1257"/>
      <c r="M58" s="1233"/>
      <c r="N58" s="1233"/>
      <c r="P58" s="1234"/>
      <c r="Q58" s="1235"/>
      <c r="R58" s="1234"/>
      <c r="S58" s="1240"/>
      <c r="T58" s="1243" t="s">
        <v>411</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034" customFormat="1" ht="1.1499999999999999" customHeight="1">
      <c r="A59" s="1261" t="s">
        <v>197</v>
      </c>
      <c r="B59" s="1261" t="s">
        <v>198</v>
      </c>
      <c r="C59" s="1232"/>
      <c r="D59" s="1232"/>
      <c r="E59" s="2457"/>
      <c r="F59" s="2456"/>
      <c r="G59" s="1232"/>
      <c r="H59" s="1232"/>
      <c r="I59" s="1232"/>
      <c r="J59" s="1232"/>
      <c r="K59" s="1232"/>
      <c r="L59" s="1257"/>
      <c r="M59" s="1239"/>
      <c r="N59" s="1239"/>
      <c r="P59" s="1234"/>
      <c r="Q59" s="1235"/>
      <c r="R59" s="1234"/>
      <c r="S59" s="1240"/>
      <c r="T59" s="1243" t="s">
        <v>412</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034" customFormat="1" ht="1.1499999999999999" customHeight="1">
      <c r="A60" s="1261" t="s">
        <v>197</v>
      </c>
      <c r="B60" s="1261"/>
      <c r="C60" s="1261"/>
      <c r="D60" s="1261"/>
      <c r="E60" s="2457"/>
      <c r="F60" s="1261"/>
      <c r="G60" s="1261"/>
      <c r="H60" s="1261"/>
      <c r="I60" s="1261"/>
      <c r="J60" s="1261"/>
      <c r="K60" s="1261"/>
      <c r="L60" s="1264"/>
      <c r="M60" s="1239"/>
      <c r="N60" s="1239"/>
      <c r="O60" s="454"/>
      <c r="P60" s="316"/>
      <c r="Q60" s="1262"/>
      <c r="R60" s="316"/>
      <c r="S60" s="1240"/>
      <c r="T60" s="1243" t="s">
        <v>413</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034" customFormat="1" ht="1.1499999999999999" customHeight="1">
      <c r="A61" s="1261" t="s">
        <v>197</v>
      </c>
      <c r="B61" s="1261"/>
      <c r="C61" s="1261"/>
      <c r="D61" s="1261"/>
      <c r="E61" s="2456"/>
      <c r="F61" s="1261"/>
      <c r="G61" s="1261"/>
      <c r="H61" s="1261"/>
      <c r="I61" s="1261"/>
      <c r="J61" s="1261"/>
      <c r="K61" s="1261"/>
      <c r="L61" s="1264"/>
      <c r="M61" s="1239"/>
      <c r="N61" s="1239"/>
      <c r="O61" s="454"/>
      <c r="P61" s="316"/>
      <c r="Q61" s="1262"/>
      <c r="R61" s="316"/>
      <c r="S61" s="1240"/>
      <c r="T61" s="1243" t="s">
        <v>413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03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2455"/>
      <c r="U64" s="2455"/>
      <c r="V64" s="2455"/>
      <c r="W64" s="2455"/>
      <c r="X64" s="2455"/>
      <c r="Y64" s="2455"/>
      <c r="Z64" s="2455"/>
      <c r="AA64" s="2455"/>
      <c r="AB64" s="2455"/>
      <c r="AC64" s="2455"/>
      <c r="AD64" s="2455"/>
      <c r="AE64" s="2455"/>
      <c r="AF64" s="2455"/>
      <c r="AG64" s="2455"/>
      <c r="AH64" s="2455"/>
      <c r="AI64" s="2455"/>
      <c r="AJ64" s="2455"/>
      <c r="AK64" s="2455"/>
      <c r="AL64" s="2455"/>
      <c r="AM64" s="2455"/>
      <c r="AN64" s="2455"/>
      <c r="AO64" s="2455"/>
      <c r="AP64" s="2455"/>
      <c r="AQ64" s="2455"/>
      <c r="AR64" s="2455"/>
      <c r="AS64" s="2455"/>
      <c r="AT64" s="2455"/>
      <c r="AU64" s="2455"/>
      <c r="BA64" s="1073">
        <v>19</v>
      </c>
    </row>
    <row r="65" spans="1:53" ht="21" customHeight="1">
      <c r="O65" s="473"/>
      <c r="T65" s="2455"/>
      <c r="U65" s="2455"/>
      <c r="V65" s="2455"/>
      <c r="W65" s="2455"/>
      <c r="X65" s="2455"/>
      <c r="Y65" s="2455"/>
      <c r="Z65" s="2455"/>
      <c r="AA65" s="2455"/>
      <c r="AB65" s="2455"/>
      <c r="AC65" s="2455"/>
      <c r="AD65" s="2455"/>
      <c r="AE65" s="2455"/>
      <c r="AF65" s="2455"/>
      <c r="AG65" s="2455"/>
      <c r="AH65" s="2455"/>
      <c r="AI65" s="2455"/>
      <c r="AJ65" s="2455"/>
      <c r="AK65" s="2455"/>
      <c r="AL65" s="2455"/>
      <c r="AM65" s="2455"/>
      <c r="AN65" s="2455"/>
      <c r="AO65" s="2455"/>
      <c r="AP65" s="2455"/>
      <c r="AQ65" s="2455"/>
      <c r="AR65" s="2455"/>
      <c r="AS65" s="2455"/>
      <c r="AT65" s="2455"/>
      <c r="AU65" s="2455"/>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2455"/>
      <c r="U67" s="2455"/>
      <c r="V67" s="2455"/>
      <c r="W67" s="2455"/>
      <c r="X67" s="2455"/>
      <c r="Y67" s="2455"/>
      <c r="Z67" s="2455"/>
      <c r="AA67" s="2455"/>
      <c r="AB67" s="2455"/>
      <c r="AC67" s="2455"/>
      <c r="AD67" s="2455"/>
      <c r="AE67" s="2455"/>
      <c r="AF67" s="2455"/>
      <c r="AG67" s="2455"/>
      <c r="AH67" s="2455"/>
      <c r="AI67" s="2455"/>
      <c r="AJ67" s="2455"/>
      <c r="AK67" s="2455"/>
      <c r="AL67" s="2455"/>
      <c r="AM67" s="2455"/>
      <c r="AN67" s="2455"/>
      <c r="AO67" s="2455"/>
      <c r="AP67" s="2455"/>
      <c r="AQ67" s="2455"/>
      <c r="AR67" s="2455"/>
      <c r="AS67" s="2455"/>
      <c r="AT67" s="2455"/>
      <c r="AU67" s="2455"/>
      <c r="BA67" s="1073">
        <v>19</v>
      </c>
    </row>
    <row r="68" spans="1:53" ht="16.899999999999999" customHeight="1">
      <c r="O68" s="473"/>
      <c r="T68" s="2455"/>
      <c r="U68" s="2455"/>
      <c r="V68" s="2455"/>
      <c r="W68" s="2455"/>
      <c r="X68" s="2455"/>
      <c r="Y68" s="2455"/>
      <c r="Z68" s="2455"/>
      <c r="AA68" s="2455"/>
      <c r="AB68" s="2455"/>
      <c r="AC68" s="2455"/>
      <c r="AD68" s="2455"/>
      <c r="AE68" s="2455"/>
      <c r="AF68" s="2455"/>
      <c r="AG68" s="2455"/>
      <c r="AH68" s="2455"/>
      <c r="AI68" s="2455"/>
      <c r="AJ68" s="2455"/>
      <c r="AK68" s="2455"/>
      <c r="AL68" s="2455"/>
      <c r="AM68" s="2455"/>
      <c r="AN68" s="2455"/>
      <c r="AO68" s="2455"/>
      <c r="AP68" s="2455"/>
      <c r="AQ68" s="2455"/>
      <c r="AR68" s="2455"/>
      <c r="AS68" s="2455"/>
      <c r="AT68" s="2455"/>
      <c r="AU68" s="2455"/>
      <c r="BA68" s="1073">
        <v>16</v>
      </c>
    </row>
    <row r="69" spans="1:53" ht="14.65" customHeight="1">
      <c r="O69" s="473"/>
      <c r="BA69" s="1073">
        <v>14</v>
      </c>
    </row>
    <row r="70" spans="1:53" ht="22.5" hidden="1" customHeight="1">
      <c r="A70" s="1078" t="s">
        <v>84</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4" width="24.7109375" style="2062" hidden="1" customWidth="1"/>
    <col min="25" max="25" width="11.7109375" style="2062" hidden="1" customWidth="1"/>
    <col min="26" max="26" width="3.7109375" style="2062" hidden="1" customWidth="1"/>
    <col min="27" max="27" width="11.7109375" style="2062" hidden="1" customWidth="1"/>
    <col min="28" max="28" width="8.5703125" style="2062" hidden="1" customWidth="1"/>
    <col min="29" max="29" width="24.7109375" style="2062" customWidth="1"/>
    <col min="30" max="31" width="24"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22.5" hidden="1" customHeight="1">
      <c r="X1" s="264"/>
      <c r="Y1" s="264"/>
      <c r="AE1" s="264"/>
      <c r="AF1" s="264"/>
      <c r="AQ1" s="1073" t="s">
        <v>14</v>
      </c>
    </row>
    <row r="2" spans="1:43" ht="23.25" hidden="1" customHeight="1">
      <c r="A2" s="1281"/>
      <c r="B2" s="1281"/>
      <c r="C2" s="1281"/>
      <c r="D2" s="1281"/>
      <c r="E2" s="2456">
        <v>1</v>
      </c>
      <c r="F2" s="1281"/>
      <c r="G2" s="1281"/>
      <c r="H2" s="1281"/>
      <c r="I2" s="1281"/>
      <c r="J2" s="1281"/>
      <c r="K2" s="1281"/>
      <c r="L2" s="1282"/>
      <c r="M2" s="1283"/>
      <c r="N2" s="1283"/>
      <c r="O2" s="1283"/>
      <c r="P2" s="297"/>
      <c r="Q2" s="296"/>
      <c r="R2" s="291"/>
      <c r="S2" s="1343" t="e">
        <f>INDEX(PT_DIFFERENTIATION_NUM_NTAR,MATCH(A2,PT_DIFFERENTIATION_NTAR_ID,0))</f>
        <v>#N/A</v>
      </c>
      <c r="T2" s="235" t="s">
        <v>122</v>
      </c>
      <c r="U2" s="237"/>
      <c r="V2" s="2450"/>
      <c r="W2" s="2451"/>
      <c r="X2" s="2451"/>
      <c r="Y2" s="2451"/>
      <c r="Z2" s="2451"/>
      <c r="AA2" s="2451"/>
      <c r="AB2" s="2452"/>
      <c r="AC2" s="2450" t="e">
        <f>INDEX(PT_DIFFERENTIATION_NTAR,MATCH(A2,PT_DIFFERENTIATION_NTAR_ID,0))</f>
        <v>#N/A</v>
      </c>
      <c r="AD2" s="2451"/>
      <c r="AE2" s="2451"/>
      <c r="AF2" s="2451"/>
      <c r="AG2" s="2451"/>
      <c r="AH2" s="2451"/>
      <c r="AI2" s="2451"/>
      <c r="AJ2" s="24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57"/>
      <c r="F3" s="2456">
        <v>1</v>
      </c>
      <c r="G3" s="1281"/>
      <c r="H3" s="1281"/>
      <c r="I3" s="1281"/>
      <c r="J3" s="1281"/>
      <c r="K3" s="1281"/>
      <c r="L3" s="1282"/>
      <c r="M3" s="1283"/>
      <c r="N3" s="1283"/>
      <c r="O3" s="1283"/>
      <c r="P3" s="1341"/>
      <c r="Q3" s="288"/>
      <c r="R3" s="289"/>
      <c r="S3" s="1343" t="e">
        <f>INDEX(PT_DIFFERENTIATION_NUM_TER,MATCH(B3,PT_DIFFERENTIATION_TER_ID,0))</f>
        <v>#N/A</v>
      </c>
      <c r="T3" s="245" t="s">
        <v>394</v>
      </c>
      <c r="U3" s="237"/>
      <c r="V3" s="2450"/>
      <c r="W3" s="2451"/>
      <c r="X3" s="2451"/>
      <c r="Y3" s="2451"/>
      <c r="Z3" s="2451"/>
      <c r="AA3" s="2451"/>
      <c r="AB3" s="2452"/>
      <c r="AC3" s="2450" t="e">
        <f>INDEX(PT_DIFFERENTIATION_TER,MATCH(B3,PT_DIFFERENTIATION_TER_ID,0))</f>
        <v>#N/A</v>
      </c>
      <c r="AD3" s="2451"/>
      <c r="AE3" s="2451"/>
      <c r="AF3" s="2451"/>
      <c r="AG3" s="2451"/>
      <c r="AH3" s="2451"/>
      <c r="AI3" s="2451"/>
      <c r="AJ3" s="2452"/>
      <c r="AK3" s="1176" t="s">
        <v>395</v>
      </c>
      <c r="AM3" s="436"/>
      <c r="AN3" s="436" t="str">
        <f t="shared" si="0"/>
        <v>Территория действия тарифа</v>
      </c>
      <c r="AO3" s="436"/>
      <c r="AP3" s="436"/>
      <c r="AQ3" s="1073">
        <v>0</v>
      </c>
    </row>
    <row r="4" spans="1:43" ht="23.25" hidden="1" customHeight="1">
      <c r="A4" s="1281"/>
      <c r="B4" s="1281"/>
      <c r="C4" s="1281"/>
      <c r="D4" s="1281"/>
      <c r="E4" s="2457"/>
      <c r="F4" s="2457"/>
      <c r="G4" s="2456">
        <v>1</v>
      </c>
      <c r="H4" s="1281"/>
      <c r="I4" s="1281"/>
      <c r="J4" s="1281"/>
      <c r="K4" s="1281"/>
      <c r="L4" s="1282"/>
      <c r="M4" s="1283"/>
      <c r="N4" s="1283"/>
      <c r="O4" s="1283"/>
      <c r="P4" s="290"/>
      <c r="Q4" s="288"/>
      <c r="R4" s="289"/>
      <c r="S4" s="1343" t="e">
        <f>INDEX(PT_DIFFERENTIATION_NUM_CS,MATCH(C4,PT_DIFFERENTIATION_CS_ID,0))</f>
        <v>#N/A</v>
      </c>
      <c r="T4" s="246" t="s">
        <v>478</v>
      </c>
      <c r="U4" s="237"/>
      <c r="V4" s="2450"/>
      <c r="W4" s="2451"/>
      <c r="X4" s="2451"/>
      <c r="Y4" s="2451"/>
      <c r="Z4" s="2451"/>
      <c r="AA4" s="2451"/>
      <c r="AB4" s="2452"/>
      <c r="AC4" s="2450" t="e">
        <f>INDEX(PT_DIFFERENTIATION_CS,MATCH(C4,PT_DIFFERENTIATION_CS_ID,0))</f>
        <v>#N/A</v>
      </c>
      <c r="AD4" s="2451"/>
      <c r="AE4" s="2451"/>
      <c r="AF4" s="2451"/>
      <c r="AG4" s="2451"/>
      <c r="AH4" s="2451"/>
      <c r="AI4" s="2451"/>
      <c r="AJ4" s="2452"/>
      <c r="AK4" s="1176" t="s">
        <v>479</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57"/>
      <c r="F5" s="2457"/>
      <c r="G5" s="2457"/>
      <c r="H5" s="2457"/>
      <c r="I5" s="2458" t="e">
        <f>S4&amp;".1"</f>
        <v>#N/A</v>
      </c>
      <c r="J5" s="1281"/>
      <c r="K5" s="1281"/>
      <c r="L5" s="1282"/>
      <c r="P5" s="2460">
        <v>1</v>
      </c>
      <c r="Q5" s="1340"/>
      <c r="R5" s="292"/>
      <c r="S5" s="1343" t="e">
        <f>$I5</f>
        <v>#N/A</v>
      </c>
      <c r="T5" s="222" t="s">
        <v>480</v>
      </c>
      <c r="U5" s="237"/>
      <c r="V5" s="2524"/>
      <c r="W5" s="2525"/>
      <c r="X5" s="2525"/>
      <c r="Y5" s="2525"/>
      <c r="Z5" s="2525"/>
      <c r="AA5" s="2525"/>
      <c r="AB5" s="2526"/>
      <c r="AC5" s="2527"/>
      <c r="AD5" s="2528"/>
      <c r="AE5" s="2528"/>
      <c r="AF5" s="2528"/>
      <c r="AG5" s="2528"/>
      <c r="AH5" s="2528"/>
      <c r="AI5" s="2528"/>
      <c r="AJ5" s="2529"/>
      <c r="AK5" s="1176" t="s">
        <v>481</v>
      </c>
      <c r="AM5" s="436"/>
      <c r="AN5" s="436" t="str">
        <f t="shared" si="0"/>
        <v>Наименование признака дифференциации</v>
      </c>
      <c r="AO5" s="436"/>
      <c r="AP5" s="436"/>
      <c r="AQ5" s="1073">
        <v>0</v>
      </c>
    </row>
    <row r="6" spans="1:43" ht="23.25" hidden="1" customHeight="1">
      <c r="A6" s="1281"/>
      <c r="B6" s="1281"/>
      <c r="C6" s="1281"/>
      <c r="D6" s="1281"/>
      <c r="E6" s="2457"/>
      <c r="F6" s="2457"/>
      <c r="G6" s="2457"/>
      <c r="H6" s="2457"/>
      <c r="I6" s="2459"/>
      <c r="J6" s="2458" t="e">
        <f>I5&amp;".1"</f>
        <v>#N/A</v>
      </c>
      <c r="K6" s="1281"/>
      <c r="L6" s="1282" t="s">
        <v>403</v>
      </c>
      <c r="P6" s="2460"/>
      <c r="Q6" s="2460">
        <v>1</v>
      </c>
      <c r="R6" s="293"/>
      <c r="S6" s="1343" t="e">
        <f>$J6</f>
        <v>#N/A</v>
      </c>
      <c r="T6" s="223" t="s">
        <v>404</v>
      </c>
      <c r="U6" s="237"/>
      <c r="V6" s="2444"/>
      <c r="W6" s="2445"/>
      <c r="X6" s="2445"/>
      <c r="Y6" s="2445"/>
      <c r="Z6" s="2445"/>
      <c r="AA6" s="2445"/>
      <c r="AB6" s="2446"/>
      <c r="AC6" s="2444"/>
      <c r="AD6" s="2445"/>
      <c r="AE6" s="2445"/>
      <c r="AF6" s="2445"/>
      <c r="AG6" s="2445"/>
      <c r="AH6" s="2445"/>
      <c r="AI6" s="2445"/>
      <c r="AJ6" s="2446"/>
      <c r="AK6" s="1225" t="s">
        <v>482</v>
      </c>
      <c r="AM6" s="436"/>
      <c r="AN6" s="436" t="str">
        <f t="shared" si="0"/>
        <v>Группа потребителей</v>
      </c>
      <c r="AO6" s="436"/>
      <c r="AP6" s="436"/>
      <c r="AQ6" s="1073">
        <v>0</v>
      </c>
    </row>
    <row r="7" spans="1:43" ht="23.25" hidden="1" customHeight="1">
      <c r="A7" s="1281"/>
      <c r="B7" s="1281"/>
      <c r="C7" s="1281"/>
      <c r="D7" s="1281"/>
      <c r="E7" s="2457"/>
      <c r="F7" s="2457"/>
      <c r="G7" s="2457"/>
      <c r="H7" s="2457"/>
      <c r="I7" s="2459"/>
      <c r="J7" s="2459"/>
      <c r="K7" s="2458" t="e">
        <f>J6&amp;".1"</f>
        <v>#N/A</v>
      </c>
      <c r="L7" s="1282"/>
      <c r="P7" s="2460"/>
      <c r="Q7" s="2460"/>
      <c r="R7" s="293">
        <v>1</v>
      </c>
      <c r="S7" s="1343" t="e">
        <f>$K7</f>
        <v>#N/A</v>
      </c>
      <c r="T7" s="1355"/>
      <c r="U7" s="237"/>
      <c r="V7" s="687"/>
      <c r="W7" s="687"/>
      <c r="X7" s="1175"/>
      <c r="Y7" s="2461"/>
      <c r="Z7" s="2338" t="s">
        <v>67</v>
      </c>
      <c r="AA7" s="2461"/>
      <c r="AB7" s="2338" t="s">
        <v>67</v>
      </c>
      <c r="AC7" s="687"/>
      <c r="AD7" s="687"/>
      <c r="AE7" s="1175"/>
      <c r="AF7" s="2461"/>
      <c r="AG7" s="2338" t="s">
        <v>67</v>
      </c>
      <c r="AH7" s="2463"/>
      <c r="AI7" s="2338" t="s">
        <v>67</v>
      </c>
      <c r="AJ7" s="1356"/>
      <c r="AK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57"/>
      <c r="F8" s="2457"/>
      <c r="G8" s="2457"/>
      <c r="H8" s="2457"/>
      <c r="I8" s="2459"/>
      <c r="J8" s="2459"/>
      <c r="K8" s="2458"/>
      <c r="L8" s="1282"/>
      <c r="P8" s="2460"/>
      <c r="Q8" s="2460"/>
      <c r="R8" s="293"/>
      <c r="S8" s="1342"/>
      <c r="T8" s="237"/>
      <c r="U8" s="237"/>
      <c r="V8" s="262"/>
      <c r="W8" s="262"/>
      <c r="X8" s="265" t="str">
        <f>Y7&amp;"-"&amp;AA7</f>
        <v>-</v>
      </c>
      <c r="Y8" s="2462"/>
      <c r="Z8" s="2338"/>
      <c r="AA8" s="2462"/>
      <c r="AB8" s="2338"/>
      <c r="AC8" s="262"/>
      <c r="AD8" s="262"/>
      <c r="AE8" s="265" t="str">
        <f>AF7&amp;"-"&amp;AH7</f>
        <v>-</v>
      </c>
      <c r="AF8" s="2462"/>
      <c r="AG8" s="2338"/>
      <c r="AH8" s="2464"/>
      <c r="AI8" s="2338"/>
      <c r="AJ8" s="1357"/>
      <c r="AK8" s="2530"/>
      <c r="AM8" s="436"/>
      <c r="AN8" s="436" t="str">
        <f t="shared" si="0"/>
        <v/>
      </c>
      <c r="AO8" s="436"/>
      <c r="AP8" s="436"/>
      <c r="AQ8" s="1073">
        <v>0</v>
      </c>
    </row>
    <row r="9" spans="1:43" ht="21" hidden="1" customHeight="1">
      <c r="A9" s="1281"/>
      <c r="B9" s="1281"/>
      <c r="C9" s="1281"/>
      <c r="D9" s="1281"/>
      <c r="E9" s="2457"/>
      <c r="F9" s="2457"/>
      <c r="G9" s="2457"/>
      <c r="H9" s="2457"/>
      <c r="I9" s="2459"/>
      <c r="J9" s="2458"/>
      <c r="K9" s="1281"/>
      <c r="L9" s="1282"/>
      <c r="P9" s="2460"/>
      <c r="Q9" s="2460"/>
      <c r="R9" s="292"/>
      <c r="S9" s="1196"/>
      <c r="T9" s="224" t="s">
        <v>483</v>
      </c>
      <c r="U9" s="303"/>
      <c r="V9" s="303"/>
      <c r="W9" s="303"/>
      <c r="X9" s="303"/>
      <c r="Y9" s="303"/>
      <c r="Z9" s="303"/>
      <c r="AA9" s="303"/>
      <c r="AB9" s="303"/>
      <c r="AC9" s="303"/>
      <c r="AD9" s="303"/>
      <c r="AE9" s="303"/>
      <c r="AF9" s="303"/>
      <c r="AG9" s="303"/>
      <c r="AH9" s="303"/>
      <c r="AI9" s="303"/>
      <c r="AJ9" s="303"/>
      <c r="AK9" s="1176" t="s">
        <v>484</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57"/>
      <c r="F10" s="2457"/>
      <c r="G10" s="2457"/>
      <c r="H10" s="2457"/>
      <c r="I10" s="2458"/>
      <c r="J10" s="1281"/>
      <c r="K10" s="1281"/>
      <c r="L10" s="1282"/>
      <c r="P10" s="2460"/>
      <c r="Q10" s="1340"/>
      <c r="R10" s="292"/>
      <c r="S10" s="1196"/>
      <c r="T10" s="301" t="s">
        <v>409</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14.25"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034" customFormat="1" ht="14.25" hidden="1" customHeight="1">
      <c r="A12" s="1261"/>
      <c r="B12" s="1261"/>
      <c r="C12" s="1232"/>
      <c r="D12" s="1232"/>
      <c r="E12" s="2457"/>
      <c r="F12" s="2456"/>
      <c r="G12" s="1232"/>
      <c r="H12" s="1232"/>
      <c r="I12" s="1232"/>
      <c r="J12" s="1232"/>
      <c r="K12" s="1232"/>
      <c r="L12" s="1344"/>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54"/>
      <c r="AG15" s="2453" t="s">
        <v>67</v>
      </c>
      <c r="AH15" s="2454"/>
      <c r="AI15" s="2453" t="s">
        <v>67</v>
      </c>
      <c r="AQ15" s="1073">
        <v>0</v>
      </c>
    </row>
    <row r="16" spans="1:43" ht="14.25" hidden="1" customHeight="1">
      <c r="AC16" s="1278"/>
      <c r="AD16" s="1278"/>
      <c r="AE16" s="265" t="str">
        <f>AF15&amp;"-"&amp;AH15</f>
        <v>-</v>
      </c>
      <c r="AF16" s="2453"/>
      <c r="AG16" s="2453"/>
      <c r="AH16" s="2453"/>
      <c r="AI16" s="2453"/>
      <c r="AQ16" s="1073">
        <v>0</v>
      </c>
    </row>
    <row r="17" spans="1:43" ht="14.25" hidden="1" customHeight="1">
      <c r="AI17" s="264"/>
      <c r="AQ17" s="1073">
        <v>0</v>
      </c>
    </row>
    <row r="18" spans="1:43" s="2056" customFormat="1" ht="22.5" hidden="1" customHeight="1">
      <c r="L18" s="1339"/>
      <c r="M18" s="1280"/>
      <c r="N18" s="1280"/>
      <c r="O18" s="1285" t="s">
        <v>414</v>
      </c>
      <c r="P18" s="1280"/>
      <c r="Q18" s="1289"/>
      <c r="R18" s="1289"/>
      <c r="S18" s="665"/>
      <c r="Y18" s="1285"/>
      <c r="AA18" s="1285"/>
      <c r="AB18" s="1284"/>
      <c r="AF18" s="1285"/>
      <c r="AH18" s="1285"/>
      <c r="AI18" s="1284"/>
      <c r="AL18" s="447"/>
      <c r="AM18" s="447"/>
      <c r="AN18" s="447"/>
      <c r="AO18" s="447"/>
      <c r="AP18" s="447"/>
      <c r="AQ18" s="1078">
        <v>0</v>
      </c>
    </row>
    <row r="19" spans="1:43" s="2056"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056" customFormat="1" ht="12" hidden="1" customHeight="1">
      <c r="L20" s="1339"/>
      <c r="M20" s="1280"/>
      <c r="N20" s="1280"/>
      <c r="O20" s="1282" t="s">
        <v>415</v>
      </c>
      <c r="P20" s="1280"/>
      <c r="Q20" s="1360"/>
      <c r="R20" s="1360"/>
      <c r="S20" s="665"/>
      <c r="T20" s="1078" t="s">
        <v>416</v>
      </c>
      <c r="Z20" s="123" t="s">
        <v>417</v>
      </c>
      <c r="AB20" s="123" t="s">
        <v>418</v>
      </c>
      <c r="AC20" s="1078" t="s">
        <v>416</v>
      </c>
      <c r="AG20" s="123" t="s">
        <v>419</v>
      </c>
      <c r="AI20" s="123" t="s">
        <v>418</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7"/>
      <c r="U24" s="2437"/>
      <c r="V24" s="2437"/>
      <c r="W24" s="2437"/>
      <c r="X24" s="2437"/>
      <c r="Y24" s="2437"/>
      <c r="Z24" s="2437"/>
      <c r="AA24" s="2437"/>
      <c r="AB24" s="2437"/>
      <c r="AC24" s="2437"/>
      <c r="AD24" s="2437"/>
      <c r="AE24" s="2437"/>
      <c r="AF24" s="2437"/>
      <c r="AG24" s="2437"/>
      <c r="AH24" s="2437"/>
      <c r="AI24" s="1161"/>
      <c r="AQ24" s="1073">
        <v>14</v>
      </c>
    </row>
    <row r="25" spans="1:43"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63"/>
      <c r="AC27" s="2449" t="str">
        <f>IF(TITLE_NAME_OR_PR_CHANGE="",IF(TITLE_NAME_OR_PR="","",TITLE_NAME_OR_PR),TITLE_NAME_OR_PR_CHANGE)</f>
        <v/>
      </c>
      <c r="AD27" s="2449"/>
      <c r="AE27" s="2449"/>
      <c r="AF27" s="2449"/>
      <c r="AG27" s="2449"/>
      <c r="AH27" s="2449"/>
      <c r="AI27" s="263"/>
      <c r="AJ27" s="263"/>
      <c r="AK27" s="217"/>
      <c r="AL27" s="304"/>
      <c r="AM27" s="304"/>
      <c r="AN27" s="304"/>
      <c r="AO27" s="304"/>
      <c r="AP27" s="304"/>
      <c r="AQ27" s="354">
        <v>0</v>
      </c>
    </row>
    <row r="28" spans="1:43"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63"/>
      <c r="AC28" s="2448" t="str">
        <f>IF(TITLE_DATE_PR_CHANGE="",IF(TITLE_DATE_PR="","",TITLE_DATE_PR),TITLE_DATE_PR_CHANGE)</f>
        <v/>
      </c>
      <c r="AD28" s="2448"/>
      <c r="AE28" s="2448"/>
      <c r="AF28" s="2448"/>
      <c r="AG28" s="2448"/>
      <c r="AH28" s="2448"/>
      <c r="AI28" s="263"/>
      <c r="AJ28" s="263"/>
      <c r="AK28" s="217"/>
      <c r="AL28" s="304"/>
      <c r="AM28" s="304"/>
      <c r="AN28" s="304"/>
      <c r="AO28" s="304"/>
      <c r="AP28" s="304"/>
      <c r="AQ28" s="354">
        <v>0</v>
      </c>
    </row>
    <row r="29" spans="1:43"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63"/>
      <c r="AC29" s="2449" t="str">
        <f>IF(TITLE_NUMBER_PR_CHANGE="",IF(TITLE_NUMBER_PR="","",TITLE_NUMBER_PR),TITLE_NUMBER_PR_CHANGE)</f>
        <v/>
      </c>
      <c r="AD29" s="2449"/>
      <c r="AE29" s="2449"/>
      <c r="AF29" s="2449"/>
      <c r="AG29" s="2449"/>
      <c r="AH29" s="2449"/>
      <c r="AI29" s="263"/>
      <c r="AJ29" s="263"/>
      <c r="AK29" s="217"/>
      <c r="AL29" s="304"/>
      <c r="AM29" s="304"/>
      <c r="AN29" s="304"/>
      <c r="AO29" s="304"/>
      <c r="AP29" s="304"/>
      <c r="AQ29" s="354">
        <v>0</v>
      </c>
    </row>
    <row r="30" spans="1:43"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63"/>
      <c r="AC30" s="2449" t="str">
        <f>IF(TITLE_IST_PUB_CHANGE="",IF(TITLE_IST_PUB="","",TITLE_IST_PUB),TITLE_IST_PUB_CHANGE)</f>
        <v/>
      </c>
      <c r="AD30" s="2449"/>
      <c r="AE30" s="2449"/>
      <c r="AF30" s="2449"/>
      <c r="AG30" s="2449"/>
      <c r="AH30" s="2449"/>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63"/>
      <c r="AC32" s="2448" t="str">
        <f>IF(TITLE_DATE_PR_CHANGE="",IF(TITLE_DATE_PR="","",TITLE_DATE_PR),TITLE_DATE_PR_CHANGE)</f>
        <v/>
      </c>
      <c r="AD32" s="2448"/>
      <c r="AE32" s="2448"/>
      <c r="AF32" s="2448"/>
      <c r="AG32" s="2448"/>
      <c r="AH32" s="2448"/>
      <c r="AI32" s="263"/>
      <c r="AJ32" s="263"/>
      <c r="AK32" s="217"/>
      <c r="AL32" s="304"/>
      <c r="AM32" s="304"/>
      <c r="AN32" s="304"/>
      <c r="AO32" s="304"/>
      <c r="AP32" s="304"/>
      <c r="AQ32" s="354">
        <v>0</v>
      </c>
    </row>
    <row r="33" spans="1:43"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63"/>
      <c r="AC33" s="2449" t="str">
        <f>IF(TITLE_NUMBER_PR_CHANGE="",IF(TITLE_NUMBER_PR="","",TITLE_NUMBER_PR),TITLE_NUMBER_PR_CHANGE)</f>
        <v/>
      </c>
      <c r="AD33" s="2449"/>
      <c r="AE33" s="2449"/>
      <c r="AF33" s="2449"/>
      <c r="AG33" s="2449"/>
      <c r="AH33" s="2449"/>
      <c r="AI33" s="263"/>
      <c r="AJ33" s="263"/>
      <c r="AK33" s="217"/>
      <c r="AL33" s="304"/>
      <c r="AM33" s="304"/>
      <c r="AN33" s="304"/>
      <c r="AO33" s="304"/>
      <c r="AP33" s="304"/>
      <c r="AQ33" s="354">
        <v>0</v>
      </c>
    </row>
    <row r="34" spans="1:43"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193"/>
      <c r="T35" s="299"/>
      <c r="U35" s="1162"/>
      <c r="V35" s="2468"/>
      <c r="W35" s="2468"/>
      <c r="X35" s="2468"/>
      <c r="Y35" s="2468"/>
      <c r="Z35" s="2468"/>
      <c r="AA35" s="2468"/>
      <c r="AB35" s="2468"/>
      <c r="AC35" s="2468"/>
      <c r="AD35" s="2468"/>
      <c r="AE35" s="2468"/>
      <c r="AF35" s="2468"/>
      <c r="AG35" s="2468"/>
      <c r="AH35" s="2468"/>
      <c r="AI35" s="2468"/>
      <c r="AQ35" s="1073">
        <v>14</v>
      </c>
    </row>
    <row r="36" spans="1:43"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t="s">
        <v>298</v>
      </c>
      <c r="AQ36" s="1073">
        <v>14</v>
      </c>
    </row>
    <row r="37" spans="1:43" ht="14.65" customHeight="1">
      <c r="Q37" s="312"/>
      <c r="R37" s="312"/>
      <c r="S37" s="2469" t="s">
        <v>90</v>
      </c>
      <c r="T37" s="2417" t="s">
        <v>425</v>
      </c>
      <c r="U37" s="238"/>
      <c r="V37" s="2470" t="s">
        <v>426</v>
      </c>
      <c r="W37" s="2471"/>
      <c r="X37" s="2471"/>
      <c r="Y37" s="2471"/>
      <c r="Z37" s="2471"/>
      <c r="AA37" s="2472"/>
      <c r="AB37" s="2473" t="s">
        <v>427</v>
      </c>
      <c r="AC37" s="2470" t="s">
        <v>426</v>
      </c>
      <c r="AD37" s="2471"/>
      <c r="AE37" s="2471"/>
      <c r="AF37" s="2471"/>
      <c r="AG37" s="2471"/>
      <c r="AH37" s="2472"/>
      <c r="AI37" s="2473" t="s">
        <v>428</v>
      </c>
      <c r="AJ37" s="2476" t="s">
        <v>429</v>
      </c>
      <c r="AK37" s="2328"/>
      <c r="AQ37" s="1073">
        <v>14</v>
      </c>
    </row>
    <row r="38" spans="1:43" ht="35.65" customHeight="1">
      <c r="Q38" s="312"/>
      <c r="R38" s="312"/>
      <c r="S38" s="2469"/>
      <c r="T38" s="2417"/>
      <c r="U38" s="954"/>
      <c r="V38" s="1270" t="s">
        <v>486</v>
      </c>
      <c r="W38" s="2310" t="s">
        <v>432</v>
      </c>
      <c r="X38" s="2309"/>
      <c r="Y38" s="2310" t="s">
        <v>433</v>
      </c>
      <c r="Z38" s="2315"/>
      <c r="AA38" s="2309"/>
      <c r="AB38" s="2474"/>
      <c r="AC38" s="1270" t="s">
        <v>486</v>
      </c>
      <c r="AD38" s="2310" t="s">
        <v>432</v>
      </c>
      <c r="AE38" s="2309"/>
      <c r="AF38" s="2310" t="s">
        <v>433</v>
      </c>
      <c r="AG38" s="2315"/>
      <c r="AH38" s="2309"/>
      <c r="AI38" s="2474"/>
      <c r="AJ38" s="2477"/>
      <c r="AK38" s="2328"/>
      <c r="AQ38" s="1073">
        <v>34</v>
      </c>
    </row>
    <row r="39" spans="1:43" ht="35.65" customHeight="1">
      <c r="A39" s="1288"/>
      <c r="B39" s="1288" t="s">
        <v>134</v>
      </c>
      <c r="C39" s="1288" t="s">
        <v>135</v>
      </c>
      <c r="D39" s="1288" t="s">
        <v>136</v>
      </c>
      <c r="E39" s="1282" t="s">
        <v>434</v>
      </c>
      <c r="F39" s="1282" t="s">
        <v>435</v>
      </c>
      <c r="G39" s="1282" t="s">
        <v>436</v>
      </c>
      <c r="H39" s="1282"/>
      <c r="I39" s="1282" t="s">
        <v>487</v>
      </c>
      <c r="J39" s="1282" t="s">
        <v>439</v>
      </c>
      <c r="K39" s="1282" t="s">
        <v>488</v>
      </c>
      <c r="L39" s="1282" t="s">
        <v>415</v>
      </c>
      <c r="Q39" s="312"/>
      <c r="R39" s="312"/>
      <c r="S39" s="2469"/>
      <c r="T39" s="2417"/>
      <c r="U39" s="239"/>
      <c r="V39" s="1270" t="s">
        <v>489</v>
      </c>
      <c r="W39" s="1140" t="s">
        <v>490</v>
      </c>
      <c r="X39" s="1140" t="s">
        <v>491</v>
      </c>
      <c r="Y39" s="1275" t="s">
        <v>443</v>
      </c>
      <c r="Z39" s="2422" t="s">
        <v>444</v>
      </c>
      <c r="AA39" s="2436"/>
      <c r="AB39" s="2475"/>
      <c r="AC39" s="1270" t="s">
        <v>489</v>
      </c>
      <c r="AD39" s="1140" t="s">
        <v>490</v>
      </c>
      <c r="AE39" s="1140" t="s">
        <v>491</v>
      </c>
      <c r="AF39" s="1275" t="s">
        <v>443</v>
      </c>
      <c r="AG39" s="2422" t="s">
        <v>444</v>
      </c>
      <c r="AH39" s="2436"/>
      <c r="AI39" s="2475"/>
      <c r="AJ39" s="2478"/>
      <c r="AK39" s="2328"/>
      <c r="AQ39" s="1073">
        <v>34</v>
      </c>
    </row>
    <row r="40" spans="1:43" s="202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271">
        <f ca="1">OFFSET(V40,0,-1)+1</f>
        <v>3</v>
      </c>
      <c r="W40" s="1271">
        <f ca="1">OFFSET(W40,0,-1)+1</f>
        <v>4</v>
      </c>
      <c r="X40" s="1271">
        <f ca="1">OFFSET(X40,0,-1)+1</f>
        <v>5</v>
      </c>
      <c r="Y40" s="1271">
        <f ca="1">OFFSET(Y40,0,-1)+1</f>
        <v>6</v>
      </c>
      <c r="Z40" s="2467">
        <f ca="1">OFFSET(Z40,0,-1)+1</f>
        <v>7</v>
      </c>
      <c r="AA40" s="2467"/>
      <c r="AB40" s="1271">
        <f ca="1">OFFSET(AB40,0,-2)+1</f>
        <v>8</v>
      </c>
      <c r="AC40" s="1271">
        <f ca="1">OFFSET(AC40,0,-1)+1</f>
        <v>9</v>
      </c>
      <c r="AD40" s="1271">
        <f ca="1">OFFSET(AD40,0,-1)+1</f>
        <v>10</v>
      </c>
      <c r="AE40" s="1271">
        <f ca="1">OFFSET(AE40,0,-1)+1</f>
        <v>11</v>
      </c>
      <c r="AF40" s="1271">
        <f ca="1">OFFSET(AF40,0,-1)+1</f>
        <v>12</v>
      </c>
      <c r="AG40" s="2467">
        <f ca="1">OFFSET(AG40,0,-1)+1</f>
        <v>13</v>
      </c>
      <c r="AH40" s="2467"/>
      <c r="AI40" s="1271">
        <f ca="1">OFFSET(AI40,0,-2)+1</f>
        <v>14</v>
      </c>
      <c r="AJ40" s="1163">
        <f ca="1">OFFSET(AJ40,0,-1)</f>
        <v>14</v>
      </c>
      <c r="AK40" s="1271">
        <f ca="1">OFFSET(AK40,0,-1)+1</f>
        <v>15</v>
      </c>
      <c r="AL40" s="447"/>
      <c r="AM40" s="447"/>
      <c r="AN40" s="447"/>
      <c r="AO40" s="447"/>
      <c r="AP40" s="447"/>
      <c r="AQ40" s="432">
        <v>0</v>
      </c>
    </row>
    <row r="41" spans="1:43" ht="24" customHeight="1">
      <c r="A41" s="1281" t="s">
        <v>223</v>
      </c>
      <c r="B41" s="1281"/>
      <c r="C41" s="1281"/>
      <c r="D41" s="1281"/>
      <c r="E41" s="2456">
        <v>1</v>
      </c>
      <c r="F41" s="1281"/>
      <c r="G41" s="1281"/>
      <c r="H41" s="1281"/>
      <c r="I41" s="1281"/>
      <c r="J41" s="1281"/>
      <c r="K41" s="1281"/>
      <c r="L41" s="1282"/>
      <c r="M41" s="1283"/>
      <c r="N41" s="1283"/>
      <c r="O41" s="1283"/>
      <c r="P41" s="297"/>
      <c r="Q41" s="296"/>
      <c r="R41" s="291"/>
      <c r="S41" s="1276">
        <f>INDEX(PT_DIFFERENTIATION_NUM_NTAR,MATCH(A41,PT_DIFFERENTIATION_NTAR_ID,0))</f>
        <v>0</v>
      </c>
      <c r="T41" s="235" t="s">
        <v>122</v>
      </c>
      <c r="U41" s="237"/>
      <c r="V41" s="2450"/>
      <c r="W41" s="2451"/>
      <c r="X41" s="2451"/>
      <c r="Y41" s="2451"/>
      <c r="Z41" s="2451"/>
      <c r="AA41" s="2451"/>
      <c r="AB41" s="2452"/>
      <c r="AC41" s="2450" t="str">
        <f>INDEX(PT_DIFFERENTIATION_NTAR,MATCH(A41,PT_DIFFERENTIATION_NTAR_ID,0))</f>
        <v/>
      </c>
      <c r="AD41" s="2451"/>
      <c r="AE41" s="2451"/>
      <c r="AF41" s="2451"/>
      <c r="AG41" s="2451"/>
      <c r="AH41" s="2451"/>
      <c r="AI41" s="2451"/>
      <c r="AJ41" s="24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223</v>
      </c>
      <c r="B42" s="1281" t="s">
        <v>224</v>
      </c>
      <c r="C42" s="1281"/>
      <c r="D42" s="1281"/>
      <c r="E42" s="2457"/>
      <c r="F42" s="2456">
        <v>1</v>
      </c>
      <c r="G42" s="1281"/>
      <c r="H42" s="1281"/>
      <c r="I42" s="1281"/>
      <c r="J42" s="1281"/>
      <c r="K42" s="1281"/>
      <c r="L42" s="1282"/>
      <c r="M42" s="1283"/>
      <c r="N42" s="1283"/>
      <c r="O42" s="1283"/>
      <c r="P42" s="1274"/>
      <c r="Q42" s="288"/>
      <c r="R42" s="289"/>
      <c r="S42" s="1276" t="str">
        <f>INDEX(PT_DIFFERENTIATION_NUM_TER,MATCH(B42,PT_DIFFERENTIATION_TER_ID,0))</f>
        <v>.</v>
      </c>
      <c r="T42" s="245" t="s">
        <v>394</v>
      </c>
      <c r="U42" s="237"/>
      <c r="V42" s="2450"/>
      <c r="W42" s="2451"/>
      <c r="X42" s="2451"/>
      <c r="Y42" s="2451"/>
      <c r="Z42" s="2451"/>
      <c r="AA42" s="2451"/>
      <c r="AB42" s="2452"/>
      <c r="AC42" s="2450" t="str">
        <f>INDEX(PT_DIFFERENTIATION_TER,MATCH(B42,PT_DIFFERENTIATION_TER_ID,0))</f>
        <v/>
      </c>
      <c r="AD42" s="2451"/>
      <c r="AE42" s="2451"/>
      <c r="AF42" s="2451"/>
      <c r="AG42" s="2451"/>
      <c r="AH42" s="2451"/>
      <c r="AI42" s="2451"/>
      <c r="AJ42" s="2452"/>
      <c r="AK42" s="1176" t="s">
        <v>395</v>
      </c>
      <c r="AM42" s="436"/>
      <c r="AN42" s="436" t="str">
        <f t="shared" si="1"/>
        <v>Территория действия тарифа</v>
      </c>
      <c r="AO42" s="436"/>
      <c r="AP42" s="436"/>
      <c r="AQ42" s="1073">
        <v>23</v>
      </c>
    </row>
    <row r="43" spans="1:43" ht="24" customHeight="1">
      <c r="A43" s="1281" t="s">
        <v>223</v>
      </c>
      <c r="B43" s="1281" t="s">
        <v>224</v>
      </c>
      <c r="C43" s="1281" t="s">
        <v>225</v>
      </c>
      <c r="D43" s="1281"/>
      <c r="E43" s="2457"/>
      <c r="F43" s="2457"/>
      <c r="G43" s="2456">
        <v>1</v>
      </c>
      <c r="H43" s="1281"/>
      <c r="I43" s="1281"/>
      <c r="J43" s="1281"/>
      <c r="K43" s="1281"/>
      <c r="L43" s="1282"/>
      <c r="M43" s="1283"/>
      <c r="N43" s="1283"/>
      <c r="O43" s="1283"/>
      <c r="P43" s="290"/>
      <c r="Q43" s="288"/>
      <c r="R43" s="289"/>
      <c r="S43" s="1276" t="str">
        <f>INDEX(PT_DIFFERENTIATION_NUM_CS,MATCH(C43,PT_DIFFERENTIATION_CS_ID,0))</f>
        <v>..</v>
      </c>
      <c r="T43" s="246" t="s">
        <v>478</v>
      </c>
      <c r="U43" s="237"/>
      <c r="V43" s="2450"/>
      <c r="W43" s="2451"/>
      <c r="X43" s="2451"/>
      <c r="Y43" s="2451"/>
      <c r="Z43" s="2451"/>
      <c r="AA43" s="2451"/>
      <c r="AB43" s="2452"/>
      <c r="AC43" s="2450" t="str">
        <f>INDEX(PT_DIFFERENTIATION_CS,MATCH(C43,PT_DIFFERENTIATION_CS_ID,0))</f>
        <v/>
      </c>
      <c r="AD43" s="2451"/>
      <c r="AE43" s="2451"/>
      <c r="AF43" s="2451"/>
      <c r="AG43" s="2451"/>
      <c r="AH43" s="2451"/>
      <c r="AI43" s="2451"/>
      <c r="AJ43" s="2452"/>
      <c r="AK43" s="1176" t="s">
        <v>479</v>
      </c>
      <c r="AM43" s="436"/>
      <c r="AN43" s="436" t="str">
        <f t="shared" si="1"/>
        <v>Наименование централизованной системы холодного водоснабжения</v>
      </c>
      <c r="AO43" s="436"/>
      <c r="AP43" s="436"/>
      <c r="AQ43" s="1073">
        <v>23</v>
      </c>
    </row>
    <row r="44" spans="1:43" ht="24" customHeight="1">
      <c r="A44" s="1281" t="s">
        <v>223</v>
      </c>
      <c r="B44" s="1281" t="s">
        <v>224</v>
      </c>
      <c r="C44" s="1281" t="s">
        <v>225</v>
      </c>
      <c r="D44" s="1281" t="s">
        <v>492</v>
      </c>
      <c r="E44" s="2457"/>
      <c r="F44" s="2457"/>
      <c r="G44" s="2457"/>
      <c r="H44" s="2457"/>
      <c r="I44" s="2458" t="str">
        <f>S43&amp;".1"</f>
        <v>...1</v>
      </c>
      <c r="J44" s="1281"/>
      <c r="K44" s="1281"/>
      <c r="L44" s="1282"/>
      <c r="P44" s="2460">
        <v>1</v>
      </c>
      <c r="Q44" s="1272"/>
      <c r="R44" s="292"/>
      <c r="S44" s="1276" t="str">
        <f>$I44</f>
        <v>...1</v>
      </c>
      <c r="T44" s="222" t="s">
        <v>480</v>
      </c>
      <c r="U44" s="237"/>
      <c r="V44" s="2524"/>
      <c r="W44" s="2525"/>
      <c r="X44" s="2525"/>
      <c r="Y44" s="2525"/>
      <c r="Z44" s="2525"/>
      <c r="AA44" s="2525"/>
      <c r="AB44" s="2526"/>
      <c r="AC44" s="2527"/>
      <c r="AD44" s="2528"/>
      <c r="AE44" s="2528"/>
      <c r="AF44" s="2528"/>
      <c r="AG44" s="2528"/>
      <c r="AH44" s="2528"/>
      <c r="AI44" s="2528"/>
      <c r="AJ44" s="2529"/>
      <c r="AK44" s="1176" t="s">
        <v>481</v>
      </c>
      <c r="AM44" s="436"/>
      <c r="AN44" s="436" t="str">
        <f t="shared" si="1"/>
        <v>Наименование признака дифференциации</v>
      </c>
      <c r="AO44" s="436"/>
      <c r="AP44" s="436"/>
      <c r="AQ44" s="1073">
        <v>23</v>
      </c>
    </row>
    <row r="45" spans="1:43" ht="24" customHeight="1">
      <c r="A45" s="1281" t="s">
        <v>223</v>
      </c>
      <c r="B45" s="1281" t="s">
        <v>224</v>
      </c>
      <c r="C45" s="1281" t="s">
        <v>225</v>
      </c>
      <c r="D45" s="1281" t="s">
        <v>492</v>
      </c>
      <c r="E45" s="2457"/>
      <c r="F45" s="2457"/>
      <c r="G45" s="2457"/>
      <c r="H45" s="2457"/>
      <c r="I45" s="2459"/>
      <c r="J45" s="2458" t="str">
        <f>I44&amp;".1"</f>
        <v>...1.1</v>
      </c>
      <c r="K45" s="1281"/>
      <c r="L45" s="1282" t="s">
        <v>403</v>
      </c>
      <c r="P45" s="2460"/>
      <c r="Q45" s="2460">
        <v>1</v>
      </c>
      <c r="R45" s="293"/>
      <c r="S45" s="1276" t="str">
        <f>$J45</f>
        <v>...1.1</v>
      </c>
      <c r="T45" s="223" t="s">
        <v>404</v>
      </c>
      <c r="U45" s="237"/>
      <c r="V45" s="2444"/>
      <c r="W45" s="2445"/>
      <c r="X45" s="2445"/>
      <c r="Y45" s="2445"/>
      <c r="Z45" s="2445"/>
      <c r="AA45" s="2445"/>
      <c r="AB45" s="2446"/>
      <c r="AC45" s="2444"/>
      <c r="AD45" s="2445"/>
      <c r="AE45" s="2445"/>
      <c r="AF45" s="2445"/>
      <c r="AG45" s="2445"/>
      <c r="AH45" s="2445"/>
      <c r="AI45" s="2445"/>
      <c r="AJ45" s="2446"/>
      <c r="AK45" s="1225" t="s">
        <v>482</v>
      </c>
      <c r="AM45" s="436"/>
      <c r="AN45" s="436" t="str">
        <f t="shared" si="1"/>
        <v>Группа потребителей</v>
      </c>
      <c r="AO45" s="436"/>
      <c r="AP45" s="436"/>
      <c r="AQ45" s="1073">
        <v>23</v>
      </c>
    </row>
    <row r="46" spans="1:43" ht="24" customHeight="1">
      <c r="A46" s="1281" t="s">
        <v>223</v>
      </c>
      <c r="B46" s="1281" t="s">
        <v>224</v>
      </c>
      <c r="C46" s="1281" t="s">
        <v>225</v>
      </c>
      <c r="D46" s="1281" t="s">
        <v>492</v>
      </c>
      <c r="E46" s="2457"/>
      <c r="F46" s="2457"/>
      <c r="G46" s="2457"/>
      <c r="H46" s="2457"/>
      <c r="I46" s="2459"/>
      <c r="J46" s="2459"/>
      <c r="K46" s="2458" t="str">
        <f>J45&amp;".1"</f>
        <v>...1.1.1</v>
      </c>
      <c r="L46" s="1282"/>
      <c r="P46" s="2460"/>
      <c r="Q46" s="2460"/>
      <c r="R46" s="293">
        <v>1</v>
      </c>
      <c r="S46" s="1276" t="str">
        <f>$K46</f>
        <v>...1.1.1</v>
      </c>
      <c r="T46" s="1355"/>
      <c r="U46" s="237"/>
      <c r="V46" s="1278"/>
      <c r="W46" s="1278"/>
      <c r="X46" s="1279"/>
      <c r="Y46" s="2454"/>
      <c r="Z46" s="2453" t="s">
        <v>67</v>
      </c>
      <c r="AA46" s="2454"/>
      <c r="AB46" s="2453" t="s">
        <v>67</v>
      </c>
      <c r="AC46" s="687"/>
      <c r="AD46" s="687"/>
      <c r="AE46" s="1175"/>
      <c r="AF46" s="2461"/>
      <c r="AG46" s="2338" t="s">
        <v>67</v>
      </c>
      <c r="AH46" s="2463"/>
      <c r="AI46" s="2338" t="s">
        <v>19</v>
      </c>
      <c r="AJ46" s="1356"/>
      <c r="AK46"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223</v>
      </c>
      <c r="B47" s="1281" t="s">
        <v>224</v>
      </c>
      <c r="C47" s="1281" t="s">
        <v>225</v>
      </c>
      <c r="D47" s="1281" t="s">
        <v>492</v>
      </c>
      <c r="E47" s="2457"/>
      <c r="F47" s="2457"/>
      <c r="G47" s="2457"/>
      <c r="H47" s="2457"/>
      <c r="I47" s="2459"/>
      <c r="J47" s="2459"/>
      <c r="K47" s="2458"/>
      <c r="L47" s="1282"/>
      <c r="P47" s="2460"/>
      <c r="Q47" s="2460"/>
      <c r="R47" s="293"/>
      <c r="S47" s="1277"/>
      <c r="T47" s="237"/>
      <c r="U47" s="237"/>
      <c r="V47" s="1278"/>
      <c r="W47" s="1278"/>
      <c r="X47" s="265" t="str">
        <f>Y46&amp;"-"&amp;AA46</f>
        <v>-</v>
      </c>
      <c r="Y47" s="2453"/>
      <c r="Z47" s="2453"/>
      <c r="AA47" s="2453"/>
      <c r="AB47" s="2453"/>
      <c r="AC47" s="262"/>
      <c r="AD47" s="262"/>
      <c r="AE47" s="265" t="str">
        <f>AF46&amp;"-"&amp;AH46</f>
        <v>-</v>
      </c>
      <c r="AF47" s="2462"/>
      <c r="AG47" s="2338"/>
      <c r="AH47" s="2464"/>
      <c r="AI47" s="2338"/>
      <c r="AJ47" s="1357"/>
      <c r="AK47" s="2530"/>
      <c r="AM47" s="436"/>
      <c r="AN47" s="436" t="str">
        <f t="shared" si="1"/>
        <v/>
      </c>
      <c r="AO47" s="436"/>
      <c r="AP47" s="436"/>
      <c r="AQ47" s="1073">
        <v>0</v>
      </c>
    </row>
    <row r="48" spans="1:43" ht="21" customHeight="1">
      <c r="A48" s="1281" t="s">
        <v>223</v>
      </c>
      <c r="B48" s="1281" t="s">
        <v>224</v>
      </c>
      <c r="C48" s="1281" t="s">
        <v>225</v>
      </c>
      <c r="D48" s="1281" t="s">
        <v>492</v>
      </c>
      <c r="E48" s="2457"/>
      <c r="F48" s="2457"/>
      <c r="G48" s="2457"/>
      <c r="H48" s="2457"/>
      <c r="I48" s="2459"/>
      <c r="J48" s="2458"/>
      <c r="K48" s="1281"/>
      <c r="L48" s="1282"/>
      <c r="P48" s="2460"/>
      <c r="Q48" s="2460"/>
      <c r="R48" s="292"/>
      <c r="S48" s="1196"/>
      <c r="T48" s="224" t="s">
        <v>483</v>
      </c>
      <c r="U48" s="303"/>
      <c r="V48" s="303"/>
      <c r="W48" s="303"/>
      <c r="X48" s="303"/>
      <c r="Y48" s="303"/>
      <c r="Z48" s="303"/>
      <c r="AA48" s="303"/>
      <c r="AB48" s="303"/>
      <c r="AC48" s="303"/>
      <c r="AD48" s="303"/>
      <c r="AE48" s="303"/>
      <c r="AF48" s="303"/>
      <c r="AG48" s="303"/>
      <c r="AH48" s="303"/>
      <c r="AI48" s="303"/>
      <c r="AJ48" s="303"/>
      <c r="AK48" s="1176" t="s">
        <v>484</v>
      </c>
      <c r="AM48" s="436"/>
      <c r="AN48" s="436" t="str">
        <f t="shared" si="1"/>
        <v>Добавить значение признака дифференциации</v>
      </c>
      <c r="AO48" s="436"/>
      <c r="AP48" s="436"/>
      <c r="AQ48" s="1073">
        <v>20</v>
      </c>
    </row>
    <row r="49" spans="1:43" ht="21.95" customHeight="1">
      <c r="A49" s="1281" t="s">
        <v>223</v>
      </c>
      <c r="B49" s="1281" t="s">
        <v>224</v>
      </c>
      <c r="C49" s="1281" t="s">
        <v>225</v>
      </c>
      <c r="D49" s="1281" t="s">
        <v>492</v>
      </c>
      <c r="E49" s="2457"/>
      <c r="F49" s="2457"/>
      <c r="G49" s="2457"/>
      <c r="H49" s="2457"/>
      <c r="I49" s="2458"/>
      <c r="J49" s="1281"/>
      <c r="K49" s="1281"/>
      <c r="L49" s="1282"/>
      <c r="P49" s="2460"/>
      <c r="Q49" s="1272"/>
      <c r="R49" s="292"/>
      <c r="S49" s="1196"/>
      <c r="T49" s="301" t="s">
        <v>409</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223</v>
      </c>
      <c r="B50" s="1281" t="s">
        <v>224</v>
      </c>
      <c r="C50" s="1281" t="s">
        <v>225</v>
      </c>
      <c r="D50" s="1281" t="s">
        <v>492</v>
      </c>
      <c r="E50" s="2457"/>
      <c r="F50" s="2457"/>
      <c r="G50" s="2457"/>
      <c r="H50" s="2456"/>
      <c r="I50" s="1281"/>
      <c r="J50" s="1281"/>
      <c r="K50" s="1281"/>
      <c r="L50" s="1282"/>
      <c r="M50" s="1283"/>
      <c r="N50" s="1283"/>
      <c r="O50" s="473"/>
      <c r="P50" s="296"/>
      <c r="Q50" s="311"/>
      <c r="R50" s="291"/>
      <c r="S50" s="1196"/>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034" customFormat="1" ht="0" hidden="1" customHeight="1">
      <c r="A51" s="1261" t="s">
        <v>223</v>
      </c>
      <c r="B51" s="1261" t="s">
        <v>224</v>
      </c>
      <c r="C51" s="1232"/>
      <c r="D51" s="1232"/>
      <c r="E51" s="2457"/>
      <c r="F51" s="2456"/>
      <c r="G51" s="1232"/>
      <c r="H51" s="1232"/>
      <c r="I51" s="1232"/>
      <c r="J51" s="1232"/>
      <c r="K51" s="1232"/>
      <c r="L51" s="1344"/>
      <c r="M51" s="1239"/>
      <c r="N51" s="1239"/>
      <c r="P51" s="1234"/>
      <c r="Q51" s="1235"/>
      <c r="R51" s="1234"/>
      <c r="S51" s="1240"/>
      <c r="T51" s="1243" t="s">
        <v>412</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34" customFormat="1" ht="0" hidden="1" customHeight="1">
      <c r="A52" s="1261" t="s">
        <v>223</v>
      </c>
      <c r="B52" s="1261"/>
      <c r="C52" s="1261"/>
      <c r="D52" s="1261"/>
      <c r="E52" s="2456"/>
      <c r="F52" s="1261"/>
      <c r="G52" s="1261"/>
      <c r="H52" s="1261"/>
      <c r="I52" s="1261"/>
      <c r="J52" s="1261"/>
      <c r="K52" s="1261"/>
      <c r="L52" s="1264"/>
      <c r="M52" s="1239"/>
      <c r="N52" s="1239"/>
      <c r="O52" s="454"/>
      <c r="P52" s="316"/>
      <c r="Q52" s="1262"/>
      <c r="R52" s="316"/>
      <c r="S52" s="1240"/>
      <c r="T52" s="1243" t="s">
        <v>413</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3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55"/>
      <c r="U55" s="2455"/>
      <c r="V55" s="2455"/>
      <c r="W55" s="2455"/>
      <c r="X55" s="2455"/>
      <c r="Y55" s="2455"/>
      <c r="Z55" s="2455"/>
      <c r="AA55" s="2455"/>
      <c r="AB55" s="2455"/>
      <c r="AC55" s="2455"/>
      <c r="AD55" s="2455"/>
      <c r="AE55" s="2455"/>
      <c r="AF55" s="2455"/>
      <c r="AG55" s="2455"/>
      <c r="AH55" s="2455"/>
      <c r="AI55" s="2455"/>
      <c r="AJ55" s="2455"/>
      <c r="AK55" s="2455"/>
      <c r="AQ55" s="1073">
        <v>14</v>
      </c>
    </row>
    <row r="56" spans="1:43" ht="14.65" customHeight="1">
      <c r="O56" s="473"/>
      <c r="AQ56" s="1073">
        <v>14</v>
      </c>
    </row>
    <row r="57" spans="1:43" ht="14.65" customHeight="1">
      <c r="O57" s="473"/>
      <c r="S57" s="1171"/>
      <c r="T57" s="2455"/>
      <c r="U57" s="2455"/>
      <c r="V57" s="2455"/>
      <c r="W57" s="2455"/>
      <c r="X57" s="2455"/>
      <c r="Y57" s="2455"/>
      <c r="Z57" s="2455"/>
      <c r="AA57" s="2455"/>
      <c r="AB57" s="2455"/>
      <c r="AC57" s="2455"/>
      <c r="AD57" s="2455"/>
      <c r="AE57" s="2455"/>
      <c r="AF57" s="2455"/>
      <c r="AG57" s="2455"/>
      <c r="AH57" s="2455"/>
      <c r="AI57" s="2455"/>
      <c r="AJ57" s="2455"/>
      <c r="AK57" s="245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4" width="24.7109375" style="2062" hidden="1" customWidth="1"/>
    <col min="25" max="25" width="11.7109375" style="2062" hidden="1" customWidth="1"/>
    <col min="26" max="26" width="3.7109375" style="2062" hidden="1" customWidth="1"/>
    <col min="27" max="27" width="11.7109375" style="2062" hidden="1" customWidth="1"/>
    <col min="28" max="28" width="8.5703125" style="2062" hidden="1" customWidth="1"/>
    <col min="29" max="29" width="24.7109375" style="2062" customWidth="1"/>
    <col min="30" max="31" width="24"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22.5" hidden="1" customHeight="1">
      <c r="X1" s="264"/>
      <c r="Y1" s="264"/>
      <c r="AE1" s="264"/>
      <c r="AF1" s="264"/>
      <c r="AQ1" s="1073" t="s">
        <v>14</v>
      </c>
    </row>
    <row r="2" spans="1:43" ht="23.25" hidden="1" customHeight="1">
      <c r="A2" s="1281"/>
      <c r="B2" s="1281"/>
      <c r="C2" s="1281"/>
      <c r="D2" s="1281"/>
      <c r="E2" s="2456">
        <v>1</v>
      </c>
      <c r="F2" s="1281"/>
      <c r="G2" s="1281"/>
      <c r="H2" s="1281"/>
      <c r="I2" s="1281"/>
      <c r="J2" s="1281"/>
      <c r="K2" s="1281"/>
      <c r="L2" s="1282"/>
      <c r="M2" s="1283"/>
      <c r="N2" s="1283"/>
      <c r="O2" s="1283"/>
      <c r="P2" s="297"/>
      <c r="Q2" s="296"/>
      <c r="R2" s="291"/>
      <c r="S2" s="1375" t="e">
        <f>INDEX(PT_DIFFERENTIATION_NUM_NTAR,MATCH(A2,PT_DIFFERENTIATION_NTAR_ID,0))</f>
        <v>#N/A</v>
      </c>
      <c r="T2" s="235" t="s">
        <v>122</v>
      </c>
      <c r="U2" s="237"/>
      <c r="V2" s="2450"/>
      <c r="W2" s="2451"/>
      <c r="X2" s="2451"/>
      <c r="Y2" s="2451"/>
      <c r="Z2" s="2451"/>
      <c r="AA2" s="2451"/>
      <c r="AB2" s="2452"/>
      <c r="AC2" s="2450" t="e">
        <f>INDEX(PT_DIFFERENTIATION_NTAR,MATCH(A2,PT_DIFFERENTIATION_NTAR_ID,0))</f>
        <v>#N/A</v>
      </c>
      <c r="AD2" s="2451"/>
      <c r="AE2" s="2451"/>
      <c r="AF2" s="2451"/>
      <c r="AG2" s="2451"/>
      <c r="AH2" s="2451"/>
      <c r="AI2" s="2451"/>
      <c r="AJ2" s="24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57"/>
      <c r="F3" s="2456">
        <v>1</v>
      </c>
      <c r="G3" s="1281"/>
      <c r="H3" s="1281"/>
      <c r="I3" s="1281"/>
      <c r="J3" s="1281"/>
      <c r="K3" s="1281"/>
      <c r="L3" s="1282"/>
      <c r="M3" s="1283"/>
      <c r="N3" s="1283"/>
      <c r="O3" s="1283"/>
      <c r="P3" s="1371"/>
      <c r="Q3" s="288"/>
      <c r="R3" s="289"/>
      <c r="S3" s="1375" t="e">
        <f>INDEX(PT_DIFFERENTIATION_NUM_TER,MATCH(B3,PT_DIFFERENTIATION_TER_ID,0))</f>
        <v>#N/A</v>
      </c>
      <c r="T3" s="245" t="s">
        <v>394</v>
      </c>
      <c r="U3" s="237"/>
      <c r="V3" s="2450"/>
      <c r="W3" s="2451"/>
      <c r="X3" s="2451"/>
      <c r="Y3" s="2451"/>
      <c r="Z3" s="2451"/>
      <c r="AA3" s="2451"/>
      <c r="AB3" s="2452"/>
      <c r="AC3" s="2450" t="e">
        <f>INDEX(PT_DIFFERENTIATION_TER,MATCH(B3,PT_DIFFERENTIATION_TER_ID,0))</f>
        <v>#N/A</v>
      </c>
      <c r="AD3" s="2451"/>
      <c r="AE3" s="2451"/>
      <c r="AF3" s="2451"/>
      <c r="AG3" s="2451"/>
      <c r="AH3" s="2451"/>
      <c r="AI3" s="2451"/>
      <c r="AJ3" s="2452"/>
      <c r="AK3" s="1176" t="s">
        <v>395</v>
      </c>
      <c r="AM3" s="436"/>
      <c r="AN3" s="436" t="str">
        <f t="shared" si="0"/>
        <v>Территория действия тарифа</v>
      </c>
      <c r="AO3" s="436"/>
      <c r="AP3" s="436"/>
      <c r="AQ3" s="1073">
        <v>0</v>
      </c>
    </row>
    <row r="4" spans="1:43" ht="23.25" hidden="1" customHeight="1">
      <c r="A4" s="1281"/>
      <c r="B4" s="1281"/>
      <c r="C4" s="1281"/>
      <c r="D4" s="1281"/>
      <c r="E4" s="2457"/>
      <c r="F4" s="2457"/>
      <c r="G4" s="2456">
        <v>1</v>
      </c>
      <c r="H4" s="1281"/>
      <c r="I4" s="1281"/>
      <c r="J4" s="1281"/>
      <c r="K4" s="1281"/>
      <c r="L4" s="1282"/>
      <c r="M4" s="1283"/>
      <c r="N4" s="1283"/>
      <c r="O4" s="1283"/>
      <c r="P4" s="290"/>
      <c r="Q4" s="288"/>
      <c r="R4" s="289"/>
      <c r="S4" s="1375" t="e">
        <f>INDEX(PT_DIFFERENTIATION_NUM_CS,MATCH(C4,PT_DIFFERENTIATION_CS_ID,0))</f>
        <v>#N/A</v>
      </c>
      <c r="T4" s="246" t="s">
        <v>478</v>
      </c>
      <c r="U4" s="237"/>
      <c r="V4" s="2450"/>
      <c r="W4" s="2451"/>
      <c r="X4" s="2451"/>
      <c r="Y4" s="2451"/>
      <c r="Z4" s="2451"/>
      <c r="AA4" s="2451"/>
      <c r="AB4" s="2452"/>
      <c r="AC4" s="2450" t="e">
        <f>INDEX(PT_DIFFERENTIATION_CS,MATCH(C4,PT_DIFFERENTIATION_CS_ID,0))</f>
        <v>#N/A</v>
      </c>
      <c r="AD4" s="2451"/>
      <c r="AE4" s="2451"/>
      <c r="AF4" s="2451"/>
      <c r="AG4" s="2451"/>
      <c r="AH4" s="2451"/>
      <c r="AI4" s="2451"/>
      <c r="AJ4" s="2452"/>
      <c r="AK4" s="1176" t="s">
        <v>479</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57"/>
      <c r="F5" s="2457"/>
      <c r="G5" s="2457"/>
      <c r="H5" s="2457"/>
      <c r="I5" s="2458" t="e">
        <f>S4&amp;".1"</f>
        <v>#N/A</v>
      </c>
      <c r="J5" s="1281"/>
      <c r="K5" s="1281"/>
      <c r="L5" s="1282"/>
      <c r="P5" s="2460">
        <v>1</v>
      </c>
      <c r="Q5" s="1368"/>
      <c r="R5" s="292"/>
      <c r="S5" s="1375" t="e">
        <f>$I5</f>
        <v>#N/A</v>
      </c>
      <c r="T5" s="222" t="s">
        <v>480</v>
      </c>
      <c r="U5" s="237"/>
      <c r="V5" s="2524"/>
      <c r="W5" s="2525"/>
      <c r="X5" s="2525"/>
      <c r="Y5" s="2525"/>
      <c r="Z5" s="2525"/>
      <c r="AA5" s="2525"/>
      <c r="AB5" s="2526"/>
      <c r="AC5" s="2527"/>
      <c r="AD5" s="2528"/>
      <c r="AE5" s="2528"/>
      <c r="AF5" s="2528"/>
      <c r="AG5" s="2528"/>
      <c r="AH5" s="2528"/>
      <c r="AI5" s="2528"/>
      <c r="AJ5" s="2529"/>
      <c r="AK5" s="1176" t="s">
        <v>481</v>
      </c>
      <c r="AM5" s="436"/>
      <c r="AN5" s="436" t="str">
        <f t="shared" si="0"/>
        <v>Наименование признака дифференциации</v>
      </c>
      <c r="AO5" s="436"/>
      <c r="AP5" s="436"/>
      <c r="AQ5" s="1073">
        <v>0</v>
      </c>
    </row>
    <row r="6" spans="1:43" ht="23.25" hidden="1" customHeight="1">
      <c r="A6" s="1281"/>
      <c r="B6" s="1281"/>
      <c r="C6" s="1281"/>
      <c r="D6" s="1281"/>
      <c r="E6" s="2457"/>
      <c r="F6" s="2457"/>
      <c r="G6" s="2457"/>
      <c r="H6" s="2457"/>
      <c r="I6" s="2459"/>
      <c r="J6" s="2458" t="e">
        <f>I5&amp;".1"</f>
        <v>#N/A</v>
      </c>
      <c r="K6" s="1281"/>
      <c r="L6" s="1282" t="s">
        <v>403</v>
      </c>
      <c r="P6" s="2460"/>
      <c r="Q6" s="2460">
        <v>1</v>
      </c>
      <c r="R6" s="293"/>
      <c r="S6" s="1375" t="e">
        <f>$J6</f>
        <v>#N/A</v>
      </c>
      <c r="T6" s="223" t="s">
        <v>404</v>
      </c>
      <c r="U6" s="237"/>
      <c r="V6" s="2444"/>
      <c r="W6" s="2445"/>
      <c r="X6" s="2445"/>
      <c r="Y6" s="2445"/>
      <c r="Z6" s="2445"/>
      <c r="AA6" s="2445"/>
      <c r="AB6" s="2446"/>
      <c r="AC6" s="2444"/>
      <c r="AD6" s="2445"/>
      <c r="AE6" s="2445"/>
      <c r="AF6" s="2445"/>
      <c r="AG6" s="2445"/>
      <c r="AH6" s="2445"/>
      <c r="AI6" s="2445"/>
      <c r="AJ6" s="2446"/>
      <c r="AK6" s="1225" t="s">
        <v>482</v>
      </c>
      <c r="AM6" s="436"/>
      <c r="AN6" s="436" t="str">
        <f t="shared" si="0"/>
        <v>Группа потребителей</v>
      </c>
      <c r="AO6" s="436"/>
      <c r="AP6" s="436"/>
      <c r="AQ6" s="1073">
        <v>0</v>
      </c>
    </row>
    <row r="7" spans="1:43" ht="23.25" hidden="1" customHeight="1">
      <c r="A7" s="1281"/>
      <c r="B7" s="1281"/>
      <c r="C7" s="1281"/>
      <c r="D7" s="1281"/>
      <c r="E7" s="2457"/>
      <c r="F7" s="2457"/>
      <c r="G7" s="2457"/>
      <c r="H7" s="2457"/>
      <c r="I7" s="2459"/>
      <c r="J7" s="2459"/>
      <c r="K7" s="2458" t="e">
        <f>J6&amp;".1"</f>
        <v>#N/A</v>
      </c>
      <c r="L7" s="1282"/>
      <c r="P7" s="2460"/>
      <c r="Q7" s="2460"/>
      <c r="R7" s="293">
        <v>1</v>
      </c>
      <c r="S7" s="1375" t="e">
        <f>$K7</f>
        <v>#N/A</v>
      </c>
      <c r="T7" s="1355"/>
      <c r="U7" s="237"/>
      <c r="V7" s="687"/>
      <c r="W7" s="687"/>
      <c r="X7" s="1175"/>
      <c r="Y7" s="2461"/>
      <c r="Z7" s="2338" t="s">
        <v>67</v>
      </c>
      <c r="AA7" s="2461"/>
      <c r="AB7" s="2338" t="s">
        <v>67</v>
      </c>
      <c r="AC7" s="687"/>
      <c r="AD7" s="687"/>
      <c r="AE7" s="1175"/>
      <c r="AF7" s="2461"/>
      <c r="AG7" s="2338" t="s">
        <v>67</v>
      </c>
      <c r="AH7" s="2463"/>
      <c r="AI7" s="2338" t="s">
        <v>67</v>
      </c>
      <c r="AJ7" s="1356"/>
      <c r="AK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57"/>
      <c r="F8" s="2457"/>
      <c r="G8" s="2457"/>
      <c r="H8" s="2457"/>
      <c r="I8" s="2459"/>
      <c r="J8" s="2459"/>
      <c r="K8" s="2458"/>
      <c r="L8" s="1282"/>
      <c r="P8" s="2460"/>
      <c r="Q8" s="2460"/>
      <c r="R8" s="293"/>
      <c r="S8" s="1374"/>
      <c r="T8" s="237"/>
      <c r="U8" s="237"/>
      <c r="V8" s="262"/>
      <c r="W8" s="262"/>
      <c r="X8" s="265" t="str">
        <f>Y7&amp;"-"&amp;AA7</f>
        <v>-</v>
      </c>
      <c r="Y8" s="2462"/>
      <c r="Z8" s="2338"/>
      <c r="AA8" s="2462"/>
      <c r="AB8" s="2338"/>
      <c r="AC8" s="262"/>
      <c r="AD8" s="262"/>
      <c r="AE8" s="265" t="str">
        <f>AF7&amp;"-"&amp;AH7</f>
        <v>-</v>
      </c>
      <c r="AF8" s="2462"/>
      <c r="AG8" s="2338"/>
      <c r="AH8" s="2464"/>
      <c r="AI8" s="2338"/>
      <c r="AJ8" s="1357"/>
      <c r="AK8" s="2530"/>
      <c r="AM8" s="436"/>
      <c r="AN8" s="436" t="str">
        <f t="shared" si="0"/>
        <v/>
      </c>
      <c r="AO8" s="436"/>
      <c r="AP8" s="436"/>
      <c r="AQ8" s="1073">
        <v>0</v>
      </c>
    </row>
    <row r="9" spans="1:43" ht="21" hidden="1" customHeight="1">
      <c r="A9" s="1281"/>
      <c r="B9" s="1281"/>
      <c r="C9" s="1281"/>
      <c r="D9" s="1281"/>
      <c r="E9" s="2457"/>
      <c r="F9" s="2457"/>
      <c r="G9" s="2457"/>
      <c r="H9" s="2457"/>
      <c r="I9" s="2459"/>
      <c r="J9" s="2458"/>
      <c r="K9" s="1281"/>
      <c r="L9" s="1282"/>
      <c r="P9" s="2460"/>
      <c r="Q9" s="2460"/>
      <c r="R9" s="292"/>
      <c r="S9" s="1196"/>
      <c r="T9" s="224" t="s">
        <v>483</v>
      </c>
      <c r="U9" s="303"/>
      <c r="V9" s="303"/>
      <c r="W9" s="303"/>
      <c r="X9" s="303"/>
      <c r="Y9" s="303"/>
      <c r="Z9" s="303"/>
      <c r="AA9" s="303"/>
      <c r="AB9" s="303"/>
      <c r="AC9" s="303"/>
      <c r="AD9" s="303"/>
      <c r="AE9" s="303"/>
      <c r="AF9" s="303"/>
      <c r="AG9" s="303"/>
      <c r="AH9" s="303"/>
      <c r="AI9" s="303"/>
      <c r="AJ9" s="303"/>
      <c r="AK9" s="1176" t="s">
        <v>484</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57"/>
      <c r="F10" s="2457"/>
      <c r="G10" s="2457"/>
      <c r="H10" s="2457"/>
      <c r="I10" s="2458"/>
      <c r="J10" s="1281"/>
      <c r="K10" s="1281"/>
      <c r="L10" s="1282"/>
      <c r="P10" s="2460"/>
      <c r="Q10" s="1368"/>
      <c r="R10" s="292"/>
      <c r="S10" s="1196"/>
      <c r="T10" s="301" t="s">
        <v>409</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034" customFormat="1" ht="14.25" hidden="1" customHeight="1">
      <c r="A12" s="1261"/>
      <c r="B12" s="1261"/>
      <c r="C12" s="1232"/>
      <c r="D12" s="1232"/>
      <c r="E12" s="2457"/>
      <c r="F12" s="2456"/>
      <c r="G12" s="1232"/>
      <c r="H12" s="1232"/>
      <c r="I12" s="1232"/>
      <c r="J12" s="1232"/>
      <c r="K12" s="1232"/>
      <c r="L12" s="1376"/>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54"/>
      <c r="AG15" s="2453" t="s">
        <v>67</v>
      </c>
      <c r="AH15" s="2454"/>
      <c r="AI15" s="2453" t="s">
        <v>67</v>
      </c>
      <c r="AQ15" s="1073">
        <v>0</v>
      </c>
    </row>
    <row r="16" spans="1:43" ht="14.25" hidden="1" customHeight="1">
      <c r="AC16" s="1278"/>
      <c r="AD16" s="1278"/>
      <c r="AE16" s="265" t="str">
        <f>AF15&amp;"-"&amp;AH15</f>
        <v>-</v>
      </c>
      <c r="AF16" s="2453"/>
      <c r="AG16" s="2453"/>
      <c r="AH16" s="2453"/>
      <c r="AI16" s="2453"/>
      <c r="AQ16" s="1073">
        <v>0</v>
      </c>
    </row>
    <row r="17" spans="1:43" ht="14.25" hidden="1" customHeight="1">
      <c r="AI17" s="264"/>
      <c r="AQ17" s="1073">
        <v>0</v>
      </c>
    </row>
    <row r="18" spans="1:43" s="2056" customFormat="1" ht="22.5" hidden="1" customHeight="1">
      <c r="L18" s="1365"/>
      <c r="M18" s="1280"/>
      <c r="N18" s="1280"/>
      <c r="O18" s="1285" t="s">
        <v>414</v>
      </c>
      <c r="P18" s="1280"/>
      <c r="Q18" s="1289"/>
      <c r="R18" s="1289"/>
      <c r="S18" s="665"/>
      <c r="Y18" s="1285"/>
      <c r="AA18" s="1285"/>
      <c r="AB18" s="1284"/>
      <c r="AF18" s="1285"/>
      <c r="AH18" s="1285"/>
      <c r="AI18" s="1284"/>
      <c r="AL18" s="447"/>
      <c r="AM18" s="447"/>
      <c r="AN18" s="447"/>
      <c r="AO18" s="447"/>
      <c r="AP18" s="447"/>
      <c r="AQ18" s="1078">
        <v>0</v>
      </c>
    </row>
    <row r="19" spans="1:43" s="2056"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056" customFormat="1" ht="12" hidden="1" customHeight="1">
      <c r="L20" s="1365"/>
      <c r="M20" s="1280"/>
      <c r="N20" s="1280"/>
      <c r="O20" s="1282" t="s">
        <v>415</v>
      </c>
      <c r="P20" s="1280"/>
      <c r="Q20" s="1360"/>
      <c r="R20" s="1360"/>
      <c r="S20" s="665"/>
      <c r="T20" s="1078" t="s">
        <v>416</v>
      </c>
      <c r="Z20" s="123" t="s">
        <v>417</v>
      </c>
      <c r="AB20" s="123" t="s">
        <v>418</v>
      </c>
      <c r="AC20" s="1078" t="s">
        <v>416</v>
      </c>
      <c r="AG20" s="123" t="s">
        <v>419</v>
      </c>
      <c r="AI20" s="123" t="s">
        <v>418</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7"/>
      <c r="U24" s="2437"/>
      <c r="V24" s="2437"/>
      <c r="W24" s="2437"/>
      <c r="X24" s="2437"/>
      <c r="Y24" s="2437"/>
      <c r="Z24" s="2437"/>
      <c r="AA24" s="2437"/>
      <c r="AB24" s="2437"/>
      <c r="AC24" s="2437"/>
      <c r="AD24" s="2437"/>
      <c r="AE24" s="2437"/>
      <c r="AF24" s="2437"/>
      <c r="AG24" s="2437"/>
      <c r="AH24" s="2437"/>
      <c r="AI24" s="1161"/>
      <c r="AQ24" s="1073">
        <v>14</v>
      </c>
    </row>
    <row r="25" spans="1:43"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63"/>
      <c r="AC27" s="2449" t="str">
        <f>IF(TITLE_NAME_OR_PR_CHANGE="",IF(TITLE_NAME_OR_PR="","",TITLE_NAME_OR_PR),TITLE_NAME_OR_PR_CHANGE)</f>
        <v/>
      </c>
      <c r="AD27" s="2449"/>
      <c r="AE27" s="2449"/>
      <c r="AF27" s="2449"/>
      <c r="AG27" s="2449"/>
      <c r="AH27" s="2449"/>
      <c r="AI27" s="263"/>
      <c r="AJ27" s="263"/>
      <c r="AK27" s="217"/>
      <c r="AL27" s="304"/>
      <c r="AM27" s="304"/>
      <c r="AN27" s="304"/>
      <c r="AO27" s="304"/>
      <c r="AP27" s="304"/>
      <c r="AQ27" s="354">
        <v>0</v>
      </c>
    </row>
    <row r="28" spans="1:43"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63"/>
      <c r="AC28" s="2448" t="str">
        <f>IF(TITLE_DATE_PR_CHANGE="",IF(TITLE_DATE_PR="","",TITLE_DATE_PR),TITLE_DATE_PR_CHANGE)</f>
        <v/>
      </c>
      <c r="AD28" s="2448"/>
      <c r="AE28" s="2448"/>
      <c r="AF28" s="2448"/>
      <c r="AG28" s="2448"/>
      <c r="AH28" s="2448"/>
      <c r="AI28" s="263"/>
      <c r="AJ28" s="263"/>
      <c r="AK28" s="217"/>
      <c r="AL28" s="304"/>
      <c r="AM28" s="304"/>
      <c r="AN28" s="304"/>
      <c r="AO28" s="304"/>
      <c r="AP28" s="304"/>
      <c r="AQ28" s="354">
        <v>0</v>
      </c>
    </row>
    <row r="29" spans="1:43"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63"/>
      <c r="AC29" s="2449" t="str">
        <f>IF(TITLE_NUMBER_PR_CHANGE="",IF(TITLE_NUMBER_PR="","",TITLE_NUMBER_PR),TITLE_NUMBER_PR_CHANGE)</f>
        <v/>
      </c>
      <c r="AD29" s="2449"/>
      <c r="AE29" s="2449"/>
      <c r="AF29" s="2449"/>
      <c r="AG29" s="2449"/>
      <c r="AH29" s="2449"/>
      <c r="AI29" s="263"/>
      <c r="AJ29" s="263"/>
      <c r="AK29" s="217"/>
      <c r="AL29" s="304"/>
      <c r="AM29" s="304"/>
      <c r="AN29" s="304"/>
      <c r="AO29" s="304"/>
      <c r="AP29" s="304"/>
      <c r="AQ29" s="354">
        <v>0</v>
      </c>
    </row>
    <row r="30" spans="1:43"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63"/>
      <c r="AC30" s="2449" t="str">
        <f>IF(TITLE_IST_PUB_CHANGE="",IF(TITLE_IST_PUB="","",TITLE_IST_PUB),TITLE_IST_PUB_CHANGE)</f>
        <v/>
      </c>
      <c r="AD30" s="2449"/>
      <c r="AE30" s="2449"/>
      <c r="AF30" s="2449"/>
      <c r="AG30" s="2449"/>
      <c r="AH30" s="2449"/>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63"/>
      <c r="AC32" s="2448" t="str">
        <f>IF(TITLE_DATE_PR_CHANGE="",IF(TITLE_DATE_PR="","",TITLE_DATE_PR),TITLE_DATE_PR_CHANGE)</f>
        <v/>
      </c>
      <c r="AD32" s="2448"/>
      <c r="AE32" s="2448"/>
      <c r="AF32" s="2448"/>
      <c r="AG32" s="2448"/>
      <c r="AH32" s="2448"/>
      <c r="AI32" s="263"/>
      <c r="AJ32" s="263"/>
      <c r="AK32" s="217"/>
      <c r="AL32" s="304"/>
      <c r="AM32" s="304"/>
      <c r="AN32" s="304"/>
      <c r="AO32" s="304"/>
      <c r="AP32" s="304"/>
      <c r="AQ32" s="354">
        <v>0</v>
      </c>
    </row>
    <row r="33" spans="1:43"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63"/>
      <c r="AC33" s="2449" t="str">
        <f>IF(TITLE_NUMBER_PR_CHANGE="",IF(TITLE_NUMBER_PR="","",TITLE_NUMBER_PR),TITLE_NUMBER_PR_CHANGE)</f>
        <v/>
      </c>
      <c r="AD33" s="2449"/>
      <c r="AE33" s="2449"/>
      <c r="AF33" s="2449"/>
      <c r="AG33" s="2449"/>
      <c r="AH33" s="2449"/>
      <c r="AI33" s="263"/>
      <c r="AJ33" s="263"/>
      <c r="AK33" s="217"/>
      <c r="AL33" s="304"/>
      <c r="AM33" s="304"/>
      <c r="AN33" s="304"/>
      <c r="AO33" s="304"/>
      <c r="AP33" s="304"/>
      <c r="AQ33" s="354">
        <v>0</v>
      </c>
    </row>
    <row r="34" spans="1:43"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193"/>
      <c r="T35" s="299"/>
      <c r="U35" s="1162"/>
      <c r="V35" s="2468"/>
      <c r="W35" s="2468"/>
      <c r="X35" s="2468"/>
      <c r="Y35" s="2468"/>
      <c r="Z35" s="2468"/>
      <c r="AA35" s="2468"/>
      <c r="AB35" s="2468"/>
      <c r="AC35" s="2468"/>
      <c r="AD35" s="2468"/>
      <c r="AE35" s="2468"/>
      <c r="AF35" s="2468"/>
      <c r="AG35" s="2468"/>
      <c r="AH35" s="2468"/>
      <c r="AI35" s="2468"/>
      <c r="AQ35" s="1073">
        <v>14</v>
      </c>
    </row>
    <row r="36" spans="1:43"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t="s">
        <v>298</v>
      </c>
      <c r="AQ36" s="1073">
        <v>14</v>
      </c>
    </row>
    <row r="37" spans="1:43" ht="14.65" customHeight="1">
      <c r="Q37" s="312"/>
      <c r="R37" s="312"/>
      <c r="S37" s="2469" t="s">
        <v>90</v>
      </c>
      <c r="T37" s="2417" t="s">
        <v>425</v>
      </c>
      <c r="U37" s="238"/>
      <c r="V37" s="2470" t="s">
        <v>426</v>
      </c>
      <c r="W37" s="2471"/>
      <c r="X37" s="2471"/>
      <c r="Y37" s="2471"/>
      <c r="Z37" s="2471"/>
      <c r="AA37" s="2472"/>
      <c r="AB37" s="2473" t="s">
        <v>427</v>
      </c>
      <c r="AC37" s="2470" t="s">
        <v>426</v>
      </c>
      <c r="AD37" s="2471"/>
      <c r="AE37" s="2471"/>
      <c r="AF37" s="2471"/>
      <c r="AG37" s="2471"/>
      <c r="AH37" s="2472"/>
      <c r="AI37" s="2473" t="s">
        <v>428</v>
      </c>
      <c r="AJ37" s="2476" t="s">
        <v>429</v>
      </c>
      <c r="AK37" s="2328"/>
      <c r="AQ37" s="1073">
        <v>14</v>
      </c>
    </row>
    <row r="38" spans="1:43" ht="35.65" customHeight="1">
      <c r="Q38" s="312"/>
      <c r="R38" s="312"/>
      <c r="S38" s="2469"/>
      <c r="T38" s="2417"/>
      <c r="U38" s="954"/>
      <c r="V38" s="1370" t="s">
        <v>486</v>
      </c>
      <c r="W38" s="2310" t="s">
        <v>432</v>
      </c>
      <c r="X38" s="2309"/>
      <c r="Y38" s="2310" t="s">
        <v>433</v>
      </c>
      <c r="Z38" s="2315"/>
      <c r="AA38" s="2309"/>
      <c r="AB38" s="2474"/>
      <c r="AC38" s="1370" t="s">
        <v>486</v>
      </c>
      <c r="AD38" s="2310" t="s">
        <v>432</v>
      </c>
      <c r="AE38" s="2309"/>
      <c r="AF38" s="2310" t="s">
        <v>433</v>
      </c>
      <c r="AG38" s="2315"/>
      <c r="AH38" s="2309"/>
      <c r="AI38" s="2474"/>
      <c r="AJ38" s="2477"/>
      <c r="AK38" s="2328"/>
      <c r="AQ38" s="1073">
        <v>34</v>
      </c>
    </row>
    <row r="39" spans="1:43" ht="35.65" customHeight="1">
      <c r="A39" s="1288"/>
      <c r="B39" s="1288" t="s">
        <v>134</v>
      </c>
      <c r="C39" s="1288" t="s">
        <v>135</v>
      </c>
      <c r="D39" s="1288" t="s">
        <v>136</v>
      </c>
      <c r="E39" s="1282" t="s">
        <v>434</v>
      </c>
      <c r="F39" s="1282" t="s">
        <v>435</v>
      </c>
      <c r="G39" s="1282" t="s">
        <v>436</v>
      </c>
      <c r="H39" s="1282"/>
      <c r="I39" s="1282" t="s">
        <v>487</v>
      </c>
      <c r="J39" s="1282" t="s">
        <v>439</v>
      </c>
      <c r="K39" s="1282" t="s">
        <v>488</v>
      </c>
      <c r="L39" s="1282" t="s">
        <v>415</v>
      </c>
      <c r="Q39" s="312"/>
      <c r="R39" s="312"/>
      <c r="S39" s="2469"/>
      <c r="T39" s="2417"/>
      <c r="U39" s="239"/>
      <c r="V39" s="1370" t="s">
        <v>489</v>
      </c>
      <c r="W39" s="1140" t="s">
        <v>490</v>
      </c>
      <c r="X39" s="1140" t="s">
        <v>491</v>
      </c>
      <c r="Y39" s="1373" t="s">
        <v>443</v>
      </c>
      <c r="Z39" s="2422" t="s">
        <v>444</v>
      </c>
      <c r="AA39" s="2436"/>
      <c r="AB39" s="2475"/>
      <c r="AC39" s="1370" t="s">
        <v>489</v>
      </c>
      <c r="AD39" s="1140" t="s">
        <v>490</v>
      </c>
      <c r="AE39" s="1140" t="s">
        <v>491</v>
      </c>
      <c r="AF39" s="1373" t="s">
        <v>443</v>
      </c>
      <c r="AG39" s="2422" t="s">
        <v>444</v>
      </c>
      <c r="AH39" s="2436"/>
      <c r="AI39" s="2475"/>
      <c r="AJ39" s="2478"/>
      <c r="AK39" s="2328"/>
      <c r="AQ39" s="1073">
        <v>34</v>
      </c>
    </row>
    <row r="40" spans="1:43" s="20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369">
        <f ca="1">OFFSET(V40,0,-1)+1</f>
        <v>3</v>
      </c>
      <c r="W40" s="1369">
        <f ca="1">OFFSET(W40,0,-1)+1</f>
        <v>4</v>
      </c>
      <c r="X40" s="1369">
        <f ca="1">OFFSET(X40,0,-1)+1</f>
        <v>5</v>
      </c>
      <c r="Y40" s="1369">
        <f ca="1">OFFSET(Y40,0,-1)+1</f>
        <v>6</v>
      </c>
      <c r="Z40" s="2467">
        <f ca="1">OFFSET(Z40,0,-1)+1</f>
        <v>7</v>
      </c>
      <c r="AA40" s="2467"/>
      <c r="AB40" s="1369">
        <f ca="1">OFFSET(AB40,0,-2)+1</f>
        <v>8</v>
      </c>
      <c r="AC40" s="1369">
        <f ca="1">OFFSET(AC40,0,-1)+1</f>
        <v>9</v>
      </c>
      <c r="AD40" s="1369">
        <f ca="1">OFFSET(AD40,0,-1)+1</f>
        <v>10</v>
      </c>
      <c r="AE40" s="1369">
        <f ca="1">OFFSET(AE40,0,-1)+1</f>
        <v>11</v>
      </c>
      <c r="AF40" s="1369">
        <f ca="1">OFFSET(AF40,0,-1)+1</f>
        <v>12</v>
      </c>
      <c r="AG40" s="2467">
        <f ca="1">OFFSET(AG40,0,-1)+1</f>
        <v>13</v>
      </c>
      <c r="AH40" s="2467"/>
      <c r="AI40" s="1369">
        <f ca="1">OFFSET(AI40,0,-2)+1</f>
        <v>14</v>
      </c>
      <c r="AJ40" s="1163">
        <f ca="1">OFFSET(AJ40,0,-1)</f>
        <v>14</v>
      </c>
      <c r="AK40" s="1369">
        <f ca="1">OFFSET(AK40,0,-1)+1</f>
        <v>15</v>
      </c>
      <c r="AL40" s="447"/>
      <c r="AM40" s="447"/>
      <c r="AN40" s="447"/>
      <c r="AO40" s="447"/>
      <c r="AP40" s="447"/>
      <c r="AQ40" s="432">
        <v>0</v>
      </c>
    </row>
    <row r="41" spans="1:43" ht="24" customHeight="1">
      <c r="A41" s="1281" t="s">
        <v>228</v>
      </c>
      <c r="B41" s="1281"/>
      <c r="C41" s="1281"/>
      <c r="D41" s="1281"/>
      <c r="E41" s="2456">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122</v>
      </c>
      <c r="U41" s="237"/>
      <c r="V41" s="2450"/>
      <c r="W41" s="2451"/>
      <c r="X41" s="2451"/>
      <c r="Y41" s="2451"/>
      <c r="Z41" s="2451"/>
      <c r="AA41" s="2451"/>
      <c r="AB41" s="2452"/>
      <c r="AC41" s="2450" t="str">
        <f>INDEX(PT_DIFFERENTIATION_NTAR,MATCH(A41,PT_DIFFERENTIATION_NTAR_ID,0))</f>
        <v/>
      </c>
      <c r="AD41" s="2451"/>
      <c r="AE41" s="2451"/>
      <c r="AF41" s="2451"/>
      <c r="AG41" s="2451"/>
      <c r="AH41" s="2451"/>
      <c r="AI41" s="2451"/>
      <c r="AJ41" s="24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228</v>
      </c>
      <c r="B42" s="1281" t="s">
        <v>229</v>
      </c>
      <c r="C42" s="1281"/>
      <c r="D42" s="1281"/>
      <c r="E42" s="2457"/>
      <c r="F42" s="2456">
        <v>1</v>
      </c>
      <c r="G42" s="1281"/>
      <c r="H42" s="1281"/>
      <c r="I42" s="1281"/>
      <c r="J42" s="1281"/>
      <c r="K42" s="1281"/>
      <c r="L42" s="1282"/>
      <c r="M42" s="1283"/>
      <c r="N42" s="1283"/>
      <c r="O42" s="1283"/>
      <c r="P42" s="1371"/>
      <c r="Q42" s="288"/>
      <c r="R42" s="289"/>
      <c r="S42" s="1375" t="str">
        <f>INDEX(PT_DIFFERENTIATION_NUM_TER,MATCH(B42,PT_DIFFERENTIATION_TER_ID,0))</f>
        <v>.</v>
      </c>
      <c r="T42" s="245" t="s">
        <v>394</v>
      </c>
      <c r="U42" s="237"/>
      <c r="V42" s="2450"/>
      <c r="W42" s="2451"/>
      <c r="X42" s="2451"/>
      <c r="Y42" s="2451"/>
      <c r="Z42" s="2451"/>
      <c r="AA42" s="2451"/>
      <c r="AB42" s="2452"/>
      <c r="AC42" s="2450" t="str">
        <f>INDEX(PT_DIFFERENTIATION_TER,MATCH(B42,PT_DIFFERENTIATION_TER_ID,0))</f>
        <v/>
      </c>
      <c r="AD42" s="2451"/>
      <c r="AE42" s="2451"/>
      <c r="AF42" s="2451"/>
      <c r="AG42" s="2451"/>
      <c r="AH42" s="2451"/>
      <c r="AI42" s="2451"/>
      <c r="AJ42" s="2452"/>
      <c r="AK42" s="1176" t="s">
        <v>395</v>
      </c>
      <c r="AM42" s="436"/>
      <c r="AN42" s="436" t="str">
        <f t="shared" si="1"/>
        <v>Территория действия тарифа</v>
      </c>
      <c r="AO42" s="436"/>
      <c r="AP42" s="436"/>
      <c r="AQ42" s="1073">
        <v>23</v>
      </c>
    </row>
    <row r="43" spans="1:43" ht="24" customHeight="1">
      <c r="A43" s="1281" t="s">
        <v>228</v>
      </c>
      <c r="B43" s="1281" t="s">
        <v>229</v>
      </c>
      <c r="C43" s="1281" t="s">
        <v>230</v>
      </c>
      <c r="D43" s="1281"/>
      <c r="E43" s="2457"/>
      <c r="F43" s="2457"/>
      <c r="G43" s="2456">
        <v>1</v>
      </c>
      <c r="H43" s="1281"/>
      <c r="I43" s="1281"/>
      <c r="J43" s="1281"/>
      <c r="K43" s="1281"/>
      <c r="L43" s="1282"/>
      <c r="M43" s="1283"/>
      <c r="N43" s="1283"/>
      <c r="O43" s="1283"/>
      <c r="P43" s="290"/>
      <c r="Q43" s="288"/>
      <c r="R43" s="289"/>
      <c r="S43" s="1375" t="str">
        <f>INDEX(PT_DIFFERENTIATION_NUM_CS,MATCH(C43,PT_DIFFERENTIATION_CS_ID,0))</f>
        <v>..</v>
      </c>
      <c r="T43" s="246" t="s">
        <v>478</v>
      </c>
      <c r="U43" s="237"/>
      <c r="V43" s="2450"/>
      <c r="W43" s="2451"/>
      <c r="X43" s="2451"/>
      <c r="Y43" s="2451"/>
      <c r="Z43" s="2451"/>
      <c r="AA43" s="2451"/>
      <c r="AB43" s="2452"/>
      <c r="AC43" s="2450" t="str">
        <f>INDEX(PT_DIFFERENTIATION_CS,MATCH(C43,PT_DIFFERENTIATION_CS_ID,0))</f>
        <v/>
      </c>
      <c r="AD43" s="2451"/>
      <c r="AE43" s="2451"/>
      <c r="AF43" s="2451"/>
      <c r="AG43" s="2451"/>
      <c r="AH43" s="2451"/>
      <c r="AI43" s="2451"/>
      <c r="AJ43" s="2452"/>
      <c r="AK43" s="1176" t="s">
        <v>479</v>
      </c>
      <c r="AM43" s="436"/>
      <c r="AN43" s="436" t="str">
        <f t="shared" si="1"/>
        <v>Наименование централизованной системы холодного водоснабжения</v>
      </c>
      <c r="AO43" s="436"/>
      <c r="AP43" s="436"/>
      <c r="AQ43" s="1073">
        <v>23</v>
      </c>
    </row>
    <row r="44" spans="1:43" ht="24" customHeight="1">
      <c r="A44" s="1281" t="s">
        <v>228</v>
      </c>
      <c r="B44" s="1281" t="s">
        <v>229</v>
      </c>
      <c r="C44" s="1281" t="s">
        <v>230</v>
      </c>
      <c r="D44" s="1281" t="s">
        <v>493</v>
      </c>
      <c r="E44" s="2457"/>
      <c r="F44" s="2457"/>
      <c r="G44" s="2457"/>
      <c r="H44" s="2457"/>
      <c r="I44" s="2458" t="str">
        <f>S43&amp;".1"</f>
        <v>...1</v>
      </c>
      <c r="J44" s="1281"/>
      <c r="K44" s="1281"/>
      <c r="L44" s="1282"/>
      <c r="P44" s="2460">
        <v>1</v>
      </c>
      <c r="Q44" s="1368"/>
      <c r="R44" s="292"/>
      <c r="S44" s="1375" t="str">
        <f>$I44</f>
        <v>...1</v>
      </c>
      <c r="T44" s="222" t="s">
        <v>480</v>
      </c>
      <c r="U44" s="237"/>
      <c r="V44" s="2524"/>
      <c r="W44" s="2525"/>
      <c r="X44" s="2525"/>
      <c r="Y44" s="2525"/>
      <c r="Z44" s="2525"/>
      <c r="AA44" s="2525"/>
      <c r="AB44" s="2526"/>
      <c r="AC44" s="2527"/>
      <c r="AD44" s="2528"/>
      <c r="AE44" s="2528"/>
      <c r="AF44" s="2528"/>
      <c r="AG44" s="2528"/>
      <c r="AH44" s="2528"/>
      <c r="AI44" s="2528"/>
      <c r="AJ44" s="2529"/>
      <c r="AK44" s="1176" t="s">
        <v>481</v>
      </c>
      <c r="AM44" s="436"/>
      <c r="AN44" s="436" t="str">
        <f t="shared" si="1"/>
        <v>Наименование признака дифференциации</v>
      </c>
      <c r="AO44" s="436"/>
      <c r="AP44" s="436"/>
      <c r="AQ44" s="1073">
        <v>23</v>
      </c>
    </row>
    <row r="45" spans="1:43" ht="24" customHeight="1">
      <c r="A45" s="1281" t="s">
        <v>228</v>
      </c>
      <c r="B45" s="1281" t="s">
        <v>229</v>
      </c>
      <c r="C45" s="1281" t="s">
        <v>230</v>
      </c>
      <c r="D45" s="1281" t="s">
        <v>493</v>
      </c>
      <c r="E45" s="2457"/>
      <c r="F45" s="2457"/>
      <c r="G45" s="2457"/>
      <c r="H45" s="2457"/>
      <c r="I45" s="2459"/>
      <c r="J45" s="2458" t="str">
        <f>I44&amp;".1"</f>
        <v>...1.1</v>
      </c>
      <c r="K45" s="1281"/>
      <c r="L45" s="1282" t="s">
        <v>403</v>
      </c>
      <c r="P45" s="2460"/>
      <c r="Q45" s="2460">
        <v>1</v>
      </c>
      <c r="R45" s="293"/>
      <c r="S45" s="1375" t="str">
        <f>$J45</f>
        <v>...1.1</v>
      </c>
      <c r="T45" s="223" t="s">
        <v>404</v>
      </c>
      <c r="U45" s="237"/>
      <c r="V45" s="2444"/>
      <c r="W45" s="2445"/>
      <c r="X45" s="2445"/>
      <c r="Y45" s="2445"/>
      <c r="Z45" s="2445"/>
      <c r="AA45" s="2445"/>
      <c r="AB45" s="2446"/>
      <c r="AC45" s="2444"/>
      <c r="AD45" s="2445"/>
      <c r="AE45" s="2445"/>
      <c r="AF45" s="2445"/>
      <c r="AG45" s="2445"/>
      <c r="AH45" s="2445"/>
      <c r="AI45" s="2445"/>
      <c r="AJ45" s="2446"/>
      <c r="AK45" s="1225" t="s">
        <v>482</v>
      </c>
      <c r="AM45" s="436"/>
      <c r="AN45" s="436" t="str">
        <f t="shared" si="1"/>
        <v>Группа потребителей</v>
      </c>
      <c r="AO45" s="436"/>
      <c r="AP45" s="436"/>
      <c r="AQ45" s="1073">
        <v>23</v>
      </c>
    </row>
    <row r="46" spans="1:43" ht="24" customHeight="1">
      <c r="A46" s="1281" t="s">
        <v>228</v>
      </c>
      <c r="B46" s="1281" t="s">
        <v>229</v>
      </c>
      <c r="C46" s="1281" t="s">
        <v>230</v>
      </c>
      <c r="D46" s="1281" t="s">
        <v>493</v>
      </c>
      <c r="E46" s="2457"/>
      <c r="F46" s="2457"/>
      <c r="G46" s="2457"/>
      <c r="H46" s="2457"/>
      <c r="I46" s="2459"/>
      <c r="J46" s="2459"/>
      <c r="K46" s="2458" t="str">
        <f>J45&amp;".1"</f>
        <v>...1.1.1</v>
      </c>
      <c r="L46" s="1282"/>
      <c r="P46" s="2460"/>
      <c r="Q46" s="2460"/>
      <c r="R46" s="293">
        <v>1</v>
      </c>
      <c r="S46" s="1375" t="str">
        <f>$K46</f>
        <v>...1.1.1</v>
      </c>
      <c r="T46" s="1355"/>
      <c r="U46" s="237"/>
      <c r="V46" s="687"/>
      <c r="W46" s="687"/>
      <c r="X46" s="1175"/>
      <c r="Y46" s="2461"/>
      <c r="Z46" s="2338" t="s">
        <v>67</v>
      </c>
      <c r="AA46" s="2461"/>
      <c r="AB46" s="2338" t="s">
        <v>67</v>
      </c>
      <c r="AC46" s="687"/>
      <c r="AD46" s="687"/>
      <c r="AE46" s="1175"/>
      <c r="AF46" s="2461"/>
      <c r="AG46" s="2338" t="s">
        <v>67</v>
      </c>
      <c r="AH46" s="2463"/>
      <c r="AI46" s="2338" t="s">
        <v>67</v>
      </c>
      <c r="AJ46" s="1356"/>
      <c r="AK46"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228</v>
      </c>
      <c r="B47" s="1281" t="s">
        <v>229</v>
      </c>
      <c r="C47" s="1281" t="s">
        <v>230</v>
      </c>
      <c r="D47" s="1281" t="s">
        <v>493</v>
      </c>
      <c r="E47" s="2457"/>
      <c r="F47" s="2457"/>
      <c r="G47" s="2457"/>
      <c r="H47" s="2457"/>
      <c r="I47" s="2459"/>
      <c r="J47" s="2459"/>
      <c r="K47" s="2458"/>
      <c r="L47" s="1282"/>
      <c r="P47" s="2460"/>
      <c r="Q47" s="2460"/>
      <c r="R47" s="293"/>
      <c r="S47" s="1374"/>
      <c r="T47" s="237"/>
      <c r="U47" s="237"/>
      <c r="V47" s="262"/>
      <c r="W47" s="262"/>
      <c r="X47" s="265" t="str">
        <f>Y46&amp;"-"&amp;AA46</f>
        <v>-</v>
      </c>
      <c r="Y47" s="2462"/>
      <c r="Z47" s="2338"/>
      <c r="AA47" s="2462"/>
      <c r="AB47" s="2338"/>
      <c r="AC47" s="262"/>
      <c r="AD47" s="262"/>
      <c r="AE47" s="265" t="str">
        <f>AF46&amp;"-"&amp;AH46</f>
        <v>-</v>
      </c>
      <c r="AF47" s="2462"/>
      <c r="AG47" s="2338"/>
      <c r="AH47" s="2464"/>
      <c r="AI47" s="2338"/>
      <c r="AJ47" s="1357"/>
      <c r="AK47" s="2530"/>
      <c r="AM47" s="436"/>
      <c r="AN47" s="436" t="str">
        <f t="shared" si="1"/>
        <v/>
      </c>
      <c r="AO47" s="436"/>
      <c r="AP47" s="436"/>
      <c r="AQ47" s="1073">
        <v>0</v>
      </c>
    </row>
    <row r="48" spans="1:43" ht="21" customHeight="1">
      <c r="A48" s="1281" t="s">
        <v>228</v>
      </c>
      <c r="B48" s="1281" t="s">
        <v>229</v>
      </c>
      <c r="C48" s="1281" t="s">
        <v>230</v>
      </c>
      <c r="D48" s="1281" t="s">
        <v>493</v>
      </c>
      <c r="E48" s="2457"/>
      <c r="F48" s="2457"/>
      <c r="G48" s="2457"/>
      <c r="H48" s="2457"/>
      <c r="I48" s="2459"/>
      <c r="J48" s="2458"/>
      <c r="K48" s="1281"/>
      <c r="L48" s="1282"/>
      <c r="P48" s="2460"/>
      <c r="Q48" s="2460"/>
      <c r="R48" s="292"/>
      <c r="S48" s="1196"/>
      <c r="T48" s="224" t="s">
        <v>483</v>
      </c>
      <c r="U48" s="303"/>
      <c r="V48" s="303"/>
      <c r="W48" s="303"/>
      <c r="X48" s="303"/>
      <c r="Y48" s="303"/>
      <c r="Z48" s="303"/>
      <c r="AA48" s="303"/>
      <c r="AB48" s="303"/>
      <c r="AC48" s="303"/>
      <c r="AD48" s="303"/>
      <c r="AE48" s="303"/>
      <c r="AF48" s="303"/>
      <c r="AG48" s="303"/>
      <c r="AH48" s="303"/>
      <c r="AI48" s="303"/>
      <c r="AJ48" s="303"/>
      <c r="AK48" s="1176" t="s">
        <v>484</v>
      </c>
      <c r="AM48" s="436"/>
      <c r="AN48" s="436" t="str">
        <f t="shared" si="1"/>
        <v>Добавить значение признака дифференциации</v>
      </c>
      <c r="AO48" s="436"/>
      <c r="AP48" s="436"/>
      <c r="AQ48" s="1073">
        <v>20</v>
      </c>
    </row>
    <row r="49" spans="1:43" ht="21.95" customHeight="1">
      <c r="A49" s="1281" t="s">
        <v>228</v>
      </c>
      <c r="B49" s="1281" t="s">
        <v>229</v>
      </c>
      <c r="C49" s="1281" t="s">
        <v>230</v>
      </c>
      <c r="D49" s="1281" t="s">
        <v>493</v>
      </c>
      <c r="E49" s="2457"/>
      <c r="F49" s="2457"/>
      <c r="G49" s="2457"/>
      <c r="H49" s="2457"/>
      <c r="I49" s="2458"/>
      <c r="J49" s="1281"/>
      <c r="K49" s="1281"/>
      <c r="L49" s="1282"/>
      <c r="P49" s="2460"/>
      <c r="Q49" s="1368"/>
      <c r="R49" s="292"/>
      <c r="S49" s="1196"/>
      <c r="T49" s="301" t="s">
        <v>409</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228</v>
      </c>
      <c r="B50" s="1281" t="s">
        <v>229</v>
      </c>
      <c r="C50" s="1281" t="s">
        <v>230</v>
      </c>
      <c r="D50" s="1281" t="s">
        <v>493</v>
      </c>
      <c r="E50" s="2457"/>
      <c r="F50" s="2457"/>
      <c r="G50" s="2457"/>
      <c r="H50" s="2456"/>
      <c r="I50" s="1281"/>
      <c r="J50" s="1281"/>
      <c r="K50" s="1281"/>
      <c r="L50" s="1282"/>
      <c r="M50" s="1283"/>
      <c r="N50" s="1283"/>
      <c r="O50" s="473"/>
      <c r="P50" s="296"/>
      <c r="Q50" s="311"/>
      <c r="R50" s="291"/>
      <c r="S50" s="1196"/>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034" customFormat="1" ht="0" hidden="1" customHeight="1">
      <c r="A51" s="1261" t="s">
        <v>228</v>
      </c>
      <c r="B51" s="1261" t="s">
        <v>229</v>
      </c>
      <c r="C51" s="1232"/>
      <c r="D51" s="1232"/>
      <c r="E51" s="2457"/>
      <c r="F51" s="2456"/>
      <c r="G51" s="1232"/>
      <c r="H51" s="1232"/>
      <c r="I51" s="1232"/>
      <c r="J51" s="1232"/>
      <c r="K51" s="1232"/>
      <c r="L51" s="1376"/>
      <c r="M51" s="1239"/>
      <c r="N51" s="1239"/>
      <c r="P51" s="1234"/>
      <c r="Q51" s="1235"/>
      <c r="R51" s="1234"/>
      <c r="S51" s="1240"/>
      <c r="T51" s="1243" t="s">
        <v>412</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34" customFormat="1" ht="0" hidden="1" customHeight="1">
      <c r="A52" s="1261" t="s">
        <v>228</v>
      </c>
      <c r="B52" s="1261"/>
      <c r="C52" s="1261"/>
      <c r="D52" s="1261"/>
      <c r="E52" s="2456"/>
      <c r="F52" s="1261"/>
      <c r="G52" s="1261"/>
      <c r="H52" s="1261"/>
      <c r="I52" s="1261"/>
      <c r="J52" s="1261"/>
      <c r="K52" s="1261"/>
      <c r="L52" s="1264"/>
      <c r="M52" s="1239"/>
      <c r="N52" s="1239"/>
      <c r="O52" s="454"/>
      <c r="P52" s="316"/>
      <c r="Q52" s="1262"/>
      <c r="R52" s="316"/>
      <c r="S52" s="1240"/>
      <c r="T52" s="1243" t="s">
        <v>413</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3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55"/>
      <c r="U55" s="2455"/>
      <c r="V55" s="2455"/>
      <c r="W55" s="2455"/>
      <c r="X55" s="2455"/>
      <c r="Y55" s="2455"/>
      <c r="Z55" s="2455"/>
      <c r="AA55" s="2455"/>
      <c r="AB55" s="2455"/>
      <c r="AC55" s="2455"/>
      <c r="AD55" s="2455"/>
      <c r="AE55" s="2455"/>
      <c r="AF55" s="2455"/>
      <c r="AG55" s="2455"/>
      <c r="AH55" s="2455"/>
      <c r="AI55" s="2455"/>
      <c r="AJ55" s="2455"/>
      <c r="AK55" s="2455"/>
      <c r="AQ55" s="1073">
        <v>14</v>
      </c>
    </row>
    <row r="56" spans="1:43" ht="14.65" customHeight="1">
      <c r="O56" s="473"/>
      <c r="AQ56" s="1073">
        <v>14</v>
      </c>
    </row>
    <row r="57" spans="1:43" ht="14.65" customHeight="1">
      <c r="O57" s="473"/>
      <c r="S57" s="1171"/>
      <c r="T57" s="2455"/>
      <c r="U57" s="2455"/>
      <c r="V57" s="2455"/>
      <c r="W57" s="2455"/>
      <c r="X57" s="2455"/>
      <c r="Y57" s="2455"/>
      <c r="Z57" s="2455"/>
      <c r="AA57" s="2455"/>
      <c r="AB57" s="2455"/>
      <c r="AC57" s="2455"/>
      <c r="AD57" s="2455"/>
      <c r="AE57" s="2455"/>
      <c r="AF57" s="2455"/>
      <c r="AG57" s="2455"/>
      <c r="AH57" s="2455"/>
      <c r="AI57" s="2455"/>
      <c r="AJ57" s="2455"/>
      <c r="AK57" s="245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4" width="24.7109375" style="2062" hidden="1" customWidth="1"/>
    <col min="25" max="25" width="11.7109375" style="2062" hidden="1" customWidth="1"/>
    <col min="26" max="26" width="3.7109375" style="2062" hidden="1" customWidth="1"/>
    <col min="27" max="27" width="11.7109375" style="2062" hidden="1" customWidth="1"/>
    <col min="28" max="28" width="8.5703125" style="2062" hidden="1" customWidth="1"/>
    <col min="29" max="29" width="24.7109375" style="2062" customWidth="1"/>
    <col min="30" max="31" width="24"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22.5" hidden="1" customHeight="1">
      <c r="X1" s="264"/>
      <c r="Y1" s="264"/>
      <c r="AE1" s="264"/>
      <c r="AF1" s="264"/>
      <c r="AQ1" s="1073" t="s">
        <v>14</v>
      </c>
    </row>
    <row r="2" spans="1:43" ht="23.25" hidden="1" customHeight="1">
      <c r="A2" s="1281"/>
      <c r="B2" s="1281"/>
      <c r="C2" s="1281"/>
      <c r="D2" s="1281"/>
      <c r="E2" s="2456">
        <v>1</v>
      </c>
      <c r="F2" s="1281"/>
      <c r="G2" s="1281"/>
      <c r="H2" s="1281"/>
      <c r="I2" s="1281"/>
      <c r="J2" s="1281"/>
      <c r="K2" s="1281"/>
      <c r="L2" s="1282"/>
      <c r="M2" s="1283"/>
      <c r="N2" s="1283"/>
      <c r="O2" s="1283"/>
      <c r="P2" s="297"/>
      <c r="Q2" s="296"/>
      <c r="R2" s="291"/>
      <c r="S2" s="1375" t="e">
        <f>INDEX(PT_DIFFERENTIATION_NUM_NTAR,MATCH(A2,PT_DIFFERENTIATION_NTAR_ID,0))</f>
        <v>#N/A</v>
      </c>
      <c r="T2" s="235" t="s">
        <v>122</v>
      </c>
      <c r="U2" s="237"/>
      <c r="V2" s="2450"/>
      <c r="W2" s="2451"/>
      <c r="X2" s="2451"/>
      <c r="Y2" s="2451"/>
      <c r="Z2" s="2451"/>
      <c r="AA2" s="2451"/>
      <c r="AB2" s="2452"/>
      <c r="AC2" s="2450" t="e">
        <f>INDEX(PT_DIFFERENTIATION_NTAR,MATCH(A2,PT_DIFFERENTIATION_NTAR_ID,0))</f>
        <v>#N/A</v>
      </c>
      <c r="AD2" s="2451"/>
      <c r="AE2" s="2451"/>
      <c r="AF2" s="2451"/>
      <c r="AG2" s="2451"/>
      <c r="AH2" s="2451"/>
      <c r="AI2" s="2451"/>
      <c r="AJ2" s="24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57"/>
      <c r="F3" s="2456">
        <v>1</v>
      </c>
      <c r="G3" s="1281"/>
      <c r="H3" s="1281"/>
      <c r="I3" s="1281"/>
      <c r="J3" s="1281"/>
      <c r="K3" s="1281"/>
      <c r="L3" s="1282"/>
      <c r="M3" s="1283"/>
      <c r="N3" s="1283"/>
      <c r="O3" s="1283"/>
      <c r="P3" s="1371"/>
      <c r="Q3" s="288"/>
      <c r="R3" s="289"/>
      <c r="S3" s="1375" t="e">
        <f>INDEX(PT_DIFFERENTIATION_NUM_TER,MATCH(B3,PT_DIFFERENTIATION_TER_ID,0))</f>
        <v>#N/A</v>
      </c>
      <c r="T3" s="245" t="s">
        <v>394</v>
      </c>
      <c r="U3" s="237"/>
      <c r="V3" s="2450"/>
      <c r="W3" s="2451"/>
      <c r="X3" s="2451"/>
      <c r="Y3" s="2451"/>
      <c r="Z3" s="2451"/>
      <c r="AA3" s="2451"/>
      <c r="AB3" s="2452"/>
      <c r="AC3" s="2450" t="e">
        <f>INDEX(PT_DIFFERENTIATION_TER,MATCH(B3,PT_DIFFERENTIATION_TER_ID,0))</f>
        <v>#N/A</v>
      </c>
      <c r="AD3" s="2451"/>
      <c r="AE3" s="2451"/>
      <c r="AF3" s="2451"/>
      <c r="AG3" s="2451"/>
      <c r="AH3" s="2451"/>
      <c r="AI3" s="2451"/>
      <c r="AJ3" s="2452"/>
      <c r="AK3" s="1176" t="s">
        <v>395</v>
      </c>
      <c r="AM3" s="436"/>
      <c r="AN3" s="436" t="str">
        <f t="shared" si="0"/>
        <v>Территория действия тарифа</v>
      </c>
      <c r="AO3" s="436"/>
      <c r="AP3" s="436"/>
      <c r="AQ3" s="1073">
        <v>0</v>
      </c>
    </row>
    <row r="4" spans="1:43" ht="23.25" hidden="1" customHeight="1">
      <c r="A4" s="1281"/>
      <c r="B4" s="1281"/>
      <c r="C4" s="1281"/>
      <c r="D4" s="1281"/>
      <c r="E4" s="2457"/>
      <c r="F4" s="2457"/>
      <c r="G4" s="2456">
        <v>1</v>
      </c>
      <c r="H4" s="1281"/>
      <c r="I4" s="1281"/>
      <c r="J4" s="1281"/>
      <c r="K4" s="1281"/>
      <c r="L4" s="1282"/>
      <c r="M4" s="1283"/>
      <c r="N4" s="1283"/>
      <c r="O4" s="1283"/>
      <c r="P4" s="290"/>
      <c r="Q4" s="288"/>
      <c r="R4" s="289"/>
      <c r="S4" s="1375" t="e">
        <f>INDEX(PT_DIFFERENTIATION_NUM_CS,MATCH(C4,PT_DIFFERENTIATION_CS_ID,0))</f>
        <v>#N/A</v>
      </c>
      <c r="T4" s="246" t="s">
        <v>478</v>
      </c>
      <c r="U4" s="237"/>
      <c r="V4" s="2450"/>
      <c r="W4" s="2451"/>
      <c r="X4" s="2451"/>
      <c r="Y4" s="2451"/>
      <c r="Z4" s="2451"/>
      <c r="AA4" s="2451"/>
      <c r="AB4" s="2452"/>
      <c r="AC4" s="2450" t="e">
        <f>INDEX(PT_DIFFERENTIATION_CS,MATCH(C4,PT_DIFFERENTIATION_CS_ID,0))</f>
        <v>#N/A</v>
      </c>
      <c r="AD4" s="2451"/>
      <c r="AE4" s="2451"/>
      <c r="AF4" s="2451"/>
      <c r="AG4" s="2451"/>
      <c r="AH4" s="2451"/>
      <c r="AI4" s="2451"/>
      <c r="AJ4" s="2452"/>
      <c r="AK4" s="1176" t="s">
        <v>479</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57"/>
      <c r="F5" s="2457"/>
      <c r="G5" s="2457"/>
      <c r="H5" s="2457"/>
      <c r="I5" s="2458" t="e">
        <f>S4&amp;".1"</f>
        <v>#N/A</v>
      </c>
      <c r="J5" s="1281"/>
      <c r="K5" s="1281"/>
      <c r="L5" s="1282"/>
      <c r="P5" s="2460">
        <v>1</v>
      </c>
      <c r="Q5" s="1368"/>
      <c r="R5" s="292"/>
      <c r="S5" s="1375" t="e">
        <f>$I5</f>
        <v>#N/A</v>
      </c>
      <c r="T5" s="222" t="s">
        <v>480</v>
      </c>
      <c r="U5" s="237"/>
      <c r="V5" s="2524"/>
      <c r="W5" s="2525"/>
      <c r="X5" s="2525"/>
      <c r="Y5" s="2525"/>
      <c r="Z5" s="2525"/>
      <c r="AA5" s="2525"/>
      <c r="AB5" s="2526"/>
      <c r="AC5" s="2527"/>
      <c r="AD5" s="2528"/>
      <c r="AE5" s="2528"/>
      <c r="AF5" s="2528"/>
      <c r="AG5" s="2528"/>
      <c r="AH5" s="2528"/>
      <c r="AI5" s="2528"/>
      <c r="AJ5" s="2529"/>
      <c r="AK5" s="1176" t="s">
        <v>481</v>
      </c>
      <c r="AM5" s="436"/>
      <c r="AN5" s="436" t="str">
        <f t="shared" si="0"/>
        <v>Наименование признака дифференциации</v>
      </c>
      <c r="AO5" s="436"/>
      <c r="AP5" s="436"/>
      <c r="AQ5" s="1073">
        <v>0</v>
      </c>
    </row>
    <row r="6" spans="1:43" ht="23.25" hidden="1" customHeight="1">
      <c r="A6" s="1281"/>
      <c r="B6" s="1281"/>
      <c r="C6" s="1281"/>
      <c r="D6" s="1281"/>
      <c r="E6" s="2457"/>
      <c r="F6" s="2457"/>
      <c r="G6" s="2457"/>
      <c r="H6" s="2457"/>
      <c r="I6" s="2459"/>
      <c r="J6" s="2458" t="e">
        <f>I5&amp;".1"</f>
        <v>#N/A</v>
      </c>
      <c r="K6" s="1281"/>
      <c r="L6" s="1282" t="s">
        <v>403</v>
      </c>
      <c r="P6" s="2460"/>
      <c r="Q6" s="2460">
        <v>1</v>
      </c>
      <c r="R6" s="293"/>
      <c r="S6" s="1375" t="e">
        <f>$J6</f>
        <v>#N/A</v>
      </c>
      <c r="T6" s="223" t="s">
        <v>404</v>
      </c>
      <c r="U6" s="237"/>
      <c r="V6" s="2444"/>
      <c r="W6" s="2445"/>
      <c r="X6" s="2445"/>
      <c r="Y6" s="2445"/>
      <c r="Z6" s="2445"/>
      <c r="AA6" s="2445"/>
      <c r="AB6" s="2446"/>
      <c r="AC6" s="2444"/>
      <c r="AD6" s="2445"/>
      <c r="AE6" s="2445"/>
      <c r="AF6" s="2445"/>
      <c r="AG6" s="2445"/>
      <c r="AH6" s="2445"/>
      <c r="AI6" s="2445"/>
      <c r="AJ6" s="2446"/>
      <c r="AK6" s="1225" t="s">
        <v>482</v>
      </c>
      <c r="AM6" s="436"/>
      <c r="AN6" s="436" t="str">
        <f t="shared" si="0"/>
        <v>Группа потребителей</v>
      </c>
      <c r="AO6" s="436"/>
      <c r="AP6" s="436"/>
      <c r="AQ6" s="1073">
        <v>0</v>
      </c>
    </row>
    <row r="7" spans="1:43" ht="23.25" hidden="1" customHeight="1">
      <c r="A7" s="1281"/>
      <c r="B7" s="1281"/>
      <c r="C7" s="1281"/>
      <c r="D7" s="1281"/>
      <c r="E7" s="2457"/>
      <c r="F7" s="2457"/>
      <c r="G7" s="2457"/>
      <c r="H7" s="2457"/>
      <c r="I7" s="2459"/>
      <c r="J7" s="2459"/>
      <c r="K7" s="2458" t="e">
        <f>J6&amp;".1"</f>
        <v>#N/A</v>
      </c>
      <c r="L7" s="1282"/>
      <c r="P7" s="2460"/>
      <c r="Q7" s="2460"/>
      <c r="R7" s="293">
        <v>1</v>
      </c>
      <c r="S7" s="1375" t="e">
        <f>$K7</f>
        <v>#N/A</v>
      </c>
      <c r="T7" s="1355"/>
      <c r="U7" s="237"/>
      <c r="V7" s="687"/>
      <c r="W7" s="687"/>
      <c r="X7" s="1175"/>
      <c r="Y7" s="2461"/>
      <c r="Z7" s="2338" t="s">
        <v>67</v>
      </c>
      <c r="AA7" s="2461"/>
      <c r="AB7" s="2338" t="s">
        <v>67</v>
      </c>
      <c r="AC7" s="687"/>
      <c r="AD7" s="687"/>
      <c r="AE7" s="1175"/>
      <c r="AF7" s="2461"/>
      <c r="AG7" s="2338" t="s">
        <v>67</v>
      </c>
      <c r="AH7" s="2463"/>
      <c r="AI7" s="2338" t="s">
        <v>67</v>
      </c>
      <c r="AJ7" s="1356"/>
      <c r="AK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57"/>
      <c r="F8" s="2457"/>
      <c r="G8" s="2457"/>
      <c r="H8" s="2457"/>
      <c r="I8" s="2459"/>
      <c r="J8" s="2459"/>
      <c r="K8" s="2458"/>
      <c r="L8" s="1282"/>
      <c r="P8" s="2460"/>
      <c r="Q8" s="2460"/>
      <c r="R8" s="293"/>
      <c r="S8" s="1374"/>
      <c r="T8" s="237"/>
      <c r="U8" s="237"/>
      <c r="V8" s="262"/>
      <c r="W8" s="262"/>
      <c r="X8" s="265" t="str">
        <f>Y7&amp;"-"&amp;AA7</f>
        <v>-</v>
      </c>
      <c r="Y8" s="2462"/>
      <c r="Z8" s="2338"/>
      <c r="AA8" s="2462"/>
      <c r="AB8" s="2338"/>
      <c r="AC8" s="262"/>
      <c r="AD8" s="262"/>
      <c r="AE8" s="265" t="str">
        <f>AF7&amp;"-"&amp;AH7</f>
        <v>-</v>
      </c>
      <c r="AF8" s="2462"/>
      <c r="AG8" s="2338"/>
      <c r="AH8" s="2464"/>
      <c r="AI8" s="2338"/>
      <c r="AJ8" s="1357"/>
      <c r="AK8" s="2530"/>
      <c r="AM8" s="436"/>
      <c r="AN8" s="436" t="str">
        <f t="shared" si="0"/>
        <v/>
      </c>
      <c r="AO8" s="436"/>
      <c r="AP8" s="436"/>
      <c r="AQ8" s="1073">
        <v>0</v>
      </c>
    </row>
    <row r="9" spans="1:43" ht="21" hidden="1" customHeight="1">
      <c r="A9" s="1281"/>
      <c r="B9" s="1281"/>
      <c r="C9" s="1281"/>
      <c r="D9" s="1281"/>
      <c r="E9" s="2457"/>
      <c r="F9" s="2457"/>
      <c r="G9" s="2457"/>
      <c r="H9" s="2457"/>
      <c r="I9" s="2459"/>
      <c r="J9" s="2458"/>
      <c r="K9" s="1281"/>
      <c r="L9" s="1282"/>
      <c r="P9" s="2460"/>
      <c r="Q9" s="2460"/>
      <c r="R9" s="292"/>
      <c r="S9" s="1196"/>
      <c r="T9" s="224" t="s">
        <v>483</v>
      </c>
      <c r="U9" s="303"/>
      <c r="V9" s="303"/>
      <c r="W9" s="303"/>
      <c r="X9" s="303"/>
      <c r="Y9" s="303"/>
      <c r="Z9" s="303"/>
      <c r="AA9" s="303"/>
      <c r="AB9" s="303"/>
      <c r="AC9" s="303"/>
      <c r="AD9" s="303"/>
      <c r="AE9" s="303"/>
      <c r="AF9" s="303"/>
      <c r="AG9" s="303"/>
      <c r="AH9" s="303"/>
      <c r="AI9" s="303"/>
      <c r="AJ9" s="303"/>
      <c r="AK9" s="1176" t="s">
        <v>484</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57"/>
      <c r="F10" s="2457"/>
      <c r="G10" s="2457"/>
      <c r="H10" s="2457"/>
      <c r="I10" s="2458"/>
      <c r="J10" s="1281"/>
      <c r="K10" s="1281"/>
      <c r="L10" s="1282"/>
      <c r="P10" s="2460"/>
      <c r="Q10" s="1368"/>
      <c r="R10" s="292"/>
      <c r="S10" s="1196"/>
      <c r="T10" s="301" t="s">
        <v>409</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034" customFormat="1" ht="14.25" hidden="1" customHeight="1">
      <c r="A12" s="1261"/>
      <c r="B12" s="1261"/>
      <c r="C12" s="1232"/>
      <c r="D12" s="1232"/>
      <c r="E12" s="2457"/>
      <c r="F12" s="2456"/>
      <c r="G12" s="1232"/>
      <c r="H12" s="1232"/>
      <c r="I12" s="1232"/>
      <c r="J12" s="1232"/>
      <c r="K12" s="1232"/>
      <c r="L12" s="1376"/>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54"/>
      <c r="AG15" s="2453" t="s">
        <v>67</v>
      </c>
      <c r="AH15" s="2454"/>
      <c r="AI15" s="2453" t="s">
        <v>67</v>
      </c>
      <c r="AQ15" s="1073">
        <v>0</v>
      </c>
    </row>
    <row r="16" spans="1:43" ht="14.25" hidden="1" customHeight="1">
      <c r="AC16" s="1278"/>
      <c r="AD16" s="1278"/>
      <c r="AE16" s="265" t="str">
        <f>AF15&amp;"-"&amp;AH15</f>
        <v>-</v>
      </c>
      <c r="AF16" s="2453"/>
      <c r="AG16" s="2453"/>
      <c r="AH16" s="2453"/>
      <c r="AI16" s="2453"/>
      <c r="AQ16" s="1073">
        <v>0</v>
      </c>
    </row>
    <row r="17" spans="1:43" ht="14.25" hidden="1" customHeight="1">
      <c r="AI17" s="264"/>
      <c r="AQ17" s="1073">
        <v>0</v>
      </c>
    </row>
    <row r="18" spans="1:43" s="2056" customFormat="1" ht="22.5" hidden="1" customHeight="1">
      <c r="L18" s="1365"/>
      <c r="M18" s="1280"/>
      <c r="N18" s="1280"/>
      <c r="O18" s="1285" t="s">
        <v>414</v>
      </c>
      <c r="P18" s="1280"/>
      <c r="Q18" s="1289"/>
      <c r="R18" s="1289"/>
      <c r="S18" s="665"/>
      <c r="Y18" s="1285"/>
      <c r="AA18" s="1285"/>
      <c r="AB18" s="1284"/>
      <c r="AF18" s="1285"/>
      <c r="AH18" s="1285"/>
      <c r="AI18" s="1284"/>
      <c r="AL18" s="447"/>
      <c r="AM18" s="447"/>
      <c r="AN18" s="447"/>
      <c r="AO18" s="447"/>
      <c r="AP18" s="447"/>
      <c r="AQ18" s="1078">
        <v>0</v>
      </c>
    </row>
    <row r="19" spans="1:43" s="2056"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056" customFormat="1" ht="12" hidden="1" customHeight="1">
      <c r="L20" s="1365"/>
      <c r="M20" s="1280"/>
      <c r="N20" s="1280"/>
      <c r="O20" s="1282" t="s">
        <v>415</v>
      </c>
      <c r="P20" s="1280"/>
      <c r="Q20" s="1360"/>
      <c r="R20" s="1360"/>
      <c r="S20" s="665"/>
      <c r="T20" s="1078" t="s">
        <v>416</v>
      </c>
      <c r="Z20" s="123" t="s">
        <v>417</v>
      </c>
      <c r="AB20" s="123" t="s">
        <v>418</v>
      </c>
      <c r="AC20" s="1078" t="s">
        <v>416</v>
      </c>
      <c r="AG20" s="123" t="s">
        <v>419</v>
      </c>
      <c r="AI20" s="123" t="s">
        <v>418</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7"/>
      <c r="U24" s="2437"/>
      <c r="V24" s="2437"/>
      <c r="W24" s="2437"/>
      <c r="X24" s="2437"/>
      <c r="Y24" s="2437"/>
      <c r="Z24" s="2437"/>
      <c r="AA24" s="2437"/>
      <c r="AB24" s="2437"/>
      <c r="AC24" s="2437"/>
      <c r="AD24" s="2437"/>
      <c r="AE24" s="2437"/>
      <c r="AF24" s="2437"/>
      <c r="AG24" s="2437"/>
      <c r="AH24" s="2437"/>
      <c r="AI24" s="1161"/>
      <c r="AQ24" s="1073">
        <v>14</v>
      </c>
    </row>
    <row r="25" spans="1:43"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63"/>
      <c r="AC27" s="2449" t="str">
        <f>IF(TITLE_NAME_OR_PR_CHANGE="",IF(TITLE_NAME_OR_PR="","",TITLE_NAME_OR_PR),TITLE_NAME_OR_PR_CHANGE)</f>
        <v/>
      </c>
      <c r="AD27" s="2449"/>
      <c r="AE27" s="2449"/>
      <c r="AF27" s="2449"/>
      <c r="AG27" s="2449"/>
      <c r="AH27" s="2449"/>
      <c r="AI27" s="263"/>
      <c r="AJ27" s="263"/>
      <c r="AK27" s="217"/>
      <c r="AL27" s="304"/>
      <c r="AM27" s="304"/>
      <c r="AN27" s="304"/>
      <c r="AO27" s="304"/>
      <c r="AP27" s="304"/>
      <c r="AQ27" s="354">
        <v>0</v>
      </c>
    </row>
    <row r="28" spans="1:43"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63"/>
      <c r="AC28" s="2448" t="str">
        <f>IF(TITLE_DATE_PR_CHANGE="",IF(TITLE_DATE_PR="","",TITLE_DATE_PR),TITLE_DATE_PR_CHANGE)</f>
        <v/>
      </c>
      <c r="AD28" s="2448"/>
      <c r="AE28" s="2448"/>
      <c r="AF28" s="2448"/>
      <c r="AG28" s="2448"/>
      <c r="AH28" s="2448"/>
      <c r="AI28" s="263"/>
      <c r="AJ28" s="263"/>
      <c r="AK28" s="217"/>
      <c r="AL28" s="304"/>
      <c r="AM28" s="304"/>
      <c r="AN28" s="304"/>
      <c r="AO28" s="304"/>
      <c r="AP28" s="304"/>
      <c r="AQ28" s="354">
        <v>0</v>
      </c>
    </row>
    <row r="29" spans="1:43"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63"/>
      <c r="AC29" s="2449" t="str">
        <f>IF(TITLE_NUMBER_PR_CHANGE="",IF(TITLE_NUMBER_PR="","",TITLE_NUMBER_PR),TITLE_NUMBER_PR_CHANGE)</f>
        <v/>
      </c>
      <c r="AD29" s="2449"/>
      <c r="AE29" s="2449"/>
      <c r="AF29" s="2449"/>
      <c r="AG29" s="2449"/>
      <c r="AH29" s="2449"/>
      <c r="AI29" s="263"/>
      <c r="AJ29" s="263"/>
      <c r="AK29" s="217"/>
      <c r="AL29" s="304"/>
      <c r="AM29" s="304"/>
      <c r="AN29" s="304"/>
      <c r="AO29" s="304"/>
      <c r="AP29" s="304"/>
      <c r="AQ29" s="354">
        <v>0</v>
      </c>
    </row>
    <row r="30" spans="1:43"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63"/>
      <c r="AC30" s="2449" t="str">
        <f>IF(TITLE_IST_PUB_CHANGE="",IF(TITLE_IST_PUB="","",TITLE_IST_PUB),TITLE_IST_PUB_CHANGE)</f>
        <v/>
      </c>
      <c r="AD30" s="2449"/>
      <c r="AE30" s="2449"/>
      <c r="AF30" s="2449"/>
      <c r="AG30" s="2449"/>
      <c r="AH30" s="2449"/>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63"/>
      <c r="AC32" s="2448" t="str">
        <f>IF(TITLE_DATE_PR_CHANGE="",IF(TITLE_DATE_PR="","",TITLE_DATE_PR),TITLE_DATE_PR_CHANGE)</f>
        <v/>
      </c>
      <c r="AD32" s="2448"/>
      <c r="AE32" s="2448"/>
      <c r="AF32" s="2448"/>
      <c r="AG32" s="2448"/>
      <c r="AH32" s="2448"/>
      <c r="AI32" s="263"/>
      <c r="AJ32" s="263"/>
      <c r="AK32" s="217"/>
      <c r="AL32" s="304"/>
      <c r="AM32" s="304"/>
      <c r="AN32" s="304"/>
      <c r="AO32" s="304"/>
      <c r="AP32" s="304"/>
      <c r="AQ32" s="354">
        <v>0</v>
      </c>
    </row>
    <row r="33" spans="1:43"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63"/>
      <c r="AC33" s="2449" t="str">
        <f>IF(TITLE_NUMBER_PR_CHANGE="",IF(TITLE_NUMBER_PR="","",TITLE_NUMBER_PR),TITLE_NUMBER_PR_CHANGE)</f>
        <v/>
      </c>
      <c r="AD33" s="2449"/>
      <c r="AE33" s="2449"/>
      <c r="AF33" s="2449"/>
      <c r="AG33" s="2449"/>
      <c r="AH33" s="2449"/>
      <c r="AI33" s="263"/>
      <c r="AJ33" s="263"/>
      <c r="AK33" s="217"/>
      <c r="AL33" s="304"/>
      <c r="AM33" s="304"/>
      <c r="AN33" s="304"/>
      <c r="AO33" s="304"/>
      <c r="AP33" s="304"/>
      <c r="AQ33" s="354">
        <v>0</v>
      </c>
    </row>
    <row r="34" spans="1:43"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193"/>
      <c r="T35" s="299"/>
      <c r="U35" s="1162"/>
      <c r="V35" s="2468"/>
      <c r="W35" s="2468"/>
      <c r="X35" s="2468"/>
      <c r="Y35" s="2468"/>
      <c r="Z35" s="2468"/>
      <c r="AA35" s="2468"/>
      <c r="AB35" s="2468"/>
      <c r="AC35" s="2468"/>
      <c r="AD35" s="2468"/>
      <c r="AE35" s="2468"/>
      <c r="AF35" s="2468"/>
      <c r="AG35" s="2468"/>
      <c r="AH35" s="2468"/>
      <c r="AI35" s="2468"/>
      <c r="AQ35" s="1073">
        <v>14</v>
      </c>
    </row>
    <row r="36" spans="1:43"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t="s">
        <v>298</v>
      </c>
      <c r="AQ36" s="1073">
        <v>14</v>
      </c>
    </row>
    <row r="37" spans="1:43" ht="14.65" customHeight="1">
      <c r="Q37" s="312"/>
      <c r="R37" s="312"/>
      <c r="S37" s="2469" t="s">
        <v>90</v>
      </c>
      <c r="T37" s="2417" t="s">
        <v>425</v>
      </c>
      <c r="U37" s="238"/>
      <c r="V37" s="2470" t="s">
        <v>426</v>
      </c>
      <c r="W37" s="2471"/>
      <c r="X37" s="2471"/>
      <c r="Y37" s="2471"/>
      <c r="Z37" s="2471"/>
      <c r="AA37" s="2472"/>
      <c r="AB37" s="2473" t="s">
        <v>427</v>
      </c>
      <c r="AC37" s="2470" t="s">
        <v>426</v>
      </c>
      <c r="AD37" s="2471"/>
      <c r="AE37" s="2471"/>
      <c r="AF37" s="2471"/>
      <c r="AG37" s="2471"/>
      <c r="AH37" s="2472"/>
      <c r="AI37" s="2473" t="s">
        <v>428</v>
      </c>
      <c r="AJ37" s="2476" t="s">
        <v>429</v>
      </c>
      <c r="AK37" s="2328"/>
      <c r="AQ37" s="1073">
        <v>14</v>
      </c>
    </row>
    <row r="38" spans="1:43" ht="35.65" customHeight="1">
      <c r="Q38" s="312"/>
      <c r="R38" s="312"/>
      <c r="S38" s="2469"/>
      <c r="T38" s="2417"/>
      <c r="U38" s="954"/>
      <c r="V38" s="1370" t="s">
        <v>486</v>
      </c>
      <c r="W38" s="2310" t="s">
        <v>432</v>
      </c>
      <c r="X38" s="2309"/>
      <c r="Y38" s="2310" t="s">
        <v>433</v>
      </c>
      <c r="Z38" s="2315"/>
      <c r="AA38" s="2309"/>
      <c r="AB38" s="2474"/>
      <c r="AC38" s="1370" t="s">
        <v>486</v>
      </c>
      <c r="AD38" s="2310" t="s">
        <v>432</v>
      </c>
      <c r="AE38" s="2309"/>
      <c r="AF38" s="2310" t="s">
        <v>433</v>
      </c>
      <c r="AG38" s="2315"/>
      <c r="AH38" s="2309"/>
      <c r="AI38" s="2474"/>
      <c r="AJ38" s="2477"/>
      <c r="AK38" s="2328"/>
      <c r="AQ38" s="1073">
        <v>34</v>
      </c>
    </row>
    <row r="39" spans="1:43" ht="35.65" customHeight="1">
      <c r="A39" s="1288"/>
      <c r="B39" s="1288" t="s">
        <v>134</v>
      </c>
      <c r="C39" s="1288" t="s">
        <v>135</v>
      </c>
      <c r="D39" s="1288" t="s">
        <v>136</v>
      </c>
      <c r="E39" s="1282" t="s">
        <v>434</v>
      </c>
      <c r="F39" s="1282" t="s">
        <v>435</v>
      </c>
      <c r="G39" s="1282" t="s">
        <v>436</v>
      </c>
      <c r="H39" s="1282"/>
      <c r="I39" s="1282" t="s">
        <v>487</v>
      </c>
      <c r="J39" s="1282" t="s">
        <v>439</v>
      </c>
      <c r="K39" s="1282" t="s">
        <v>488</v>
      </c>
      <c r="L39" s="1282" t="s">
        <v>415</v>
      </c>
      <c r="Q39" s="312"/>
      <c r="R39" s="312"/>
      <c r="S39" s="2469"/>
      <c r="T39" s="2417"/>
      <c r="U39" s="239"/>
      <c r="V39" s="1370" t="s">
        <v>489</v>
      </c>
      <c r="W39" s="1140" t="s">
        <v>490</v>
      </c>
      <c r="X39" s="1140" t="s">
        <v>491</v>
      </c>
      <c r="Y39" s="1373" t="s">
        <v>443</v>
      </c>
      <c r="Z39" s="2422" t="s">
        <v>444</v>
      </c>
      <c r="AA39" s="2436"/>
      <c r="AB39" s="2475"/>
      <c r="AC39" s="1370" t="s">
        <v>489</v>
      </c>
      <c r="AD39" s="1140" t="s">
        <v>490</v>
      </c>
      <c r="AE39" s="1140" t="s">
        <v>491</v>
      </c>
      <c r="AF39" s="1373" t="s">
        <v>443</v>
      </c>
      <c r="AG39" s="2422" t="s">
        <v>444</v>
      </c>
      <c r="AH39" s="2436"/>
      <c r="AI39" s="2475"/>
      <c r="AJ39" s="2478"/>
      <c r="AK39" s="2328"/>
      <c r="AQ39" s="1073">
        <v>34</v>
      </c>
    </row>
    <row r="40" spans="1:43" s="20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369">
        <f ca="1">OFFSET(V40,0,-1)+1</f>
        <v>3</v>
      </c>
      <c r="W40" s="1369">
        <f ca="1">OFFSET(W40,0,-1)+1</f>
        <v>4</v>
      </c>
      <c r="X40" s="1369">
        <f ca="1">OFFSET(X40,0,-1)+1</f>
        <v>5</v>
      </c>
      <c r="Y40" s="1369">
        <f ca="1">OFFSET(Y40,0,-1)+1</f>
        <v>6</v>
      </c>
      <c r="Z40" s="2467">
        <f ca="1">OFFSET(Z40,0,-1)+1</f>
        <v>7</v>
      </c>
      <c r="AA40" s="2467"/>
      <c r="AB40" s="1369">
        <f ca="1">OFFSET(AB40,0,-2)+1</f>
        <v>8</v>
      </c>
      <c r="AC40" s="1369">
        <f ca="1">OFFSET(AC40,0,-1)+1</f>
        <v>9</v>
      </c>
      <c r="AD40" s="1369">
        <f ca="1">OFFSET(AD40,0,-1)+1</f>
        <v>10</v>
      </c>
      <c r="AE40" s="1369">
        <f ca="1">OFFSET(AE40,0,-1)+1</f>
        <v>11</v>
      </c>
      <c r="AF40" s="1369">
        <f ca="1">OFFSET(AF40,0,-1)+1</f>
        <v>12</v>
      </c>
      <c r="AG40" s="2467">
        <f ca="1">OFFSET(AG40,0,-1)+1</f>
        <v>13</v>
      </c>
      <c r="AH40" s="2467"/>
      <c r="AI40" s="1369">
        <f ca="1">OFFSET(AI40,0,-2)+1</f>
        <v>14</v>
      </c>
      <c r="AJ40" s="1163">
        <f ca="1">OFFSET(AJ40,0,-1)</f>
        <v>14</v>
      </c>
      <c r="AK40" s="1369">
        <f ca="1">OFFSET(AK40,0,-1)+1</f>
        <v>15</v>
      </c>
      <c r="AL40" s="447"/>
      <c r="AM40" s="447"/>
      <c r="AN40" s="447"/>
      <c r="AO40" s="447"/>
      <c r="AP40" s="447"/>
      <c r="AQ40" s="432">
        <v>0</v>
      </c>
    </row>
    <row r="41" spans="1:43" ht="24" customHeight="1">
      <c r="A41" s="1281" t="s">
        <v>233</v>
      </c>
      <c r="B41" s="1281"/>
      <c r="C41" s="1281"/>
      <c r="D41" s="1281"/>
      <c r="E41" s="2456">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122</v>
      </c>
      <c r="U41" s="237"/>
      <c r="V41" s="2450"/>
      <c r="W41" s="2451"/>
      <c r="X41" s="2451"/>
      <c r="Y41" s="2451"/>
      <c r="Z41" s="2451"/>
      <c r="AA41" s="2451"/>
      <c r="AB41" s="2452"/>
      <c r="AC41" s="2450" t="str">
        <f>INDEX(PT_DIFFERENTIATION_NTAR,MATCH(A41,PT_DIFFERENTIATION_NTAR_ID,0))</f>
        <v/>
      </c>
      <c r="AD41" s="2451"/>
      <c r="AE41" s="2451"/>
      <c r="AF41" s="2451"/>
      <c r="AG41" s="2451"/>
      <c r="AH41" s="2451"/>
      <c r="AI41" s="2451"/>
      <c r="AJ41" s="24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233</v>
      </c>
      <c r="B42" s="1281" t="s">
        <v>234</v>
      </c>
      <c r="C42" s="1281"/>
      <c r="D42" s="1281"/>
      <c r="E42" s="2457"/>
      <c r="F42" s="2456">
        <v>1</v>
      </c>
      <c r="G42" s="1281"/>
      <c r="H42" s="1281"/>
      <c r="I42" s="1281"/>
      <c r="J42" s="1281"/>
      <c r="K42" s="1281"/>
      <c r="L42" s="1282"/>
      <c r="M42" s="1283"/>
      <c r="N42" s="1283"/>
      <c r="O42" s="1283"/>
      <c r="P42" s="1371"/>
      <c r="Q42" s="288"/>
      <c r="R42" s="289"/>
      <c r="S42" s="1375" t="str">
        <f>INDEX(PT_DIFFERENTIATION_NUM_TER,MATCH(B42,PT_DIFFERENTIATION_TER_ID,0))</f>
        <v>.</v>
      </c>
      <c r="T42" s="245" t="s">
        <v>394</v>
      </c>
      <c r="U42" s="237"/>
      <c r="V42" s="2450"/>
      <c r="W42" s="2451"/>
      <c r="X42" s="2451"/>
      <c r="Y42" s="2451"/>
      <c r="Z42" s="2451"/>
      <c r="AA42" s="2451"/>
      <c r="AB42" s="2452"/>
      <c r="AC42" s="2450" t="str">
        <f>INDEX(PT_DIFFERENTIATION_TER,MATCH(B42,PT_DIFFERENTIATION_TER_ID,0))</f>
        <v/>
      </c>
      <c r="AD42" s="2451"/>
      <c r="AE42" s="2451"/>
      <c r="AF42" s="2451"/>
      <c r="AG42" s="2451"/>
      <c r="AH42" s="2451"/>
      <c r="AI42" s="2451"/>
      <c r="AJ42" s="2452"/>
      <c r="AK42" s="1176" t="s">
        <v>395</v>
      </c>
      <c r="AM42" s="436"/>
      <c r="AN42" s="436" t="str">
        <f t="shared" si="1"/>
        <v>Территория действия тарифа</v>
      </c>
      <c r="AO42" s="436"/>
      <c r="AP42" s="436"/>
      <c r="AQ42" s="1073">
        <v>23</v>
      </c>
    </row>
    <row r="43" spans="1:43" ht="24" customHeight="1">
      <c r="A43" s="1281" t="s">
        <v>233</v>
      </c>
      <c r="B43" s="1281" t="s">
        <v>234</v>
      </c>
      <c r="C43" s="1281" t="s">
        <v>235</v>
      </c>
      <c r="D43" s="1281"/>
      <c r="E43" s="2457"/>
      <c r="F43" s="2457"/>
      <c r="G43" s="2456">
        <v>1</v>
      </c>
      <c r="H43" s="1281"/>
      <c r="I43" s="1281"/>
      <c r="J43" s="1281"/>
      <c r="K43" s="1281"/>
      <c r="L43" s="1282"/>
      <c r="M43" s="1283"/>
      <c r="N43" s="1283"/>
      <c r="O43" s="1283"/>
      <c r="P43" s="290"/>
      <c r="Q43" s="288"/>
      <c r="R43" s="289"/>
      <c r="S43" s="1375" t="str">
        <f>INDEX(PT_DIFFERENTIATION_NUM_CS,MATCH(C43,PT_DIFFERENTIATION_CS_ID,0))</f>
        <v>..</v>
      </c>
      <c r="T43" s="246" t="s">
        <v>478</v>
      </c>
      <c r="U43" s="237"/>
      <c r="V43" s="2450"/>
      <c r="W43" s="2451"/>
      <c r="X43" s="2451"/>
      <c r="Y43" s="2451"/>
      <c r="Z43" s="2451"/>
      <c r="AA43" s="2451"/>
      <c r="AB43" s="2452"/>
      <c r="AC43" s="2450" t="str">
        <f>INDEX(PT_DIFFERENTIATION_CS,MATCH(C43,PT_DIFFERENTIATION_CS_ID,0))</f>
        <v/>
      </c>
      <c r="AD43" s="2451"/>
      <c r="AE43" s="2451"/>
      <c r="AF43" s="2451"/>
      <c r="AG43" s="2451"/>
      <c r="AH43" s="2451"/>
      <c r="AI43" s="2451"/>
      <c r="AJ43" s="2452"/>
      <c r="AK43" s="1176" t="s">
        <v>479</v>
      </c>
      <c r="AM43" s="436"/>
      <c r="AN43" s="436" t="str">
        <f t="shared" si="1"/>
        <v>Наименование централизованной системы холодного водоснабжения</v>
      </c>
      <c r="AO43" s="436"/>
      <c r="AP43" s="436"/>
      <c r="AQ43" s="1073">
        <v>23</v>
      </c>
    </row>
    <row r="44" spans="1:43" ht="24" customHeight="1">
      <c r="A44" s="1281" t="s">
        <v>233</v>
      </c>
      <c r="B44" s="1281" t="s">
        <v>234</v>
      </c>
      <c r="C44" s="1281" t="s">
        <v>235</v>
      </c>
      <c r="D44" s="1281" t="s">
        <v>494</v>
      </c>
      <c r="E44" s="2457"/>
      <c r="F44" s="2457"/>
      <c r="G44" s="2457"/>
      <c r="H44" s="2457"/>
      <c r="I44" s="2458" t="str">
        <f>S43&amp;".1"</f>
        <v>...1</v>
      </c>
      <c r="J44" s="1281"/>
      <c r="K44" s="1281"/>
      <c r="L44" s="1282"/>
      <c r="P44" s="2460">
        <v>1</v>
      </c>
      <c r="Q44" s="1368"/>
      <c r="R44" s="292"/>
      <c r="S44" s="1375" t="str">
        <f>$I44</f>
        <v>...1</v>
      </c>
      <c r="T44" s="222" t="s">
        <v>480</v>
      </c>
      <c r="U44" s="237"/>
      <c r="V44" s="2524"/>
      <c r="W44" s="2525"/>
      <c r="X44" s="2525"/>
      <c r="Y44" s="2525"/>
      <c r="Z44" s="2525"/>
      <c r="AA44" s="2525"/>
      <c r="AB44" s="2526"/>
      <c r="AC44" s="2527"/>
      <c r="AD44" s="2528"/>
      <c r="AE44" s="2528"/>
      <c r="AF44" s="2528"/>
      <c r="AG44" s="2528"/>
      <c r="AH44" s="2528"/>
      <c r="AI44" s="2528"/>
      <c r="AJ44" s="2529"/>
      <c r="AK44" s="1176" t="s">
        <v>481</v>
      </c>
      <c r="AM44" s="436"/>
      <c r="AN44" s="436" t="str">
        <f t="shared" si="1"/>
        <v>Наименование признака дифференциации</v>
      </c>
      <c r="AO44" s="436"/>
      <c r="AP44" s="436"/>
      <c r="AQ44" s="1073">
        <v>23</v>
      </c>
    </row>
    <row r="45" spans="1:43" ht="24" customHeight="1">
      <c r="A45" s="1281" t="s">
        <v>233</v>
      </c>
      <c r="B45" s="1281" t="s">
        <v>234</v>
      </c>
      <c r="C45" s="1281" t="s">
        <v>235</v>
      </c>
      <c r="D45" s="1281" t="s">
        <v>494</v>
      </c>
      <c r="E45" s="2457"/>
      <c r="F45" s="2457"/>
      <c r="G45" s="2457"/>
      <c r="H45" s="2457"/>
      <c r="I45" s="2459"/>
      <c r="J45" s="2458" t="str">
        <f>I44&amp;".1"</f>
        <v>...1.1</v>
      </c>
      <c r="K45" s="1281"/>
      <c r="L45" s="1282" t="s">
        <v>403</v>
      </c>
      <c r="P45" s="2460"/>
      <c r="Q45" s="2460">
        <v>1</v>
      </c>
      <c r="R45" s="293"/>
      <c r="S45" s="1375" t="str">
        <f>$J45</f>
        <v>...1.1</v>
      </c>
      <c r="T45" s="223" t="s">
        <v>404</v>
      </c>
      <c r="U45" s="237"/>
      <c r="V45" s="2444"/>
      <c r="W45" s="2445"/>
      <c r="X45" s="2445"/>
      <c r="Y45" s="2445"/>
      <c r="Z45" s="2445"/>
      <c r="AA45" s="2445"/>
      <c r="AB45" s="2446"/>
      <c r="AC45" s="2444"/>
      <c r="AD45" s="2445"/>
      <c r="AE45" s="2445"/>
      <c r="AF45" s="2445"/>
      <c r="AG45" s="2445"/>
      <c r="AH45" s="2445"/>
      <c r="AI45" s="2445"/>
      <c r="AJ45" s="2446"/>
      <c r="AK45" s="1225" t="s">
        <v>482</v>
      </c>
      <c r="AM45" s="436"/>
      <c r="AN45" s="436" t="str">
        <f t="shared" si="1"/>
        <v>Группа потребителей</v>
      </c>
      <c r="AO45" s="436"/>
      <c r="AP45" s="436"/>
      <c r="AQ45" s="1073">
        <v>23</v>
      </c>
    </row>
    <row r="46" spans="1:43" ht="24" customHeight="1">
      <c r="A46" s="1281" t="s">
        <v>233</v>
      </c>
      <c r="B46" s="1281" t="s">
        <v>234</v>
      </c>
      <c r="C46" s="1281" t="s">
        <v>235</v>
      </c>
      <c r="D46" s="1281" t="s">
        <v>494</v>
      </c>
      <c r="E46" s="2457"/>
      <c r="F46" s="2457"/>
      <c r="G46" s="2457"/>
      <c r="H46" s="2457"/>
      <c r="I46" s="2459"/>
      <c r="J46" s="2459"/>
      <c r="K46" s="2458" t="str">
        <f>J45&amp;".1"</f>
        <v>...1.1.1</v>
      </c>
      <c r="L46" s="1282"/>
      <c r="P46" s="2460"/>
      <c r="Q46" s="2460"/>
      <c r="R46" s="293">
        <v>1</v>
      </c>
      <c r="S46" s="1375" t="str">
        <f>$K46</f>
        <v>...1.1.1</v>
      </c>
      <c r="T46" s="1355"/>
      <c r="U46" s="237"/>
      <c r="V46" s="687"/>
      <c r="W46" s="687"/>
      <c r="X46" s="1175"/>
      <c r="Y46" s="2461"/>
      <c r="Z46" s="2338" t="s">
        <v>67</v>
      </c>
      <c r="AA46" s="2461"/>
      <c r="AB46" s="2338" t="s">
        <v>67</v>
      </c>
      <c r="AC46" s="687"/>
      <c r="AD46" s="687"/>
      <c r="AE46" s="1175"/>
      <c r="AF46" s="2461"/>
      <c r="AG46" s="2338" t="s">
        <v>67</v>
      </c>
      <c r="AH46" s="2463"/>
      <c r="AI46" s="2338" t="s">
        <v>67</v>
      </c>
      <c r="AJ46" s="1356"/>
      <c r="AK46"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233</v>
      </c>
      <c r="B47" s="1281" t="s">
        <v>234</v>
      </c>
      <c r="C47" s="1281" t="s">
        <v>235</v>
      </c>
      <c r="D47" s="1281" t="s">
        <v>494</v>
      </c>
      <c r="E47" s="2457"/>
      <c r="F47" s="2457"/>
      <c r="G47" s="2457"/>
      <c r="H47" s="2457"/>
      <c r="I47" s="2459"/>
      <c r="J47" s="2459"/>
      <c r="K47" s="2458"/>
      <c r="L47" s="1282"/>
      <c r="P47" s="2460"/>
      <c r="Q47" s="2460"/>
      <c r="R47" s="293"/>
      <c r="S47" s="1374"/>
      <c r="T47" s="237"/>
      <c r="U47" s="237"/>
      <c r="V47" s="262"/>
      <c r="W47" s="262"/>
      <c r="X47" s="265" t="str">
        <f>Y46&amp;"-"&amp;AA46</f>
        <v>-</v>
      </c>
      <c r="Y47" s="2462"/>
      <c r="Z47" s="2338"/>
      <c r="AA47" s="2462"/>
      <c r="AB47" s="2338"/>
      <c r="AC47" s="262"/>
      <c r="AD47" s="262"/>
      <c r="AE47" s="265" t="str">
        <f>AF46&amp;"-"&amp;AH46</f>
        <v>-</v>
      </c>
      <c r="AF47" s="2462"/>
      <c r="AG47" s="2338"/>
      <c r="AH47" s="2464"/>
      <c r="AI47" s="2338"/>
      <c r="AJ47" s="1357"/>
      <c r="AK47" s="2530"/>
      <c r="AM47" s="436"/>
      <c r="AN47" s="436" t="str">
        <f t="shared" si="1"/>
        <v/>
      </c>
      <c r="AO47" s="436"/>
      <c r="AP47" s="436"/>
      <c r="AQ47" s="1073">
        <v>0</v>
      </c>
    </row>
    <row r="48" spans="1:43" ht="21" customHeight="1">
      <c r="A48" s="1281" t="s">
        <v>233</v>
      </c>
      <c r="B48" s="1281" t="s">
        <v>234</v>
      </c>
      <c r="C48" s="1281" t="s">
        <v>235</v>
      </c>
      <c r="D48" s="1281" t="s">
        <v>494</v>
      </c>
      <c r="E48" s="2457"/>
      <c r="F48" s="2457"/>
      <c r="G48" s="2457"/>
      <c r="H48" s="2457"/>
      <c r="I48" s="2459"/>
      <c r="J48" s="2458"/>
      <c r="K48" s="1281"/>
      <c r="L48" s="1282"/>
      <c r="P48" s="2460"/>
      <c r="Q48" s="2460"/>
      <c r="R48" s="292"/>
      <c r="S48" s="1196"/>
      <c r="T48" s="224" t="s">
        <v>483</v>
      </c>
      <c r="U48" s="303"/>
      <c r="V48" s="303"/>
      <c r="W48" s="303"/>
      <c r="X48" s="303"/>
      <c r="Y48" s="303"/>
      <c r="Z48" s="303"/>
      <c r="AA48" s="303"/>
      <c r="AB48" s="303"/>
      <c r="AC48" s="303"/>
      <c r="AD48" s="303"/>
      <c r="AE48" s="303"/>
      <c r="AF48" s="303"/>
      <c r="AG48" s="303"/>
      <c r="AH48" s="303"/>
      <c r="AI48" s="303"/>
      <c r="AJ48" s="303"/>
      <c r="AK48" s="1176" t="s">
        <v>484</v>
      </c>
      <c r="AM48" s="436"/>
      <c r="AN48" s="436" t="str">
        <f t="shared" si="1"/>
        <v>Добавить значение признака дифференциации</v>
      </c>
      <c r="AO48" s="436"/>
      <c r="AP48" s="436"/>
      <c r="AQ48" s="1073">
        <v>20</v>
      </c>
    </row>
    <row r="49" spans="1:43" ht="21.95" customHeight="1">
      <c r="A49" s="1281" t="s">
        <v>233</v>
      </c>
      <c r="B49" s="1281" t="s">
        <v>234</v>
      </c>
      <c r="C49" s="1281" t="s">
        <v>235</v>
      </c>
      <c r="D49" s="1281" t="s">
        <v>494</v>
      </c>
      <c r="E49" s="2457"/>
      <c r="F49" s="2457"/>
      <c r="G49" s="2457"/>
      <c r="H49" s="2457"/>
      <c r="I49" s="2458"/>
      <c r="J49" s="1281"/>
      <c r="K49" s="1281"/>
      <c r="L49" s="1282"/>
      <c r="P49" s="2460"/>
      <c r="Q49" s="1368"/>
      <c r="R49" s="292"/>
      <c r="S49" s="1196"/>
      <c r="T49" s="301" t="s">
        <v>409</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233</v>
      </c>
      <c r="B50" s="1281" t="s">
        <v>234</v>
      </c>
      <c r="C50" s="1281" t="s">
        <v>235</v>
      </c>
      <c r="D50" s="1281" t="s">
        <v>494</v>
      </c>
      <c r="E50" s="2457"/>
      <c r="F50" s="2457"/>
      <c r="G50" s="2457"/>
      <c r="H50" s="2456"/>
      <c r="I50" s="1281"/>
      <c r="J50" s="1281"/>
      <c r="K50" s="1281"/>
      <c r="L50" s="1282"/>
      <c r="M50" s="1283"/>
      <c r="N50" s="1283"/>
      <c r="O50" s="473"/>
      <c r="P50" s="296"/>
      <c r="Q50" s="311"/>
      <c r="R50" s="291"/>
      <c r="S50" s="1196"/>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034" customFormat="1" ht="0" hidden="1" customHeight="1">
      <c r="A51" s="1261" t="s">
        <v>233</v>
      </c>
      <c r="B51" s="1261" t="s">
        <v>234</v>
      </c>
      <c r="C51" s="1232"/>
      <c r="D51" s="1232"/>
      <c r="E51" s="2457"/>
      <c r="F51" s="2456"/>
      <c r="G51" s="1232"/>
      <c r="H51" s="1232"/>
      <c r="I51" s="1232"/>
      <c r="J51" s="1232"/>
      <c r="K51" s="1232"/>
      <c r="L51" s="1376"/>
      <c r="M51" s="1239"/>
      <c r="N51" s="1239"/>
      <c r="P51" s="1234"/>
      <c r="Q51" s="1235"/>
      <c r="R51" s="1234"/>
      <c r="S51" s="1240"/>
      <c r="T51" s="1243" t="s">
        <v>412</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34" customFormat="1" ht="0" hidden="1" customHeight="1">
      <c r="A52" s="1261" t="s">
        <v>233</v>
      </c>
      <c r="B52" s="1261"/>
      <c r="C52" s="1261"/>
      <c r="D52" s="1261"/>
      <c r="E52" s="2456"/>
      <c r="F52" s="1261"/>
      <c r="G52" s="1261"/>
      <c r="H52" s="1261"/>
      <c r="I52" s="1261"/>
      <c r="J52" s="1261"/>
      <c r="K52" s="1261"/>
      <c r="L52" s="1264"/>
      <c r="M52" s="1239"/>
      <c r="N52" s="1239"/>
      <c r="O52" s="454"/>
      <c r="P52" s="316"/>
      <c r="Q52" s="1262"/>
      <c r="R52" s="316"/>
      <c r="S52" s="1240"/>
      <c r="T52" s="1243" t="s">
        <v>413</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3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55"/>
      <c r="U55" s="2455"/>
      <c r="V55" s="2455"/>
      <c r="W55" s="2455"/>
      <c r="X55" s="2455"/>
      <c r="Y55" s="2455"/>
      <c r="Z55" s="2455"/>
      <c r="AA55" s="2455"/>
      <c r="AB55" s="2455"/>
      <c r="AC55" s="2455"/>
      <c r="AD55" s="2455"/>
      <c r="AE55" s="2455"/>
      <c r="AF55" s="2455"/>
      <c r="AG55" s="2455"/>
      <c r="AH55" s="2455"/>
      <c r="AI55" s="2455"/>
      <c r="AJ55" s="2455"/>
      <c r="AK55" s="2455"/>
      <c r="AQ55" s="1073">
        <v>14</v>
      </c>
    </row>
    <row r="56" spans="1:43" ht="14.65" customHeight="1">
      <c r="O56" s="473"/>
      <c r="AQ56" s="1073">
        <v>14</v>
      </c>
    </row>
    <row r="57" spans="1:43" ht="14.65" customHeight="1">
      <c r="O57" s="473"/>
      <c r="S57" s="1171"/>
      <c r="T57" s="2455"/>
      <c r="U57" s="2455"/>
      <c r="V57" s="2455"/>
      <c r="W57" s="2455"/>
      <c r="X57" s="2455"/>
      <c r="Y57" s="2455"/>
      <c r="Z57" s="2455"/>
      <c r="AA57" s="2455"/>
      <c r="AB57" s="2455"/>
      <c r="AC57" s="2455"/>
      <c r="AD57" s="2455"/>
      <c r="AE57" s="2455"/>
      <c r="AF57" s="2455"/>
      <c r="AG57" s="2455"/>
      <c r="AH57" s="2455"/>
      <c r="AI57" s="2455"/>
      <c r="AJ57" s="2455"/>
      <c r="AK57" s="245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4" width="24.7109375" style="2062" hidden="1" customWidth="1"/>
    <col min="25" max="25" width="11.7109375" style="2062" hidden="1" customWidth="1"/>
    <col min="26" max="26" width="3.7109375" style="2062" hidden="1" customWidth="1"/>
    <col min="27" max="27" width="11.7109375" style="2062" hidden="1" customWidth="1"/>
    <col min="28" max="28" width="8.5703125" style="2062" hidden="1" customWidth="1"/>
    <col min="29" max="29" width="24.7109375" style="2062" customWidth="1"/>
    <col min="30" max="31" width="24"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22.5" hidden="1" customHeight="1">
      <c r="X1" s="264"/>
      <c r="Y1" s="264"/>
      <c r="AE1" s="264"/>
      <c r="AF1" s="264"/>
      <c r="AQ1" s="1073" t="s">
        <v>14</v>
      </c>
    </row>
    <row r="2" spans="1:43" ht="23.25" hidden="1" customHeight="1">
      <c r="A2" s="1281"/>
      <c r="B2" s="1281"/>
      <c r="C2" s="1281"/>
      <c r="D2" s="1281"/>
      <c r="E2" s="2456">
        <v>1</v>
      </c>
      <c r="F2" s="1281"/>
      <c r="G2" s="1281"/>
      <c r="H2" s="1281"/>
      <c r="I2" s="1281"/>
      <c r="J2" s="1281"/>
      <c r="K2" s="1281"/>
      <c r="L2" s="1282"/>
      <c r="M2" s="1283"/>
      <c r="N2" s="1283"/>
      <c r="O2" s="1283"/>
      <c r="P2" s="297"/>
      <c r="Q2" s="296"/>
      <c r="R2" s="291"/>
      <c r="S2" s="1375" t="e">
        <f>INDEX(PT_DIFFERENTIATION_NUM_NTAR,MATCH(A2,PT_DIFFERENTIATION_NTAR_ID,0))</f>
        <v>#N/A</v>
      </c>
      <c r="T2" s="235" t="s">
        <v>122</v>
      </c>
      <c r="U2" s="237"/>
      <c r="V2" s="2450"/>
      <c r="W2" s="2451"/>
      <c r="X2" s="2451"/>
      <c r="Y2" s="2451"/>
      <c r="Z2" s="2451"/>
      <c r="AA2" s="2451"/>
      <c r="AB2" s="2452"/>
      <c r="AC2" s="2450" t="e">
        <f>INDEX(PT_DIFFERENTIATION_NTAR,MATCH(A2,PT_DIFFERENTIATION_NTAR_ID,0))</f>
        <v>#N/A</v>
      </c>
      <c r="AD2" s="2451"/>
      <c r="AE2" s="2451"/>
      <c r="AF2" s="2451"/>
      <c r="AG2" s="2451"/>
      <c r="AH2" s="2451"/>
      <c r="AI2" s="2451"/>
      <c r="AJ2" s="24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57"/>
      <c r="F3" s="2456">
        <v>1</v>
      </c>
      <c r="G3" s="1281"/>
      <c r="H3" s="1281"/>
      <c r="I3" s="1281"/>
      <c r="J3" s="1281"/>
      <c r="K3" s="1281"/>
      <c r="L3" s="1282"/>
      <c r="M3" s="1283"/>
      <c r="N3" s="1283"/>
      <c r="O3" s="1283"/>
      <c r="P3" s="1371"/>
      <c r="Q3" s="288"/>
      <c r="R3" s="289"/>
      <c r="S3" s="1375" t="e">
        <f>INDEX(PT_DIFFERENTIATION_NUM_TER,MATCH(B3,PT_DIFFERENTIATION_TER_ID,0))</f>
        <v>#N/A</v>
      </c>
      <c r="T3" s="245" t="s">
        <v>394</v>
      </c>
      <c r="U3" s="237"/>
      <c r="V3" s="2450"/>
      <c r="W3" s="2451"/>
      <c r="X3" s="2451"/>
      <c r="Y3" s="2451"/>
      <c r="Z3" s="2451"/>
      <c r="AA3" s="2451"/>
      <c r="AB3" s="2452"/>
      <c r="AC3" s="2450" t="e">
        <f>INDEX(PT_DIFFERENTIATION_TER,MATCH(B3,PT_DIFFERENTIATION_TER_ID,0))</f>
        <v>#N/A</v>
      </c>
      <c r="AD3" s="2451"/>
      <c r="AE3" s="2451"/>
      <c r="AF3" s="2451"/>
      <c r="AG3" s="2451"/>
      <c r="AH3" s="2451"/>
      <c r="AI3" s="2451"/>
      <c r="AJ3" s="2452"/>
      <c r="AK3" s="1176" t="s">
        <v>395</v>
      </c>
      <c r="AM3" s="436"/>
      <c r="AN3" s="436" t="str">
        <f t="shared" si="0"/>
        <v>Территория действия тарифа</v>
      </c>
      <c r="AO3" s="436"/>
      <c r="AP3" s="436"/>
      <c r="AQ3" s="1073">
        <v>0</v>
      </c>
    </row>
    <row r="4" spans="1:43" ht="23.25" hidden="1" customHeight="1">
      <c r="A4" s="1281"/>
      <c r="B4" s="1281"/>
      <c r="C4" s="1281"/>
      <c r="D4" s="1281"/>
      <c r="E4" s="2457"/>
      <c r="F4" s="2457"/>
      <c r="G4" s="2456">
        <v>1</v>
      </c>
      <c r="H4" s="1281"/>
      <c r="I4" s="1281"/>
      <c r="J4" s="1281"/>
      <c r="K4" s="1281"/>
      <c r="L4" s="1282"/>
      <c r="M4" s="1283"/>
      <c r="N4" s="1283"/>
      <c r="O4" s="1283"/>
      <c r="P4" s="290"/>
      <c r="Q4" s="288"/>
      <c r="R4" s="289"/>
      <c r="S4" s="1375" t="e">
        <f>INDEX(PT_DIFFERENTIATION_NUM_CS,MATCH(C4,PT_DIFFERENTIATION_CS_ID,0))</f>
        <v>#N/A</v>
      </c>
      <c r="T4" s="246" t="s">
        <v>478</v>
      </c>
      <c r="U4" s="237"/>
      <c r="V4" s="2450"/>
      <c r="W4" s="2451"/>
      <c r="X4" s="2451"/>
      <c r="Y4" s="2451"/>
      <c r="Z4" s="2451"/>
      <c r="AA4" s="2451"/>
      <c r="AB4" s="2452"/>
      <c r="AC4" s="2450" t="e">
        <f>INDEX(PT_DIFFERENTIATION_CS,MATCH(C4,PT_DIFFERENTIATION_CS_ID,0))</f>
        <v>#N/A</v>
      </c>
      <c r="AD4" s="2451"/>
      <c r="AE4" s="2451"/>
      <c r="AF4" s="2451"/>
      <c r="AG4" s="2451"/>
      <c r="AH4" s="2451"/>
      <c r="AI4" s="2451"/>
      <c r="AJ4" s="2452"/>
      <c r="AK4" s="1176" t="s">
        <v>479</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457"/>
      <c r="F5" s="2457"/>
      <c r="G5" s="2457"/>
      <c r="H5" s="2457"/>
      <c r="I5" s="2458" t="e">
        <f>S4&amp;".1"</f>
        <v>#N/A</v>
      </c>
      <c r="J5" s="1281"/>
      <c r="K5" s="1281"/>
      <c r="L5" s="1282"/>
      <c r="P5" s="2460">
        <v>1</v>
      </c>
      <c r="Q5" s="1368"/>
      <c r="R5" s="292"/>
      <c r="S5" s="1375" t="e">
        <f>$I5</f>
        <v>#N/A</v>
      </c>
      <c r="T5" s="222" t="s">
        <v>480</v>
      </c>
      <c r="U5" s="237"/>
      <c r="V5" s="2524"/>
      <c r="W5" s="2525"/>
      <c r="X5" s="2525"/>
      <c r="Y5" s="2525"/>
      <c r="Z5" s="2525"/>
      <c r="AA5" s="2525"/>
      <c r="AB5" s="2526"/>
      <c r="AC5" s="2527"/>
      <c r="AD5" s="2528"/>
      <c r="AE5" s="2528"/>
      <c r="AF5" s="2528"/>
      <c r="AG5" s="2528"/>
      <c r="AH5" s="2528"/>
      <c r="AI5" s="2528"/>
      <c r="AJ5" s="2529"/>
      <c r="AK5" s="1176" t="s">
        <v>481</v>
      </c>
      <c r="AM5" s="436"/>
      <c r="AN5" s="436" t="str">
        <f t="shared" si="0"/>
        <v>Наименование признака дифференциации</v>
      </c>
      <c r="AO5" s="436"/>
      <c r="AP5" s="436"/>
      <c r="AQ5" s="1073">
        <v>0</v>
      </c>
    </row>
    <row r="6" spans="1:43" ht="23.25" hidden="1" customHeight="1">
      <c r="A6" s="1281"/>
      <c r="B6" s="1281"/>
      <c r="C6" s="1281"/>
      <c r="D6" s="1281"/>
      <c r="E6" s="2457"/>
      <c r="F6" s="2457"/>
      <c r="G6" s="2457"/>
      <c r="H6" s="2457"/>
      <c r="I6" s="2459"/>
      <c r="J6" s="2458" t="e">
        <f>I5&amp;".1"</f>
        <v>#N/A</v>
      </c>
      <c r="K6" s="1281"/>
      <c r="L6" s="1282" t="s">
        <v>403</v>
      </c>
      <c r="P6" s="2460"/>
      <c r="Q6" s="2460">
        <v>1</v>
      </c>
      <c r="R6" s="293"/>
      <c r="S6" s="1375" t="e">
        <f>$J6</f>
        <v>#N/A</v>
      </c>
      <c r="T6" s="223" t="s">
        <v>404</v>
      </c>
      <c r="U6" s="237"/>
      <c r="V6" s="2444"/>
      <c r="W6" s="2445"/>
      <c r="X6" s="2445"/>
      <c r="Y6" s="2445"/>
      <c r="Z6" s="2445"/>
      <c r="AA6" s="2445"/>
      <c r="AB6" s="2446"/>
      <c r="AC6" s="2444"/>
      <c r="AD6" s="2445"/>
      <c r="AE6" s="2445"/>
      <c r="AF6" s="2445"/>
      <c r="AG6" s="2445"/>
      <c r="AH6" s="2445"/>
      <c r="AI6" s="2445"/>
      <c r="AJ6" s="2446"/>
      <c r="AK6" s="1225" t="s">
        <v>482</v>
      </c>
      <c r="AM6" s="436"/>
      <c r="AN6" s="436" t="str">
        <f t="shared" si="0"/>
        <v>Группа потребителей</v>
      </c>
      <c r="AO6" s="436"/>
      <c r="AP6" s="436"/>
      <c r="AQ6" s="1073">
        <v>0</v>
      </c>
    </row>
    <row r="7" spans="1:43" ht="23.25" hidden="1" customHeight="1">
      <c r="A7" s="1281"/>
      <c r="B7" s="1281"/>
      <c r="C7" s="1281"/>
      <c r="D7" s="1281"/>
      <c r="E7" s="2457"/>
      <c r="F7" s="2457"/>
      <c r="G7" s="2457"/>
      <c r="H7" s="2457"/>
      <c r="I7" s="2459"/>
      <c r="J7" s="2459"/>
      <c r="K7" s="2458" t="e">
        <f>J6&amp;".1"</f>
        <v>#N/A</v>
      </c>
      <c r="L7" s="1282"/>
      <c r="P7" s="2460"/>
      <c r="Q7" s="2460"/>
      <c r="R7" s="293">
        <v>1</v>
      </c>
      <c r="S7" s="1375" t="e">
        <f>$K7</f>
        <v>#N/A</v>
      </c>
      <c r="T7" s="1355"/>
      <c r="U7" s="237"/>
      <c r="V7" s="687"/>
      <c r="W7" s="687"/>
      <c r="X7" s="1175"/>
      <c r="Y7" s="2461"/>
      <c r="Z7" s="2338" t="s">
        <v>67</v>
      </c>
      <c r="AA7" s="2461"/>
      <c r="AB7" s="2338" t="s">
        <v>67</v>
      </c>
      <c r="AC7" s="687"/>
      <c r="AD7" s="687"/>
      <c r="AE7" s="1175"/>
      <c r="AF7" s="2461"/>
      <c r="AG7" s="2338" t="s">
        <v>67</v>
      </c>
      <c r="AH7" s="2463"/>
      <c r="AI7" s="2338" t="s">
        <v>67</v>
      </c>
      <c r="AJ7" s="1356"/>
      <c r="AK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57"/>
      <c r="F8" s="2457"/>
      <c r="G8" s="2457"/>
      <c r="H8" s="2457"/>
      <c r="I8" s="2459"/>
      <c r="J8" s="2459"/>
      <c r="K8" s="2458"/>
      <c r="L8" s="1282"/>
      <c r="P8" s="2460"/>
      <c r="Q8" s="2460"/>
      <c r="R8" s="293"/>
      <c r="S8" s="1374"/>
      <c r="T8" s="237"/>
      <c r="U8" s="237"/>
      <c r="V8" s="262"/>
      <c r="W8" s="262"/>
      <c r="X8" s="265" t="str">
        <f>Y7&amp;"-"&amp;AA7</f>
        <v>-</v>
      </c>
      <c r="Y8" s="2462"/>
      <c r="Z8" s="2338"/>
      <c r="AA8" s="2462"/>
      <c r="AB8" s="2338"/>
      <c r="AC8" s="262"/>
      <c r="AD8" s="262"/>
      <c r="AE8" s="265" t="str">
        <f>AF7&amp;"-"&amp;AH7</f>
        <v>-</v>
      </c>
      <c r="AF8" s="2462"/>
      <c r="AG8" s="2338"/>
      <c r="AH8" s="2464"/>
      <c r="AI8" s="2338"/>
      <c r="AJ8" s="1357"/>
      <c r="AK8" s="2530"/>
      <c r="AM8" s="436"/>
      <c r="AN8" s="436" t="str">
        <f t="shared" si="0"/>
        <v/>
      </c>
      <c r="AO8" s="436"/>
      <c r="AP8" s="436"/>
      <c r="AQ8" s="1073">
        <v>0</v>
      </c>
    </row>
    <row r="9" spans="1:43" ht="21" hidden="1" customHeight="1">
      <c r="A9" s="1281"/>
      <c r="B9" s="1281"/>
      <c r="C9" s="1281"/>
      <c r="D9" s="1281"/>
      <c r="E9" s="2457"/>
      <c r="F9" s="2457"/>
      <c r="G9" s="2457"/>
      <c r="H9" s="2457"/>
      <c r="I9" s="2459"/>
      <c r="J9" s="2458"/>
      <c r="K9" s="1281"/>
      <c r="L9" s="1282"/>
      <c r="P9" s="2460"/>
      <c r="Q9" s="2460"/>
      <c r="R9" s="292"/>
      <c r="S9" s="1196"/>
      <c r="T9" s="224" t="s">
        <v>483</v>
      </c>
      <c r="U9" s="303"/>
      <c r="V9" s="303"/>
      <c r="W9" s="303"/>
      <c r="X9" s="303"/>
      <c r="Y9" s="303"/>
      <c r="Z9" s="303"/>
      <c r="AA9" s="303"/>
      <c r="AB9" s="303"/>
      <c r="AC9" s="303"/>
      <c r="AD9" s="303"/>
      <c r="AE9" s="303"/>
      <c r="AF9" s="303"/>
      <c r="AG9" s="303"/>
      <c r="AH9" s="303"/>
      <c r="AI9" s="303"/>
      <c r="AJ9" s="303"/>
      <c r="AK9" s="1176" t="s">
        <v>484</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57"/>
      <c r="F10" s="2457"/>
      <c r="G10" s="2457"/>
      <c r="H10" s="2457"/>
      <c r="I10" s="2458"/>
      <c r="J10" s="1281"/>
      <c r="K10" s="1281"/>
      <c r="L10" s="1282"/>
      <c r="P10" s="2460"/>
      <c r="Q10" s="1368"/>
      <c r="R10" s="292"/>
      <c r="S10" s="1196"/>
      <c r="T10" s="301" t="s">
        <v>409</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034" customFormat="1" ht="14.25" hidden="1" customHeight="1">
      <c r="A12" s="1261"/>
      <c r="B12" s="1261"/>
      <c r="C12" s="1232"/>
      <c r="D12" s="1232"/>
      <c r="E12" s="2457"/>
      <c r="F12" s="2456"/>
      <c r="G12" s="1232"/>
      <c r="H12" s="1232"/>
      <c r="I12" s="1232"/>
      <c r="J12" s="1232"/>
      <c r="K12" s="1232"/>
      <c r="L12" s="1376"/>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54"/>
      <c r="AG15" s="2453" t="s">
        <v>67</v>
      </c>
      <c r="AH15" s="2454"/>
      <c r="AI15" s="2453" t="s">
        <v>67</v>
      </c>
      <c r="AQ15" s="1073">
        <v>0</v>
      </c>
    </row>
    <row r="16" spans="1:43" ht="14.25" hidden="1" customHeight="1">
      <c r="AC16" s="1278"/>
      <c r="AD16" s="1278"/>
      <c r="AE16" s="265" t="str">
        <f>AF15&amp;"-"&amp;AH15</f>
        <v>-</v>
      </c>
      <c r="AF16" s="2453"/>
      <c r="AG16" s="2453"/>
      <c r="AH16" s="2453"/>
      <c r="AI16" s="2453"/>
      <c r="AQ16" s="1073">
        <v>0</v>
      </c>
    </row>
    <row r="17" spans="1:43" ht="14.25" hidden="1" customHeight="1">
      <c r="AI17" s="264"/>
      <c r="AQ17" s="1073">
        <v>0</v>
      </c>
    </row>
    <row r="18" spans="1:43" s="2056" customFormat="1" ht="22.5" hidden="1" customHeight="1">
      <c r="L18" s="1365"/>
      <c r="M18" s="1280"/>
      <c r="N18" s="1280"/>
      <c r="O18" s="1285" t="s">
        <v>414</v>
      </c>
      <c r="P18" s="1280"/>
      <c r="Q18" s="1289"/>
      <c r="R18" s="1289"/>
      <c r="S18" s="665"/>
      <c r="Y18" s="1285"/>
      <c r="AA18" s="1285"/>
      <c r="AB18" s="1284"/>
      <c r="AF18" s="1285"/>
      <c r="AH18" s="1285"/>
      <c r="AI18" s="1284"/>
      <c r="AL18" s="447"/>
      <c r="AM18" s="447"/>
      <c r="AN18" s="447"/>
      <c r="AO18" s="447"/>
      <c r="AP18" s="447"/>
      <c r="AQ18" s="1078">
        <v>0</v>
      </c>
    </row>
    <row r="19" spans="1:43" s="2056"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056" customFormat="1" ht="12" hidden="1" customHeight="1">
      <c r="L20" s="1365"/>
      <c r="M20" s="1280"/>
      <c r="N20" s="1280"/>
      <c r="O20" s="1282" t="s">
        <v>415</v>
      </c>
      <c r="P20" s="1280"/>
      <c r="Q20" s="1360"/>
      <c r="R20" s="1360"/>
      <c r="S20" s="665"/>
      <c r="T20" s="1078" t="s">
        <v>416</v>
      </c>
      <c r="Z20" s="123" t="s">
        <v>417</v>
      </c>
      <c r="AB20" s="123" t="s">
        <v>418</v>
      </c>
      <c r="AC20" s="1078" t="s">
        <v>416</v>
      </c>
      <c r="AG20" s="123" t="s">
        <v>419</v>
      </c>
      <c r="AI20" s="123" t="s">
        <v>418</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7"/>
      <c r="U24" s="2437"/>
      <c r="V24" s="2437"/>
      <c r="W24" s="2437"/>
      <c r="X24" s="2437"/>
      <c r="Y24" s="2437"/>
      <c r="Z24" s="2437"/>
      <c r="AA24" s="2437"/>
      <c r="AB24" s="2437"/>
      <c r="AC24" s="2437"/>
      <c r="AD24" s="2437"/>
      <c r="AE24" s="2437"/>
      <c r="AF24" s="2437"/>
      <c r="AG24" s="2437"/>
      <c r="AH24" s="2437"/>
      <c r="AI24" s="1161"/>
      <c r="AQ24" s="1073">
        <v>14</v>
      </c>
    </row>
    <row r="25" spans="1:43"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63"/>
      <c r="AC27" s="2449" t="str">
        <f>IF(TITLE_NAME_OR_PR_CHANGE="",IF(TITLE_NAME_OR_PR="","",TITLE_NAME_OR_PR),TITLE_NAME_OR_PR_CHANGE)</f>
        <v/>
      </c>
      <c r="AD27" s="2449"/>
      <c r="AE27" s="2449"/>
      <c r="AF27" s="2449"/>
      <c r="AG27" s="2449"/>
      <c r="AH27" s="2449"/>
      <c r="AI27" s="263"/>
      <c r="AJ27" s="263"/>
      <c r="AK27" s="217"/>
      <c r="AL27" s="304"/>
      <c r="AM27" s="304"/>
      <c r="AN27" s="304"/>
      <c r="AO27" s="304"/>
      <c r="AP27" s="304"/>
      <c r="AQ27" s="354">
        <v>0</v>
      </c>
    </row>
    <row r="28" spans="1:43"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63"/>
      <c r="AC28" s="2448" t="str">
        <f>IF(TITLE_DATE_PR_CHANGE="",IF(TITLE_DATE_PR="","",TITLE_DATE_PR),TITLE_DATE_PR_CHANGE)</f>
        <v/>
      </c>
      <c r="AD28" s="2448"/>
      <c r="AE28" s="2448"/>
      <c r="AF28" s="2448"/>
      <c r="AG28" s="2448"/>
      <c r="AH28" s="2448"/>
      <c r="AI28" s="263"/>
      <c r="AJ28" s="263"/>
      <c r="AK28" s="217"/>
      <c r="AL28" s="304"/>
      <c r="AM28" s="304"/>
      <c r="AN28" s="304"/>
      <c r="AO28" s="304"/>
      <c r="AP28" s="304"/>
      <c r="AQ28" s="354">
        <v>0</v>
      </c>
    </row>
    <row r="29" spans="1:43"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63"/>
      <c r="AC29" s="2449" t="str">
        <f>IF(TITLE_NUMBER_PR_CHANGE="",IF(TITLE_NUMBER_PR="","",TITLE_NUMBER_PR),TITLE_NUMBER_PR_CHANGE)</f>
        <v/>
      </c>
      <c r="AD29" s="2449"/>
      <c r="AE29" s="2449"/>
      <c r="AF29" s="2449"/>
      <c r="AG29" s="2449"/>
      <c r="AH29" s="2449"/>
      <c r="AI29" s="263"/>
      <c r="AJ29" s="263"/>
      <c r="AK29" s="217"/>
      <c r="AL29" s="304"/>
      <c r="AM29" s="304"/>
      <c r="AN29" s="304"/>
      <c r="AO29" s="304"/>
      <c r="AP29" s="304"/>
      <c r="AQ29" s="354">
        <v>0</v>
      </c>
    </row>
    <row r="30" spans="1:43"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63"/>
      <c r="AC30" s="2449" t="str">
        <f>IF(TITLE_IST_PUB_CHANGE="",IF(TITLE_IST_PUB="","",TITLE_IST_PUB),TITLE_IST_PUB_CHANGE)</f>
        <v/>
      </c>
      <c r="AD30" s="2449"/>
      <c r="AE30" s="2449"/>
      <c r="AF30" s="2449"/>
      <c r="AG30" s="2449"/>
      <c r="AH30" s="2449"/>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63"/>
      <c r="AC32" s="2448" t="str">
        <f>IF(TITLE_DATE_PR_CHANGE="",IF(TITLE_DATE_PR="","",TITLE_DATE_PR),TITLE_DATE_PR_CHANGE)</f>
        <v/>
      </c>
      <c r="AD32" s="2448"/>
      <c r="AE32" s="2448"/>
      <c r="AF32" s="2448"/>
      <c r="AG32" s="2448"/>
      <c r="AH32" s="2448"/>
      <c r="AI32" s="263"/>
      <c r="AJ32" s="263"/>
      <c r="AK32" s="217"/>
      <c r="AL32" s="304"/>
      <c r="AM32" s="304"/>
      <c r="AN32" s="304"/>
      <c r="AO32" s="304"/>
      <c r="AP32" s="304"/>
      <c r="AQ32" s="354">
        <v>0</v>
      </c>
    </row>
    <row r="33" spans="1:43"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63"/>
      <c r="AC33" s="2449" t="str">
        <f>IF(TITLE_NUMBER_PR_CHANGE="",IF(TITLE_NUMBER_PR="","",TITLE_NUMBER_PR),TITLE_NUMBER_PR_CHANGE)</f>
        <v/>
      </c>
      <c r="AD33" s="2449"/>
      <c r="AE33" s="2449"/>
      <c r="AF33" s="2449"/>
      <c r="AG33" s="2449"/>
      <c r="AH33" s="2449"/>
      <c r="AI33" s="263"/>
      <c r="AJ33" s="263"/>
      <c r="AK33" s="217"/>
      <c r="AL33" s="304"/>
      <c r="AM33" s="304"/>
      <c r="AN33" s="304"/>
      <c r="AO33" s="304"/>
      <c r="AP33" s="304"/>
      <c r="AQ33" s="354">
        <v>0</v>
      </c>
    </row>
    <row r="34" spans="1:43"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193"/>
      <c r="T35" s="299"/>
      <c r="U35" s="1162"/>
      <c r="V35" s="2468"/>
      <c r="W35" s="2468"/>
      <c r="X35" s="2468"/>
      <c r="Y35" s="2468"/>
      <c r="Z35" s="2468"/>
      <c r="AA35" s="2468"/>
      <c r="AB35" s="2468"/>
      <c r="AC35" s="2468"/>
      <c r="AD35" s="2468"/>
      <c r="AE35" s="2468"/>
      <c r="AF35" s="2468"/>
      <c r="AG35" s="2468"/>
      <c r="AH35" s="2468"/>
      <c r="AI35" s="2468"/>
      <c r="AQ35" s="1073">
        <v>14</v>
      </c>
    </row>
    <row r="36" spans="1:43"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t="s">
        <v>298</v>
      </c>
      <c r="AQ36" s="1073">
        <v>14</v>
      </c>
    </row>
    <row r="37" spans="1:43" ht="14.65" customHeight="1">
      <c r="Q37" s="312"/>
      <c r="R37" s="312"/>
      <c r="S37" s="2469" t="s">
        <v>90</v>
      </c>
      <c r="T37" s="2417" t="s">
        <v>425</v>
      </c>
      <c r="U37" s="238"/>
      <c r="V37" s="2470" t="s">
        <v>426</v>
      </c>
      <c r="W37" s="2471"/>
      <c r="X37" s="2471"/>
      <c r="Y37" s="2471"/>
      <c r="Z37" s="2471"/>
      <c r="AA37" s="2472"/>
      <c r="AB37" s="2473" t="s">
        <v>427</v>
      </c>
      <c r="AC37" s="2470" t="s">
        <v>426</v>
      </c>
      <c r="AD37" s="2471"/>
      <c r="AE37" s="2471"/>
      <c r="AF37" s="2471"/>
      <c r="AG37" s="2471"/>
      <c r="AH37" s="2472"/>
      <c r="AI37" s="2473" t="s">
        <v>428</v>
      </c>
      <c r="AJ37" s="2476" t="s">
        <v>429</v>
      </c>
      <c r="AK37" s="2328"/>
      <c r="AQ37" s="1073">
        <v>14</v>
      </c>
    </row>
    <row r="38" spans="1:43" ht="35.65" customHeight="1">
      <c r="Q38" s="312"/>
      <c r="R38" s="312"/>
      <c r="S38" s="2469"/>
      <c r="T38" s="2417"/>
      <c r="U38" s="954"/>
      <c r="V38" s="1370" t="s">
        <v>486</v>
      </c>
      <c r="W38" s="2310" t="s">
        <v>432</v>
      </c>
      <c r="X38" s="2309"/>
      <c r="Y38" s="2310" t="s">
        <v>433</v>
      </c>
      <c r="Z38" s="2315"/>
      <c r="AA38" s="2309"/>
      <c r="AB38" s="2474"/>
      <c r="AC38" s="1370" t="s">
        <v>486</v>
      </c>
      <c r="AD38" s="2310" t="s">
        <v>432</v>
      </c>
      <c r="AE38" s="2309"/>
      <c r="AF38" s="2310" t="s">
        <v>433</v>
      </c>
      <c r="AG38" s="2315"/>
      <c r="AH38" s="2309"/>
      <c r="AI38" s="2474"/>
      <c r="AJ38" s="2477"/>
      <c r="AK38" s="2328"/>
      <c r="AQ38" s="1073">
        <v>34</v>
      </c>
    </row>
    <row r="39" spans="1:43" ht="35.65" customHeight="1">
      <c r="A39" s="1288"/>
      <c r="B39" s="1288" t="s">
        <v>134</v>
      </c>
      <c r="C39" s="1288" t="s">
        <v>135</v>
      </c>
      <c r="D39" s="1288" t="s">
        <v>136</v>
      </c>
      <c r="E39" s="1282" t="s">
        <v>434</v>
      </c>
      <c r="F39" s="1282" t="s">
        <v>435</v>
      </c>
      <c r="G39" s="1282" t="s">
        <v>436</v>
      </c>
      <c r="H39" s="1282"/>
      <c r="I39" s="1282" t="s">
        <v>487</v>
      </c>
      <c r="J39" s="1282" t="s">
        <v>439</v>
      </c>
      <c r="K39" s="1282" t="s">
        <v>488</v>
      </c>
      <c r="L39" s="1282" t="s">
        <v>415</v>
      </c>
      <c r="Q39" s="312"/>
      <c r="R39" s="312"/>
      <c r="S39" s="2469"/>
      <c r="T39" s="2417"/>
      <c r="U39" s="239"/>
      <c r="V39" s="1370" t="s">
        <v>489</v>
      </c>
      <c r="W39" s="1140" t="s">
        <v>490</v>
      </c>
      <c r="X39" s="1140" t="s">
        <v>491</v>
      </c>
      <c r="Y39" s="1373" t="s">
        <v>443</v>
      </c>
      <c r="Z39" s="2422" t="s">
        <v>444</v>
      </c>
      <c r="AA39" s="2436"/>
      <c r="AB39" s="2475"/>
      <c r="AC39" s="1370" t="s">
        <v>489</v>
      </c>
      <c r="AD39" s="1140" t="s">
        <v>490</v>
      </c>
      <c r="AE39" s="1140" t="s">
        <v>491</v>
      </c>
      <c r="AF39" s="1373" t="s">
        <v>443</v>
      </c>
      <c r="AG39" s="2422" t="s">
        <v>444</v>
      </c>
      <c r="AH39" s="2436"/>
      <c r="AI39" s="2475"/>
      <c r="AJ39" s="2478"/>
      <c r="AK39" s="2328"/>
      <c r="AQ39" s="1073">
        <v>34</v>
      </c>
    </row>
    <row r="40" spans="1:43" s="20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369">
        <f ca="1">OFFSET(V40,0,-1)+1</f>
        <v>3</v>
      </c>
      <c r="W40" s="1369">
        <f ca="1">OFFSET(W40,0,-1)+1</f>
        <v>4</v>
      </c>
      <c r="X40" s="1369">
        <f ca="1">OFFSET(X40,0,-1)+1</f>
        <v>5</v>
      </c>
      <c r="Y40" s="1369">
        <f ca="1">OFFSET(Y40,0,-1)+1</f>
        <v>6</v>
      </c>
      <c r="Z40" s="2467">
        <f ca="1">OFFSET(Z40,0,-1)+1</f>
        <v>7</v>
      </c>
      <c r="AA40" s="2467"/>
      <c r="AB40" s="1369">
        <f ca="1">OFFSET(AB40,0,-2)+1</f>
        <v>8</v>
      </c>
      <c r="AC40" s="1369">
        <f ca="1">OFFSET(AC40,0,-1)+1</f>
        <v>9</v>
      </c>
      <c r="AD40" s="1369">
        <f ca="1">OFFSET(AD40,0,-1)+1</f>
        <v>10</v>
      </c>
      <c r="AE40" s="1369">
        <f ca="1">OFFSET(AE40,0,-1)+1</f>
        <v>11</v>
      </c>
      <c r="AF40" s="1369">
        <f ca="1">OFFSET(AF40,0,-1)+1</f>
        <v>12</v>
      </c>
      <c r="AG40" s="2467">
        <f ca="1">OFFSET(AG40,0,-1)+1</f>
        <v>13</v>
      </c>
      <c r="AH40" s="2467"/>
      <c r="AI40" s="1369">
        <f ca="1">OFFSET(AI40,0,-2)+1</f>
        <v>14</v>
      </c>
      <c r="AJ40" s="1163">
        <f ca="1">OFFSET(AJ40,0,-1)</f>
        <v>14</v>
      </c>
      <c r="AK40" s="1369">
        <f ca="1">OFFSET(AK40,0,-1)+1</f>
        <v>15</v>
      </c>
      <c r="AL40" s="447"/>
      <c r="AM40" s="447"/>
      <c r="AN40" s="447"/>
      <c r="AO40" s="447"/>
      <c r="AP40" s="447"/>
      <c r="AQ40" s="432">
        <v>0</v>
      </c>
    </row>
    <row r="41" spans="1:43" ht="24" customHeight="1">
      <c r="A41" s="1281" t="s">
        <v>238</v>
      </c>
      <c r="B41" s="1281"/>
      <c r="C41" s="1281"/>
      <c r="D41" s="1281"/>
      <c r="E41" s="2456">
        <v>1</v>
      </c>
      <c r="F41" s="1281"/>
      <c r="G41" s="1281"/>
      <c r="H41" s="1281"/>
      <c r="I41" s="1281"/>
      <c r="J41" s="1281"/>
      <c r="K41" s="1281"/>
      <c r="L41" s="1282"/>
      <c r="M41" s="1283"/>
      <c r="N41" s="1283"/>
      <c r="O41" s="1283"/>
      <c r="P41" s="297"/>
      <c r="Q41" s="296"/>
      <c r="R41" s="291"/>
      <c r="S41" s="1375">
        <f>INDEX(PT_DIFFERENTIATION_NUM_NTAR,MATCH(A41,PT_DIFFERENTIATION_NTAR_ID,0))</f>
        <v>0</v>
      </c>
      <c r="T41" s="235" t="s">
        <v>122</v>
      </c>
      <c r="U41" s="237"/>
      <c r="V41" s="2450"/>
      <c r="W41" s="2451"/>
      <c r="X41" s="2451"/>
      <c r="Y41" s="2451"/>
      <c r="Z41" s="2451"/>
      <c r="AA41" s="2451"/>
      <c r="AB41" s="2452"/>
      <c r="AC41" s="2450" t="str">
        <f>INDEX(PT_DIFFERENTIATION_NTAR,MATCH(A41,PT_DIFFERENTIATION_NTAR_ID,0))</f>
        <v/>
      </c>
      <c r="AD41" s="2451"/>
      <c r="AE41" s="2451"/>
      <c r="AF41" s="2451"/>
      <c r="AG41" s="2451"/>
      <c r="AH41" s="2451"/>
      <c r="AI41" s="2451"/>
      <c r="AJ41" s="24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238</v>
      </c>
      <c r="B42" s="1281" t="s">
        <v>239</v>
      </c>
      <c r="C42" s="1281"/>
      <c r="D42" s="1281"/>
      <c r="E42" s="2457"/>
      <c r="F42" s="2456">
        <v>1</v>
      </c>
      <c r="G42" s="1281"/>
      <c r="H42" s="1281"/>
      <c r="I42" s="1281"/>
      <c r="J42" s="1281"/>
      <c r="K42" s="1281"/>
      <c r="L42" s="1282"/>
      <c r="M42" s="1283"/>
      <c r="N42" s="1283"/>
      <c r="O42" s="1283"/>
      <c r="P42" s="1371"/>
      <c r="Q42" s="288"/>
      <c r="R42" s="289"/>
      <c r="S42" s="1375" t="str">
        <f>INDEX(PT_DIFFERENTIATION_NUM_TER,MATCH(B42,PT_DIFFERENTIATION_TER_ID,0))</f>
        <v>.</v>
      </c>
      <c r="T42" s="245" t="s">
        <v>394</v>
      </c>
      <c r="U42" s="237"/>
      <c r="V42" s="2450"/>
      <c r="W42" s="2451"/>
      <c r="X42" s="2451"/>
      <c r="Y42" s="2451"/>
      <c r="Z42" s="2451"/>
      <c r="AA42" s="2451"/>
      <c r="AB42" s="2452"/>
      <c r="AC42" s="2450" t="str">
        <f>INDEX(PT_DIFFERENTIATION_TER,MATCH(B42,PT_DIFFERENTIATION_TER_ID,0))</f>
        <v/>
      </c>
      <c r="AD42" s="2451"/>
      <c r="AE42" s="2451"/>
      <c r="AF42" s="2451"/>
      <c r="AG42" s="2451"/>
      <c r="AH42" s="2451"/>
      <c r="AI42" s="2451"/>
      <c r="AJ42" s="2452"/>
      <c r="AK42" s="1176" t="s">
        <v>395</v>
      </c>
      <c r="AM42" s="436"/>
      <c r="AN42" s="436" t="str">
        <f t="shared" si="1"/>
        <v>Территория действия тарифа</v>
      </c>
      <c r="AO42" s="436"/>
      <c r="AP42" s="436"/>
      <c r="AQ42" s="1073">
        <v>23</v>
      </c>
    </row>
    <row r="43" spans="1:43" ht="24" customHeight="1">
      <c r="A43" s="1281" t="s">
        <v>238</v>
      </c>
      <c r="B43" s="1281" t="s">
        <v>239</v>
      </c>
      <c r="C43" s="1281" t="s">
        <v>240</v>
      </c>
      <c r="D43" s="1281"/>
      <c r="E43" s="2457"/>
      <c r="F43" s="2457"/>
      <c r="G43" s="2456">
        <v>1</v>
      </c>
      <c r="H43" s="1281"/>
      <c r="I43" s="1281"/>
      <c r="J43" s="1281"/>
      <c r="K43" s="1281"/>
      <c r="L43" s="1282"/>
      <c r="M43" s="1283"/>
      <c r="N43" s="1283"/>
      <c r="O43" s="1283"/>
      <c r="P43" s="290"/>
      <c r="Q43" s="288"/>
      <c r="R43" s="289"/>
      <c r="S43" s="1375" t="str">
        <f>INDEX(PT_DIFFERENTIATION_NUM_CS,MATCH(C43,PT_DIFFERENTIATION_CS_ID,0))</f>
        <v>..</v>
      </c>
      <c r="T43" s="246" t="s">
        <v>478</v>
      </c>
      <c r="U43" s="237"/>
      <c r="V43" s="2450"/>
      <c r="W43" s="2451"/>
      <c r="X43" s="2451"/>
      <c r="Y43" s="2451"/>
      <c r="Z43" s="2451"/>
      <c r="AA43" s="2451"/>
      <c r="AB43" s="2452"/>
      <c r="AC43" s="2450" t="str">
        <f>INDEX(PT_DIFFERENTIATION_CS,MATCH(C43,PT_DIFFERENTIATION_CS_ID,0))</f>
        <v/>
      </c>
      <c r="AD43" s="2451"/>
      <c r="AE43" s="2451"/>
      <c r="AF43" s="2451"/>
      <c r="AG43" s="2451"/>
      <c r="AH43" s="2451"/>
      <c r="AI43" s="2451"/>
      <c r="AJ43" s="2452"/>
      <c r="AK43" s="1176" t="s">
        <v>479</v>
      </c>
      <c r="AM43" s="436"/>
      <c r="AN43" s="436" t="str">
        <f t="shared" si="1"/>
        <v>Наименование централизованной системы холодного водоснабжения</v>
      </c>
      <c r="AO43" s="436"/>
      <c r="AP43" s="436"/>
      <c r="AQ43" s="1073">
        <v>23</v>
      </c>
    </row>
    <row r="44" spans="1:43" ht="24" customHeight="1">
      <c r="A44" s="1281" t="s">
        <v>238</v>
      </c>
      <c r="B44" s="1281" t="s">
        <v>239</v>
      </c>
      <c r="C44" s="1281" t="s">
        <v>240</v>
      </c>
      <c r="D44" s="1281" t="s">
        <v>495</v>
      </c>
      <c r="E44" s="2457"/>
      <c r="F44" s="2457"/>
      <c r="G44" s="2457"/>
      <c r="H44" s="2457"/>
      <c r="I44" s="2458" t="str">
        <f>S43&amp;".1"</f>
        <v>...1</v>
      </c>
      <c r="J44" s="1281"/>
      <c r="K44" s="1281"/>
      <c r="L44" s="1282"/>
      <c r="P44" s="2460">
        <v>1</v>
      </c>
      <c r="Q44" s="1368"/>
      <c r="R44" s="292"/>
      <c r="S44" s="1375" t="str">
        <f>$I44</f>
        <v>...1</v>
      </c>
      <c r="T44" s="222" t="s">
        <v>480</v>
      </c>
      <c r="U44" s="237"/>
      <c r="V44" s="2524"/>
      <c r="W44" s="2525"/>
      <c r="X44" s="2525"/>
      <c r="Y44" s="2525"/>
      <c r="Z44" s="2525"/>
      <c r="AA44" s="2525"/>
      <c r="AB44" s="2526"/>
      <c r="AC44" s="2527"/>
      <c r="AD44" s="2528"/>
      <c r="AE44" s="2528"/>
      <c r="AF44" s="2528"/>
      <c r="AG44" s="2528"/>
      <c r="AH44" s="2528"/>
      <c r="AI44" s="2528"/>
      <c r="AJ44" s="2529"/>
      <c r="AK44" s="1176" t="s">
        <v>481</v>
      </c>
      <c r="AM44" s="436"/>
      <c r="AN44" s="436" t="str">
        <f t="shared" si="1"/>
        <v>Наименование признака дифференциации</v>
      </c>
      <c r="AO44" s="436"/>
      <c r="AP44" s="436"/>
      <c r="AQ44" s="1073">
        <v>23</v>
      </c>
    </row>
    <row r="45" spans="1:43" ht="24" customHeight="1">
      <c r="A45" s="1281" t="s">
        <v>238</v>
      </c>
      <c r="B45" s="1281" t="s">
        <v>239</v>
      </c>
      <c r="C45" s="1281" t="s">
        <v>240</v>
      </c>
      <c r="D45" s="1281" t="s">
        <v>495</v>
      </c>
      <c r="E45" s="2457"/>
      <c r="F45" s="2457"/>
      <c r="G45" s="2457"/>
      <c r="H45" s="2457"/>
      <c r="I45" s="2459"/>
      <c r="J45" s="2458" t="str">
        <f>I44&amp;".1"</f>
        <v>...1.1</v>
      </c>
      <c r="K45" s="1281"/>
      <c r="L45" s="1282" t="s">
        <v>403</v>
      </c>
      <c r="P45" s="2460"/>
      <c r="Q45" s="2460">
        <v>1</v>
      </c>
      <c r="R45" s="293"/>
      <c r="S45" s="1375" t="str">
        <f>$J45</f>
        <v>...1.1</v>
      </c>
      <c r="T45" s="223" t="s">
        <v>404</v>
      </c>
      <c r="U45" s="237"/>
      <c r="V45" s="2444"/>
      <c r="W45" s="2445"/>
      <c r="X45" s="2445"/>
      <c r="Y45" s="2445"/>
      <c r="Z45" s="2445"/>
      <c r="AA45" s="2445"/>
      <c r="AB45" s="2446"/>
      <c r="AC45" s="2444"/>
      <c r="AD45" s="2445"/>
      <c r="AE45" s="2445"/>
      <c r="AF45" s="2445"/>
      <c r="AG45" s="2445"/>
      <c r="AH45" s="2445"/>
      <c r="AI45" s="2445"/>
      <c r="AJ45" s="2446"/>
      <c r="AK45" s="1225" t="s">
        <v>482</v>
      </c>
      <c r="AM45" s="436"/>
      <c r="AN45" s="436" t="str">
        <f t="shared" si="1"/>
        <v>Группа потребителей</v>
      </c>
      <c r="AO45" s="436"/>
      <c r="AP45" s="436"/>
      <c r="AQ45" s="1073">
        <v>23</v>
      </c>
    </row>
    <row r="46" spans="1:43" ht="24" customHeight="1">
      <c r="A46" s="1281" t="s">
        <v>238</v>
      </c>
      <c r="B46" s="1281" t="s">
        <v>239</v>
      </c>
      <c r="C46" s="1281" t="s">
        <v>240</v>
      </c>
      <c r="D46" s="1281" t="s">
        <v>495</v>
      </c>
      <c r="E46" s="2457"/>
      <c r="F46" s="2457"/>
      <c r="G46" s="2457"/>
      <c r="H46" s="2457"/>
      <c r="I46" s="2459"/>
      <c r="J46" s="2459"/>
      <c r="K46" s="2458" t="str">
        <f>J45&amp;".1"</f>
        <v>...1.1.1</v>
      </c>
      <c r="L46" s="1282"/>
      <c r="P46" s="2460"/>
      <c r="Q46" s="2460"/>
      <c r="R46" s="293">
        <v>1</v>
      </c>
      <c r="S46" s="1375" t="str">
        <f>$K46</f>
        <v>...1.1.1</v>
      </c>
      <c r="T46" s="1355"/>
      <c r="U46" s="237"/>
      <c r="V46" s="687"/>
      <c r="W46" s="687"/>
      <c r="X46" s="1175"/>
      <c r="Y46" s="2461"/>
      <c r="Z46" s="2338" t="s">
        <v>67</v>
      </c>
      <c r="AA46" s="2461"/>
      <c r="AB46" s="2338" t="s">
        <v>67</v>
      </c>
      <c r="AC46" s="687"/>
      <c r="AD46" s="687"/>
      <c r="AE46" s="1175"/>
      <c r="AF46" s="2461"/>
      <c r="AG46" s="2338" t="s">
        <v>67</v>
      </c>
      <c r="AH46" s="2463"/>
      <c r="AI46" s="2338" t="s">
        <v>67</v>
      </c>
      <c r="AJ46" s="1356"/>
      <c r="AK46"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238</v>
      </c>
      <c r="B47" s="1281" t="s">
        <v>239</v>
      </c>
      <c r="C47" s="1281" t="s">
        <v>240</v>
      </c>
      <c r="D47" s="1281" t="s">
        <v>495</v>
      </c>
      <c r="E47" s="2457"/>
      <c r="F47" s="2457"/>
      <c r="G47" s="2457"/>
      <c r="H47" s="2457"/>
      <c r="I47" s="2459"/>
      <c r="J47" s="2459"/>
      <c r="K47" s="2458"/>
      <c r="L47" s="1282"/>
      <c r="P47" s="2460"/>
      <c r="Q47" s="2460"/>
      <c r="R47" s="293"/>
      <c r="S47" s="1374"/>
      <c r="T47" s="237"/>
      <c r="U47" s="237"/>
      <c r="V47" s="262"/>
      <c r="W47" s="262"/>
      <c r="X47" s="265" t="str">
        <f>Y46&amp;"-"&amp;AA46</f>
        <v>-</v>
      </c>
      <c r="Y47" s="2462"/>
      <c r="Z47" s="2338"/>
      <c r="AA47" s="2462"/>
      <c r="AB47" s="2338"/>
      <c r="AC47" s="262"/>
      <c r="AD47" s="262"/>
      <c r="AE47" s="265" t="str">
        <f>AF46&amp;"-"&amp;AH46</f>
        <v>-</v>
      </c>
      <c r="AF47" s="2462"/>
      <c r="AG47" s="2338"/>
      <c r="AH47" s="2464"/>
      <c r="AI47" s="2338"/>
      <c r="AJ47" s="1357"/>
      <c r="AK47" s="2530"/>
      <c r="AM47" s="436"/>
      <c r="AN47" s="436" t="str">
        <f t="shared" si="1"/>
        <v/>
      </c>
      <c r="AO47" s="436"/>
      <c r="AP47" s="436"/>
      <c r="AQ47" s="1073">
        <v>0</v>
      </c>
    </row>
    <row r="48" spans="1:43" ht="21" customHeight="1">
      <c r="A48" s="1281" t="s">
        <v>238</v>
      </c>
      <c r="B48" s="1281" t="s">
        <v>239</v>
      </c>
      <c r="C48" s="1281" t="s">
        <v>240</v>
      </c>
      <c r="D48" s="1281" t="s">
        <v>495</v>
      </c>
      <c r="E48" s="2457"/>
      <c r="F48" s="2457"/>
      <c r="G48" s="2457"/>
      <c r="H48" s="2457"/>
      <c r="I48" s="2459"/>
      <c r="J48" s="2458"/>
      <c r="K48" s="1281"/>
      <c r="L48" s="1282"/>
      <c r="P48" s="2460"/>
      <c r="Q48" s="2460"/>
      <c r="R48" s="292"/>
      <c r="S48" s="1196"/>
      <c r="T48" s="224" t="s">
        <v>483</v>
      </c>
      <c r="U48" s="303"/>
      <c r="V48" s="303"/>
      <c r="W48" s="303"/>
      <c r="X48" s="303"/>
      <c r="Y48" s="303"/>
      <c r="Z48" s="303"/>
      <c r="AA48" s="303"/>
      <c r="AB48" s="303"/>
      <c r="AC48" s="303"/>
      <c r="AD48" s="303"/>
      <c r="AE48" s="303"/>
      <c r="AF48" s="303"/>
      <c r="AG48" s="303"/>
      <c r="AH48" s="303"/>
      <c r="AI48" s="303"/>
      <c r="AJ48" s="303"/>
      <c r="AK48" s="1176" t="s">
        <v>484</v>
      </c>
      <c r="AM48" s="436"/>
      <c r="AN48" s="436" t="str">
        <f t="shared" si="1"/>
        <v>Добавить значение признака дифференциации</v>
      </c>
      <c r="AO48" s="436"/>
      <c r="AP48" s="436"/>
      <c r="AQ48" s="1073">
        <v>20</v>
      </c>
    </row>
    <row r="49" spans="1:43" ht="21.95" customHeight="1">
      <c r="A49" s="1281" t="s">
        <v>238</v>
      </c>
      <c r="B49" s="1281" t="s">
        <v>239</v>
      </c>
      <c r="C49" s="1281" t="s">
        <v>240</v>
      </c>
      <c r="D49" s="1281" t="s">
        <v>495</v>
      </c>
      <c r="E49" s="2457"/>
      <c r="F49" s="2457"/>
      <c r="G49" s="2457"/>
      <c r="H49" s="2457"/>
      <c r="I49" s="2458"/>
      <c r="J49" s="1281"/>
      <c r="K49" s="1281"/>
      <c r="L49" s="1282"/>
      <c r="P49" s="2460"/>
      <c r="Q49" s="1368"/>
      <c r="R49" s="292"/>
      <c r="S49" s="1196"/>
      <c r="T49" s="301" t="s">
        <v>409</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238</v>
      </c>
      <c r="B50" s="1281" t="s">
        <v>239</v>
      </c>
      <c r="C50" s="1281" t="s">
        <v>240</v>
      </c>
      <c r="D50" s="1281" t="s">
        <v>495</v>
      </c>
      <c r="E50" s="2457"/>
      <c r="F50" s="2457"/>
      <c r="G50" s="2457"/>
      <c r="H50" s="2456"/>
      <c r="I50" s="1281"/>
      <c r="J50" s="1281"/>
      <c r="K50" s="1281"/>
      <c r="L50" s="1282"/>
      <c r="M50" s="1283"/>
      <c r="N50" s="1283"/>
      <c r="O50" s="473"/>
      <c r="P50" s="296"/>
      <c r="Q50" s="311"/>
      <c r="R50" s="291"/>
      <c r="S50" s="1196"/>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034" customFormat="1" ht="0" hidden="1" customHeight="1">
      <c r="A51" s="1261" t="s">
        <v>238</v>
      </c>
      <c r="B51" s="1261" t="s">
        <v>239</v>
      </c>
      <c r="C51" s="1232"/>
      <c r="D51" s="1232"/>
      <c r="E51" s="2457"/>
      <c r="F51" s="2456"/>
      <c r="G51" s="1232"/>
      <c r="H51" s="1232"/>
      <c r="I51" s="1232"/>
      <c r="J51" s="1232"/>
      <c r="K51" s="1232"/>
      <c r="L51" s="1376"/>
      <c r="M51" s="1239"/>
      <c r="N51" s="1239"/>
      <c r="P51" s="1234"/>
      <c r="Q51" s="1235"/>
      <c r="R51" s="1234"/>
      <c r="S51" s="1240"/>
      <c r="T51" s="1243" t="s">
        <v>412</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34" customFormat="1" ht="0" hidden="1" customHeight="1">
      <c r="A52" s="1261" t="s">
        <v>238</v>
      </c>
      <c r="B52" s="1261"/>
      <c r="C52" s="1261"/>
      <c r="D52" s="1261"/>
      <c r="E52" s="2456"/>
      <c r="F52" s="1261"/>
      <c r="G52" s="1261"/>
      <c r="H52" s="1261"/>
      <c r="I52" s="1261"/>
      <c r="J52" s="1261"/>
      <c r="K52" s="1261"/>
      <c r="L52" s="1264"/>
      <c r="M52" s="1239"/>
      <c r="N52" s="1239"/>
      <c r="O52" s="454"/>
      <c r="P52" s="316"/>
      <c r="Q52" s="1262"/>
      <c r="R52" s="316"/>
      <c r="S52" s="1240"/>
      <c r="T52" s="1243" t="s">
        <v>413</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3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55"/>
      <c r="U55" s="2455"/>
      <c r="V55" s="2455"/>
      <c r="W55" s="2455"/>
      <c r="X55" s="2455"/>
      <c r="Y55" s="2455"/>
      <c r="Z55" s="2455"/>
      <c r="AA55" s="2455"/>
      <c r="AB55" s="2455"/>
      <c r="AC55" s="2455"/>
      <c r="AD55" s="2455"/>
      <c r="AE55" s="2455"/>
      <c r="AF55" s="2455"/>
      <c r="AG55" s="2455"/>
      <c r="AH55" s="2455"/>
      <c r="AI55" s="2455"/>
      <c r="AJ55" s="2455"/>
      <c r="AK55" s="2455"/>
      <c r="AQ55" s="1073">
        <v>14</v>
      </c>
    </row>
    <row r="56" spans="1:43" ht="14.65" customHeight="1">
      <c r="O56" s="473"/>
      <c r="AQ56" s="1073">
        <v>14</v>
      </c>
    </row>
    <row r="57" spans="1:43" ht="14.65" customHeight="1">
      <c r="O57" s="473"/>
      <c r="S57" s="1171"/>
      <c r="T57" s="2455"/>
      <c r="U57" s="2455"/>
      <c r="V57" s="2455"/>
      <c r="W57" s="2455"/>
      <c r="X57" s="2455"/>
      <c r="Y57" s="2455"/>
      <c r="Z57" s="2455"/>
      <c r="AA57" s="2455"/>
      <c r="AB57" s="2455"/>
      <c r="AC57" s="2455"/>
      <c r="AD57" s="2455"/>
      <c r="AE57" s="2455"/>
      <c r="AF57" s="2455"/>
      <c r="AG57" s="2455"/>
      <c r="AH57" s="2455"/>
      <c r="AI57" s="2455"/>
      <c r="AJ57" s="2455"/>
      <c r="AK57" s="245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62" hidden="1" customWidth="1"/>
    <col min="4" max="4" width="11.85546875" style="2062" hidden="1" customWidth="1"/>
    <col min="5" max="11" width="10.140625" style="2062" hidden="1" customWidth="1"/>
    <col min="12" max="12" width="10.140625" style="2107" hidden="1" customWidth="1"/>
    <col min="13" max="15" width="10.140625" style="2109" hidden="1" customWidth="1"/>
    <col min="16" max="16" width="3" style="2029" customWidth="1"/>
    <col min="17" max="17" width="3" style="2023" customWidth="1"/>
    <col min="18" max="18" width="3" style="2059" customWidth="1"/>
    <col min="19" max="19" width="12" style="2106" customWidth="1"/>
    <col min="20" max="20" width="31" style="2062" customWidth="1"/>
    <col min="21" max="21" width="0.140625" style="2062" customWidth="1"/>
    <col min="22" max="23" width="21.7109375" style="2062" hidden="1" customWidth="1"/>
    <col min="24" max="24" width="11.7109375" style="2062" hidden="1" customWidth="1"/>
    <col min="25" max="25" width="3.7109375" style="2062" hidden="1" customWidth="1"/>
    <col min="26" max="26" width="11.7109375" style="2062" hidden="1" customWidth="1"/>
    <col min="27" max="27" width="8.5703125" style="2062" hidden="1" customWidth="1"/>
    <col min="28" max="28" width="27" style="2062" customWidth="1"/>
    <col min="29" max="29" width="24.5703125" style="2062" customWidth="1"/>
    <col min="30" max="31" width="21"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0.75" hidden="1" customHeight="1">
      <c r="AQ1" s="1549" t="s">
        <v>14</v>
      </c>
    </row>
    <row r="2" spans="1:43" ht="21" hidden="1" customHeight="1">
      <c r="A2" s="1185"/>
      <c r="B2" s="1185"/>
      <c r="C2" s="1185"/>
      <c r="D2" s="1185"/>
      <c r="E2" s="2482">
        <v>1</v>
      </c>
      <c r="F2" s="1185"/>
      <c r="G2" s="1185"/>
      <c r="H2" s="1185"/>
      <c r="I2" s="1185"/>
      <c r="J2" s="1185"/>
      <c r="K2" s="1185"/>
      <c r="L2" s="1228"/>
      <c r="M2" s="1528"/>
      <c r="N2" s="1528"/>
      <c r="O2" s="1528"/>
      <c r="P2" s="1327"/>
      <c r="Q2" s="799"/>
      <c r="R2" s="291"/>
      <c r="S2" s="1870" t="e">
        <f>INDEX(PT_DIFFERENTIATION_NUM_NTAR,MATCH(A2,PT_DIFFERENTIATION_NTAR_ID,0))</f>
        <v>#N/A</v>
      </c>
      <c r="T2" s="1443" t="s">
        <v>122</v>
      </c>
      <c r="U2" s="237"/>
      <c r="V2" s="2451"/>
      <c r="W2" s="2451"/>
      <c r="X2" s="2451"/>
      <c r="Y2" s="2451"/>
      <c r="Z2" s="2451"/>
      <c r="AA2" s="2452"/>
      <c r="AB2" s="1864"/>
      <c r="AC2" s="2451" t="e">
        <f>INDEX(PT_DIFFERENTIATION_NTAR,MATCH(A2,PT_DIFFERENTIATION_NTAR_ID,0))</f>
        <v>#N/A</v>
      </c>
      <c r="AD2" s="2451"/>
      <c r="AE2" s="2451"/>
      <c r="AF2" s="2451"/>
      <c r="AG2" s="2451"/>
      <c r="AH2" s="2451"/>
      <c r="AI2" s="2451"/>
      <c r="AJ2" s="2452"/>
      <c r="AK2" s="1176" t="s">
        <v>393</v>
      </c>
      <c r="AM2" s="1542"/>
      <c r="AN2" s="1542" t="str">
        <f t="shared" ref="AN2:AN14" si="0">IF(T2="","",T2)</f>
        <v>Наименование тарифа</v>
      </c>
      <c r="AO2" s="1542"/>
      <c r="AP2" s="1542"/>
      <c r="AQ2" s="1549">
        <v>0</v>
      </c>
    </row>
    <row r="3" spans="1:43" ht="21" hidden="1" customHeight="1">
      <c r="A3" s="1185"/>
      <c r="B3" s="1185"/>
      <c r="C3" s="1185"/>
      <c r="D3" s="1185"/>
      <c r="E3" s="2483"/>
      <c r="F3" s="2482">
        <v>1</v>
      </c>
      <c r="G3" s="1185"/>
      <c r="H3" s="1185"/>
      <c r="I3" s="1185"/>
      <c r="J3" s="1185"/>
      <c r="K3" s="1185"/>
      <c r="L3" s="1228"/>
      <c r="M3" s="1528"/>
      <c r="N3" s="1528"/>
      <c r="O3" s="1528"/>
      <c r="P3" s="1881"/>
      <c r="Q3" s="1329"/>
      <c r="R3" s="289"/>
      <c r="S3" s="1870" t="e">
        <f>INDEX(PT_DIFFERENTIATION_NUM_TER,MATCH(B3,PT_DIFFERENTIATION_TER_ID,0))</f>
        <v>#N/A</v>
      </c>
      <c r="T3" s="1440" t="s">
        <v>394</v>
      </c>
      <c r="U3" s="237"/>
      <c r="V3" s="2451"/>
      <c r="W3" s="2451"/>
      <c r="X3" s="2451"/>
      <c r="Y3" s="2451"/>
      <c r="Z3" s="2451"/>
      <c r="AA3" s="2452"/>
      <c r="AB3" s="1864"/>
      <c r="AC3" s="2451" t="e">
        <f>INDEX(PT_DIFFERENTIATION_TER,MATCH(B3,PT_DIFFERENTIATION_TER_ID,0))</f>
        <v>#N/A</v>
      </c>
      <c r="AD3" s="2451"/>
      <c r="AE3" s="2451"/>
      <c r="AF3" s="2451"/>
      <c r="AG3" s="2451"/>
      <c r="AH3" s="2451"/>
      <c r="AI3" s="2451"/>
      <c r="AJ3" s="2452"/>
      <c r="AK3" s="1176" t="s">
        <v>395</v>
      </c>
      <c r="AM3" s="1542"/>
      <c r="AN3" s="1542" t="str">
        <f t="shared" si="0"/>
        <v>Территория действия тарифа</v>
      </c>
      <c r="AO3" s="1542"/>
      <c r="AP3" s="1542"/>
      <c r="AQ3" s="1549">
        <v>0</v>
      </c>
    </row>
    <row r="4" spans="1:43" ht="22.5" hidden="1" customHeight="1">
      <c r="A4" s="1185"/>
      <c r="B4" s="1185"/>
      <c r="C4" s="1185"/>
      <c r="D4" s="1185"/>
      <c r="E4" s="2483"/>
      <c r="F4" s="2483"/>
      <c r="G4" s="2482">
        <v>1</v>
      </c>
      <c r="H4" s="1185"/>
      <c r="I4" s="1185"/>
      <c r="J4" s="1185"/>
      <c r="K4" s="1185"/>
      <c r="L4" s="1228"/>
      <c r="M4" s="1528"/>
      <c r="N4" s="1528"/>
      <c r="O4" s="1528"/>
      <c r="P4" s="1330"/>
      <c r="Q4" s="1329"/>
      <c r="R4" s="289"/>
      <c r="S4" s="1870" t="e">
        <f>INDEX(PT_DIFFERENTIATION_NUM_CS,MATCH(C4,PT_DIFFERENTIATION_CS_ID,0))</f>
        <v>#N/A</v>
      </c>
      <c r="T4" s="246" t="s">
        <v>396</v>
      </c>
      <c r="U4" s="237"/>
      <c r="V4" s="2451"/>
      <c r="W4" s="2451"/>
      <c r="X4" s="2451"/>
      <c r="Y4" s="2451"/>
      <c r="Z4" s="2451"/>
      <c r="AA4" s="2452"/>
      <c r="AB4" s="1864"/>
      <c r="AC4" s="2451" t="e">
        <f>INDEX(PT_DIFFERENTIATION_CS,MATCH(C4,PT_DIFFERENTIATION_CS_ID,0))</f>
        <v>#N/A</v>
      </c>
      <c r="AD4" s="2451"/>
      <c r="AE4" s="2451"/>
      <c r="AF4" s="2451"/>
      <c r="AG4" s="2451"/>
      <c r="AH4" s="2451"/>
      <c r="AI4" s="2451"/>
      <c r="AJ4" s="2452"/>
      <c r="AK4" s="1176" t="s">
        <v>397</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483"/>
      <c r="F5" s="2483"/>
      <c r="G5" s="2483"/>
      <c r="H5" s="2482">
        <v>1</v>
      </c>
      <c r="I5" s="1185"/>
      <c r="J5" s="1185"/>
      <c r="K5" s="1185"/>
      <c r="L5" s="1228"/>
      <c r="M5" s="1528"/>
      <c r="N5" s="1528"/>
      <c r="O5" s="1528"/>
      <c r="P5" s="1330"/>
      <c r="Q5" s="1329"/>
      <c r="R5" s="289"/>
      <c r="S5" s="1870" t="e">
        <f>INDEX(PT_DIFFERENTIATION_NUM_IST_TE,MATCH(D5,PT_DIFFERENTIATION_IST_TE_ID,0))</f>
        <v>#N/A</v>
      </c>
      <c r="T5" s="247" t="s">
        <v>398</v>
      </c>
      <c r="U5" s="237"/>
      <c r="V5" s="2451"/>
      <c r="W5" s="2451"/>
      <c r="X5" s="2451"/>
      <c r="Y5" s="2451"/>
      <c r="Z5" s="2451"/>
      <c r="AA5" s="2452"/>
      <c r="AB5" s="1864"/>
      <c r="AC5" s="2451" t="e">
        <f>INDEX(PT_DIFFERENTIATION_IST_TE,MATCH(D5,PT_DIFFERENTIATION_IST_TE_ID,0))</f>
        <v>#N/A</v>
      </c>
      <c r="AD5" s="2451"/>
      <c r="AE5" s="2451"/>
      <c r="AF5" s="2451"/>
      <c r="AG5" s="2451"/>
      <c r="AH5" s="2451"/>
      <c r="AI5" s="2451"/>
      <c r="AJ5" s="2452"/>
      <c r="AK5" s="1176" t="s">
        <v>399</v>
      </c>
      <c r="AM5" s="1542"/>
      <c r="AN5" s="1542" t="str">
        <f t="shared" si="0"/>
        <v xml:space="preserve">Источник тепловой энергии  </v>
      </c>
      <c r="AO5" s="1542"/>
      <c r="AP5" s="1542"/>
      <c r="AQ5" s="1549">
        <v>0</v>
      </c>
    </row>
    <row r="6" spans="1:43" s="2034" customFormat="1" ht="0.75" hidden="1" customHeight="1">
      <c r="A6" s="1293"/>
      <c r="B6" s="1293"/>
      <c r="C6" s="1293"/>
      <c r="D6" s="1293"/>
      <c r="E6" s="2483"/>
      <c r="F6" s="2483"/>
      <c r="G6" s="2483"/>
      <c r="H6" s="2483"/>
      <c r="I6" s="2328" t="e">
        <f>S5&amp;".1"</f>
        <v>#N/A</v>
      </c>
      <c r="J6" s="1293"/>
      <c r="K6" s="1293"/>
      <c r="L6" s="1299" t="s">
        <v>400</v>
      </c>
      <c r="M6" s="1164"/>
      <c r="N6" s="1164"/>
      <c r="O6" s="1164"/>
      <c r="P6" s="2460">
        <v>1</v>
      </c>
      <c r="Q6" s="1866"/>
      <c r="R6" s="292"/>
      <c r="S6" s="965"/>
      <c r="T6" s="1301"/>
      <c r="U6" s="1302"/>
      <c r="V6" s="2488"/>
      <c r="W6" s="2488"/>
      <c r="X6" s="2488"/>
      <c r="Y6" s="2488"/>
      <c r="Z6" s="2488"/>
      <c r="AA6" s="2489"/>
      <c r="AB6" s="1872"/>
      <c r="AC6" s="2488"/>
      <c r="AD6" s="2488"/>
      <c r="AE6" s="2488"/>
      <c r="AF6" s="2488"/>
      <c r="AG6" s="2488"/>
      <c r="AH6" s="2488"/>
      <c r="AI6" s="2488"/>
      <c r="AJ6" s="2489"/>
      <c r="AK6" s="1303"/>
      <c r="AM6" s="1542"/>
      <c r="AN6" s="1542" t="str">
        <f t="shared" si="0"/>
        <v/>
      </c>
      <c r="AO6" s="1542"/>
      <c r="AP6" s="1542"/>
      <c r="AQ6" s="1554">
        <v>0</v>
      </c>
    </row>
    <row r="7" spans="1:43" s="2034" customFormat="1" ht="0.75" hidden="1" customHeight="1">
      <c r="A7" s="1293"/>
      <c r="B7" s="1293"/>
      <c r="C7" s="1293"/>
      <c r="D7" s="1293"/>
      <c r="E7" s="2483"/>
      <c r="F7" s="2483"/>
      <c r="G7" s="2483"/>
      <c r="H7" s="2483"/>
      <c r="I7" s="2310"/>
      <c r="J7" s="2328" t="e">
        <f>S5&amp;".1"</f>
        <v>#N/A</v>
      </c>
      <c r="K7" s="1293"/>
      <c r="L7" s="1299"/>
      <c r="M7" s="1164"/>
      <c r="N7" s="1164"/>
      <c r="O7" s="1164"/>
      <c r="P7" s="2460"/>
      <c r="Q7" s="2460">
        <v>1</v>
      </c>
      <c r="R7" s="293"/>
      <c r="S7" s="965"/>
      <c r="T7" s="1317"/>
      <c r="U7" s="1302"/>
      <c r="V7" s="2488"/>
      <c r="W7" s="2488"/>
      <c r="X7" s="2488"/>
      <c r="Y7" s="2488"/>
      <c r="Z7" s="2488"/>
      <c r="AA7" s="2489"/>
      <c r="AB7" s="1872"/>
      <c r="AC7" s="2488"/>
      <c r="AD7" s="2488"/>
      <c r="AE7" s="2488"/>
      <c r="AF7" s="2488"/>
      <c r="AG7" s="2488"/>
      <c r="AH7" s="2488"/>
      <c r="AI7" s="2488"/>
      <c r="AJ7" s="2489"/>
      <c r="AK7" s="1303"/>
      <c r="AM7" s="1542"/>
      <c r="AN7" s="1542" t="str">
        <f t="shared" si="0"/>
        <v/>
      </c>
      <c r="AO7" s="1542"/>
      <c r="AP7" s="1542"/>
      <c r="AQ7" s="1554">
        <v>0</v>
      </c>
    </row>
    <row r="8" spans="1:43" ht="21" hidden="1" customHeight="1">
      <c r="A8" s="1185"/>
      <c r="B8" s="1185"/>
      <c r="C8" s="1185"/>
      <c r="D8" s="1185"/>
      <c r="E8" s="2483"/>
      <c r="F8" s="2483"/>
      <c r="G8" s="2483"/>
      <c r="H8" s="2483"/>
      <c r="I8" s="2310"/>
      <c r="J8" s="2310"/>
      <c r="K8" s="1903" t="e">
        <f>S5&amp;".1"</f>
        <v>#N/A</v>
      </c>
      <c r="L8" s="1228"/>
      <c r="P8" s="2460"/>
      <c r="Q8" s="2460"/>
      <c r="R8" s="1907">
        <v>1</v>
      </c>
      <c r="S8" s="1905" t="e">
        <f>$K8</f>
        <v>#N/A</v>
      </c>
      <c r="T8" s="1906"/>
      <c r="U8" s="237"/>
      <c r="V8" s="687"/>
      <c r="W8" s="1175"/>
      <c r="X8" s="1904"/>
      <c r="Y8" s="1902" t="s">
        <v>67</v>
      </c>
      <c r="Z8" s="1904"/>
      <c r="AA8" s="1902" t="s">
        <v>67</v>
      </c>
      <c r="AB8" s="1908"/>
      <c r="AC8" s="1909" t="s">
        <v>22</v>
      </c>
      <c r="AD8" s="687"/>
      <c r="AE8" s="1175"/>
      <c r="AF8" s="1867"/>
      <c r="AG8" s="1854" t="s">
        <v>67</v>
      </c>
      <c r="AH8" s="1867"/>
      <c r="AI8" s="1854" t="s">
        <v>67</v>
      </c>
      <c r="AJ8" s="1266"/>
      <c r="AK8" s="2479" t="s">
        <v>461</v>
      </c>
      <c r="AL8" s="1554" t="e">
        <f ca="1">STRCHECKDATE(#REF!)</f>
        <v>#NAME?</v>
      </c>
      <c r="AM8" s="1542"/>
      <c r="AN8" s="1542" t="str">
        <f t="shared" si="0"/>
        <v/>
      </c>
      <c r="AO8" s="1542"/>
      <c r="AP8" s="1542"/>
      <c r="AQ8" s="1549">
        <v>0</v>
      </c>
    </row>
    <row r="9" spans="1:43" ht="11.25" hidden="1" customHeight="1">
      <c r="A9" s="1185"/>
      <c r="B9" s="1185"/>
      <c r="C9" s="1185"/>
      <c r="D9" s="1185"/>
      <c r="E9" s="2483"/>
      <c r="F9" s="2483"/>
      <c r="G9" s="2483"/>
      <c r="H9" s="2483"/>
      <c r="I9" s="2310"/>
      <c r="J9" s="2328"/>
      <c r="K9" s="1185"/>
      <c r="L9" s="1228"/>
      <c r="P9" s="2460"/>
      <c r="Q9" s="2460"/>
      <c r="R9" s="292"/>
      <c r="S9" s="1196"/>
      <c r="T9" s="224" t="s">
        <v>465</v>
      </c>
      <c r="U9" s="536"/>
      <c r="V9" s="536"/>
      <c r="W9" s="536"/>
      <c r="X9" s="536"/>
      <c r="Y9" s="536"/>
      <c r="Z9" s="536"/>
      <c r="AA9" s="536"/>
      <c r="AB9" s="536"/>
      <c r="AC9" s="536"/>
      <c r="AD9" s="536"/>
      <c r="AE9" s="536"/>
      <c r="AF9" s="536"/>
      <c r="AG9" s="536"/>
      <c r="AH9" s="536"/>
      <c r="AI9" s="536"/>
      <c r="AJ9" s="261"/>
      <c r="AK9" s="2481"/>
      <c r="AM9" s="1542"/>
      <c r="AN9" s="1542" t="str">
        <f t="shared" si="0"/>
        <v>Добавить строку</v>
      </c>
      <c r="AO9" s="1542"/>
      <c r="AP9" s="1542"/>
      <c r="AQ9" s="1549">
        <v>0</v>
      </c>
    </row>
    <row r="10" spans="1:43" s="2034" customFormat="1" ht="0.75" hidden="1" customHeight="1">
      <c r="A10" s="1293"/>
      <c r="B10" s="1293"/>
      <c r="C10" s="1293"/>
      <c r="D10" s="1293"/>
      <c r="E10" s="2483"/>
      <c r="F10" s="2483"/>
      <c r="G10" s="2483"/>
      <c r="H10" s="2483"/>
      <c r="I10" s="2328"/>
      <c r="J10" s="1293"/>
      <c r="K10" s="1293"/>
      <c r="L10" s="1299"/>
      <c r="M10" s="1164"/>
      <c r="N10" s="1164"/>
      <c r="O10" s="1164"/>
      <c r="P10" s="2460"/>
      <c r="Q10" s="1866"/>
      <c r="R10" s="292"/>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34" customFormat="1" ht="0.75" hidden="1" customHeight="1">
      <c r="A11" s="1293"/>
      <c r="B11" s="1293"/>
      <c r="C11" s="1293"/>
      <c r="D11" s="1293"/>
      <c r="E11" s="2483"/>
      <c r="F11" s="2483"/>
      <c r="G11" s="2483"/>
      <c r="H11" s="2482"/>
      <c r="I11" s="1293"/>
      <c r="J11" s="1293"/>
      <c r="K11" s="1293"/>
      <c r="L11" s="1299"/>
      <c r="M11" s="1296"/>
      <c r="N11" s="1296"/>
      <c r="O11" s="287"/>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34" customFormat="1" ht="0.75" hidden="1" customHeight="1">
      <c r="A12" s="1293"/>
      <c r="B12" s="1293"/>
      <c r="C12" s="1293"/>
      <c r="D12" s="1292"/>
      <c r="E12" s="2483"/>
      <c r="F12" s="2483"/>
      <c r="G12" s="2482"/>
      <c r="H12" s="1292"/>
      <c r="I12" s="1292"/>
      <c r="J12" s="1292"/>
      <c r="K12" s="1292"/>
      <c r="L12" s="1295"/>
      <c r="M12" s="1296"/>
      <c r="N12" s="1296"/>
      <c r="O12" s="287"/>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34" customFormat="1" ht="0.75" hidden="1" customHeight="1">
      <c r="A13" s="1293"/>
      <c r="B13" s="1293"/>
      <c r="C13" s="1292"/>
      <c r="D13" s="1292"/>
      <c r="E13" s="2483"/>
      <c r="F13" s="2482"/>
      <c r="G13" s="1292"/>
      <c r="H13" s="1292"/>
      <c r="I13" s="1292"/>
      <c r="J13" s="1292"/>
      <c r="K13" s="1292"/>
      <c r="L13" s="1295"/>
      <c r="M13" s="1297"/>
      <c r="N13" s="1297"/>
      <c r="O13" s="287"/>
      <c r="P13" s="1234"/>
      <c r="Q13" s="1235"/>
      <c r="R13" s="1234"/>
      <c r="S13" s="1240"/>
      <c r="T13" s="1243" t="s">
        <v>412</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34" customFormat="1" ht="0.75" hidden="1" customHeight="1">
      <c r="A14" s="1293"/>
      <c r="B14" s="1293"/>
      <c r="C14" s="1293"/>
      <c r="D14" s="1293"/>
      <c r="E14" s="2482"/>
      <c r="F14" s="1293"/>
      <c r="G14" s="1293"/>
      <c r="H14" s="1293"/>
      <c r="I14" s="1293"/>
      <c r="J14" s="1293"/>
      <c r="K14" s="1293"/>
      <c r="L14" s="1299"/>
      <c r="M14" s="1297"/>
      <c r="N14" s="1297"/>
      <c r="O14" s="287"/>
      <c r="P14" s="316"/>
      <c r="Q14" s="1262"/>
      <c r="R14" s="316"/>
      <c r="S14" s="1240"/>
      <c r="T14" s="1243" t="s">
        <v>413</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67</v>
      </c>
      <c r="AH16" s="1653"/>
      <c r="AI16" s="1878" t="s">
        <v>67</v>
      </c>
      <c r="AQ16" s="1549">
        <v>0</v>
      </c>
    </row>
    <row r="17" spans="1:43" ht="14.25" hidden="1" customHeight="1">
      <c r="AL17" s="1559"/>
      <c r="AM17" s="1559"/>
      <c r="AN17" s="1559"/>
      <c r="AO17" s="1559"/>
      <c r="AP17" s="1559"/>
      <c r="AQ17" s="1549">
        <v>0</v>
      </c>
    </row>
    <row r="18" spans="1:43" ht="14.25" hidden="1" customHeight="1">
      <c r="O18" s="1263" t="s">
        <v>414</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30" customFormat="1" ht="14.25" hidden="1" customHeight="1">
      <c r="A20" s="1883"/>
      <c r="B20" s="1883"/>
      <c r="C20" s="1883"/>
      <c r="D20" s="1883"/>
      <c r="E20" s="1883"/>
      <c r="F20" s="1883"/>
      <c r="G20" s="1883"/>
      <c r="H20" s="1883"/>
      <c r="I20" s="1883"/>
      <c r="J20" s="1883"/>
      <c r="K20" s="1883"/>
      <c r="L20" s="1883"/>
      <c r="M20" s="1884"/>
      <c r="N20" s="1884"/>
      <c r="O20" s="1885" t="s">
        <v>415</v>
      </c>
      <c r="P20" s="1426"/>
      <c r="Q20" s="1428"/>
      <c r="R20" s="1428"/>
      <c r="Y20" s="1425" t="s">
        <v>417</v>
      </c>
      <c r="AA20" s="1425" t="s">
        <v>418</v>
      </c>
      <c r="AC20" s="1425" t="s">
        <v>467</v>
      </c>
      <c r="AG20" s="1425" t="s">
        <v>417</v>
      </c>
      <c r="AI20" s="1425" t="s">
        <v>418</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2"/>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2"/>
      <c r="S24" s="243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37"/>
      <c r="U24" s="2437"/>
      <c r="V24" s="2437"/>
      <c r="W24" s="2437"/>
      <c r="X24" s="2437"/>
      <c r="Y24" s="2437"/>
      <c r="Z24" s="2437"/>
      <c r="AA24" s="2437"/>
      <c r="AB24" s="2437"/>
      <c r="AC24" s="2437"/>
      <c r="AD24" s="2437"/>
      <c r="AE24" s="2437"/>
      <c r="AF24" s="2437"/>
      <c r="AG24" s="2437"/>
      <c r="AH24" s="2437"/>
      <c r="AI24" s="1161"/>
      <c r="AQ24" s="1549">
        <v>38</v>
      </c>
    </row>
    <row r="25" spans="1:43" ht="14.65" customHeight="1">
      <c r="Q25" s="228"/>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549">
        <v>14</v>
      </c>
    </row>
    <row r="26" spans="1:43" ht="14.25" hidden="1" customHeight="1">
      <c r="Q26" s="228"/>
      <c r="R26" s="312"/>
      <c r="S26" s="1193"/>
      <c r="T26" s="393"/>
      <c r="U26" s="393"/>
      <c r="V26" s="259"/>
      <c r="W26" s="259"/>
      <c r="X26" s="259"/>
      <c r="Y26" s="259"/>
      <c r="Z26" s="259"/>
      <c r="AA26" s="259"/>
      <c r="AB26" s="259"/>
      <c r="AC26" s="259"/>
      <c r="AD26" s="259"/>
      <c r="AE26" s="259"/>
      <c r="AF26" s="259"/>
      <c r="AG26" s="259"/>
      <c r="AH26" s="259"/>
      <c r="AI26" s="259"/>
      <c r="AJ26" s="1553"/>
      <c r="AQ26" s="1549">
        <v>0</v>
      </c>
    </row>
    <row r="27" spans="1:43" s="2098" customFormat="1" ht="25.5" hidden="1" customHeight="1">
      <c r="A27" s="1166"/>
      <c r="B27" s="1166"/>
      <c r="C27" s="1166"/>
      <c r="D27" s="1166"/>
      <c r="E27" s="1166"/>
      <c r="F27" s="1166"/>
      <c r="G27" s="1166"/>
      <c r="H27" s="1166"/>
      <c r="I27" s="1166"/>
      <c r="J27" s="1166"/>
      <c r="K27" s="1166"/>
      <c r="L27" s="1298"/>
      <c r="M27" s="1166"/>
      <c r="N27" s="1166"/>
      <c r="O27" s="1166"/>
      <c r="P27" s="1286"/>
      <c r="Q27" s="1286"/>
      <c r="S27" s="2447" t="s">
        <v>43</v>
      </c>
      <c r="T27" s="2447"/>
      <c r="U27" s="1290"/>
      <c r="V27" s="2449" t="str">
        <f>IF(TITLE_NAME_OR_PR_CHANGE="",IF(TITLE_NAME_OR_PR="","",TITLE_NAME_OR_PR),TITLE_NAME_OR_PR_CHANGE)</f>
        <v/>
      </c>
      <c r="W27" s="2449"/>
      <c r="X27" s="2449"/>
      <c r="Y27" s="2449"/>
      <c r="Z27" s="2449"/>
      <c r="AA27" s="1553"/>
      <c r="AB27" s="1553"/>
      <c r="AC27" s="2449"/>
      <c r="AD27" s="2449"/>
      <c r="AE27" s="2449"/>
      <c r="AF27" s="2449"/>
      <c r="AG27" s="2449"/>
      <c r="AH27" s="2449"/>
      <c r="AI27" s="1553"/>
      <c r="AJ27" s="1553"/>
      <c r="AK27" s="217"/>
      <c r="AL27" s="304"/>
      <c r="AM27" s="304"/>
      <c r="AN27" s="304"/>
      <c r="AO27" s="304"/>
      <c r="AP27" s="304"/>
      <c r="AQ27" s="354">
        <v>0</v>
      </c>
    </row>
    <row r="28" spans="1:43" s="2098" customFormat="1" ht="18.75" hidden="1" customHeight="1">
      <c r="A28" s="1166"/>
      <c r="B28" s="1166"/>
      <c r="C28" s="1166"/>
      <c r="D28" s="1166"/>
      <c r="E28" s="1166"/>
      <c r="F28" s="1166"/>
      <c r="G28" s="1166"/>
      <c r="H28" s="1166"/>
      <c r="I28" s="1166"/>
      <c r="J28" s="1166"/>
      <c r="K28" s="1166"/>
      <c r="L28" s="1298"/>
      <c r="M28" s="1166"/>
      <c r="N28" s="1166"/>
      <c r="O28" s="1166"/>
      <c r="P28" s="1286"/>
      <c r="Q28" s="1286"/>
      <c r="S28" s="2447" t="s">
        <v>420</v>
      </c>
      <c r="T28" s="2447"/>
      <c r="U28" s="1290"/>
      <c r="V28" s="2448" t="str">
        <f>IF(TITLE_DATE_PR_CHANGE="",IF(TITLE_DATE_PR="","",TITLE_DATE_PR),TITLE_DATE_PR_CHANGE)</f>
        <v/>
      </c>
      <c r="W28" s="2448"/>
      <c r="X28" s="2448"/>
      <c r="Y28" s="2448"/>
      <c r="Z28" s="2448"/>
      <c r="AA28" s="1553"/>
      <c r="AB28" s="1553"/>
      <c r="AC28" s="2448"/>
      <c r="AD28" s="2448"/>
      <c r="AE28" s="2448"/>
      <c r="AF28" s="2448"/>
      <c r="AG28" s="2448"/>
      <c r="AH28" s="2448"/>
      <c r="AI28" s="1553"/>
      <c r="AJ28" s="1553"/>
      <c r="AK28" s="217"/>
      <c r="AL28" s="304"/>
      <c r="AM28" s="304"/>
      <c r="AN28" s="304"/>
      <c r="AO28" s="304"/>
      <c r="AP28" s="304"/>
      <c r="AQ28" s="354">
        <v>0</v>
      </c>
    </row>
    <row r="29" spans="1:43" s="2098" customFormat="1" ht="18.75" hidden="1" customHeight="1">
      <c r="A29" s="1166"/>
      <c r="B29" s="1166"/>
      <c r="C29" s="1166"/>
      <c r="D29" s="1166"/>
      <c r="E29" s="1166"/>
      <c r="F29" s="1166"/>
      <c r="G29" s="1166"/>
      <c r="H29" s="1166"/>
      <c r="I29" s="1166"/>
      <c r="J29" s="1166"/>
      <c r="K29" s="1166"/>
      <c r="L29" s="1298"/>
      <c r="M29" s="1166"/>
      <c r="N29" s="1166"/>
      <c r="O29" s="1166"/>
      <c r="P29" s="1286"/>
      <c r="Q29" s="1286"/>
      <c r="S29" s="2447" t="s">
        <v>421</v>
      </c>
      <c r="T29" s="2447"/>
      <c r="U29" s="1290"/>
      <c r="V29" s="2449" t="str">
        <f>IF(TITLE_NUMBER_PR_CHANGE="",IF(TITLE_NUMBER_PR="","",TITLE_NUMBER_PR),TITLE_NUMBER_PR_CHANGE)</f>
        <v/>
      </c>
      <c r="W29" s="2449"/>
      <c r="X29" s="2449"/>
      <c r="Y29" s="2449"/>
      <c r="Z29" s="2449"/>
      <c r="AA29" s="1553"/>
      <c r="AB29" s="1553"/>
      <c r="AC29" s="2449"/>
      <c r="AD29" s="2449"/>
      <c r="AE29" s="2449"/>
      <c r="AF29" s="2449"/>
      <c r="AG29" s="2449"/>
      <c r="AH29" s="2449"/>
      <c r="AI29" s="1553"/>
      <c r="AJ29" s="1553"/>
      <c r="AK29" s="217"/>
      <c r="AL29" s="304"/>
      <c r="AM29" s="304"/>
      <c r="AN29" s="304"/>
      <c r="AO29" s="304"/>
      <c r="AP29" s="304"/>
      <c r="AQ29" s="354">
        <v>0</v>
      </c>
    </row>
    <row r="30" spans="1:43" s="2098" customFormat="1" ht="18.75" hidden="1" customHeight="1">
      <c r="A30" s="1166"/>
      <c r="B30" s="1166"/>
      <c r="C30" s="1166"/>
      <c r="D30" s="1166"/>
      <c r="E30" s="1166"/>
      <c r="F30" s="1166"/>
      <c r="G30" s="1166"/>
      <c r="H30" s="1166"/>
      <c r="I30" s="1166"/>
      <c r="J30" s="1166"/>
      <c r="K30" s="1166"/>
      <c r="L30" s="1298"/>
      <c r="M30" s="1166"/>
      <c r="N30" s="1166"/>
      <c r="O30" s="1166"/>
      <c r="P30" s="1286"/>
      <c r="Q30" s="1286"/>
      <c r="S30" s="2447" t="s">
        <v>44</v>
      </c>
      <c r="T30" s="2447"/>
      <c r="U30" s="1290"/>
      <c r="V30" s="2449" t="str">
        <f>IF(TITLE_IST_PUB_CHANGE="",IF(TITLE_IST_PUB="","",TITLE_IST_PUB),TITLE_IST_PUB_CHANGE)</f>
        <v/>
      </c>
      <c r="W30" s="2449"/>
      <c r="X30" s="2449"/>
      <c r="Y30" s="2449"/>
      <c r="Z30" s="2449"/>
      <c r="AA30" s="1553"/>
      <c r="AB30" s="1553"/>
      <c r="AC30" s="2449"/>
      <c r="AD30" s="2449"/>
      <c r="AE30" s="2449"/>
      <c r="AF30" s="2449"/>
      <c r="AG30" s="2449"/>
      <c r="AH30" s="2449"/>
      <c r="AI30" s="1553"/>
      <c r="AJ30" s="1553"/>
      <c r="AK30" s="217"/>
      <c r="AL30" s="304"/>
      <c r="AM30" s="304"/>
      <c r="AN30" s="304"/>
      <c r="AO30" s="304"/>
      <c r="AP30" s="304"/>
      <c r="AQ30" s="354">
        <v>0</v>
      </c>
    </row>
    <row r="31" spans="1:43" ht="14.25" hidden="1" customHeight="1">
      <c r="Q31" s="228"/>
      <c r="R31" s="312"/>
      <c r="S31" s="1193"/>
      <c r="T31" s="393"/>
      <c r="U31" s="393"/>
      <c r="V31" s="259"/>
      <c r="W31" s="259"/>
      <c r="X31" s="259"/>
      <c r="Y31" s="259"/>
      <c r="Z31" s="259"/>
      <c r="AA31" s="259"/>
      <c r="AB31" s="259"/>
      <c r="AC31" s="259"/>
      <c r="AD31" s="259"/>
      <c r="AE31" s="259"/>
      <c r="AF31" s="259"/>
      <c r="AG31" s="259"/>
      <c r="AH31" s="259"/>
      <c r="AI31" s="259"/>
      <c r="AJ31" s="1553"/>
      <c r="AQ31" s="1549">
        <v>0</v>
      </c>
    </row>
    <row r="32" spans="1:43" s="2098" customFormat="1" ht="18.75" hidden="1" customHeight="1">
      <c r="A32" s="1166"/>
      <c r="B32" s="1166"/>
      <c r="C32" s="1166"/>
      <c r="D32" s="1166"/>
      <c r="E32" s="1166"/>
      <c r="F32" s="1166"/>
      <c r="G32" s="1166"/>
      <c r="H32" s="1166"/>
      <c r="I32" s="1166"/>
      <c r="J32" s="1166"/>
      <c r="K32" s="1166"/>
      <c r="L32" s="1298"/>
      <c r="M32" s="1166"/>
      <c r="N32" s="1166"/>
      <c r="O32" s="1166"/>
      <c r="P32" s="1286"/>
      <c r="Q32" s="1286"/>
      <c r="S32" s="2447" t="s">
        <v>420</v>
      </c>
      <c r="T32" s="2447"/>
      <c r="U32" s="1290"/>
      <c r="V32" s="2448" t="str">
        <f>IF(TITLE_DATE_PR_CHANGE="",IF(TITLE_DATE_PR="","",TITLE_DATE_PR),TITLE_DATE_PR_CHANGE)</f>
        <v/>
      </c>
      <c r="W32" s="2448"/>
      <c r="X32" s="2448"/>
      <c r="Y32" s="2448"/>
      <c r="Z32" s="2448"/>
      <c r="AA32" s="1553"/>
      <c r="AB32" s="1553"/>
      <c r="AC32" s="2448"/>
      <c r="AD32" s="2448"/>
      <c r="AE32" s="2448"/>
      <c r="AF32" s="2448"/>
      <c r="AG32" s="2448"/>
      <c r="AH32" s="2448"/>
      <c r="AI32" s="1553"/>
      <c r="AJ32" s="1553"/>
      <c r="AK32" s="217"/>
      <c r="AL32" s="304"/>
      <c r="AM32" s="304"/>
      <c r="AN32" s="304"/>
      <c r="AO32" s="304"/>
      <c r="AP32" s="304"/>
      <c r="AQ32" s="354">
        <v>0</v>
      </c>
    </row>
    <row r="33" spans="1:43" s="2098" customFormat="1" ht="18" hidden="1" customHeight="1">
      <c r="A33" s="1166"/>
      <c r="B33" s="1166"/>
      <c r="C33" s="1166"/>
      <c r="D33" s="1166"/>
      <c r="E33" s="1166"/>
      <c r="F33" s="1166"/>
      <c r="G33" s="1166"/>
      <c r="H33" s="1166"/>
      <c r="I33" s="1166"/>
      <c r="J33" s="1166"/>
      <c r="K33" s="1166"/>
      <c r="L33" s="1298"/>
      <c r="M33" s="1166"/>
      <c r="N33" s="1166"/>
      <c r="O33" s="1166"/>
      <c r="P33" s="1286"/>
      <c r="Q33" s="1286"/>
      <c r="S33" s="2447" t="s">
        <v>421</v>
      </c>
      <c r="T33" s="2447"/>
      <c r="U33" s="1290"/>
      <c r="V33" s="2449" t="str">
        <f>IF(TITLE_NUMBER_PR_CHANGE="",IF(TITLE_NUMBER_PR="","",TITLE_NUMBER_PR),TITLE_NUMBER_PR_CHANGE)</f>
        <v/>
      </c>
      <c r="W33" s="2449"/>
      <c r="X33" s="2449"/>
      <c r="Y33" s="2449"/>
      <c r="Z33" s="2449"/>
      <c r="AA33" s="1553"/>
      <c r="AB33" s="1553"/>
      <c r="AC33" s="2449"/>
      <c r="AD33" s="2449"/>
      <c r="AE33" s="2449"/>
      <c r="AF33" s="2449"/>
      <c r="AG33" s="2449"/>
      <c r="AH33" s="2449"/>
      <c r="AI33" s="1553"/>
      <c r="AJ33" s="1553"/>
      <c r="AK33" s="217"/>
      <c r="AL33" s="304"/>
      <c r="AM33" s="304"/>
      <c r="AN33" s="304"/>
      <c r="AO33" s="304"/>
      <c r="AP33" s="304"/>
      <c r="AQ33" s="354">
        <v>0</v>
      </c>
    </row>
    <row r="34" spans="1:43" s="2098"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424</v>
      </c>
      <c r="AB34" s="1560"/>
      <c r="AC34" s="1553"/>
      <c r="AD34" s="1553"/>
      <c r="AE34" s="1553"/>
      <c r="AF34" s="1553"/>
      <c r="AG34" s="1553"/>
      <c r="AH34" s="1553"/>
      <c r="AI34" s="1560" t="s">
        <v>424</v>
      </c>
      <c r="AL34" s="304"/>
      <c r="AM34" s="304"/>
      <c r="AN34" s="304"/>
      <c r="AO34" s="304"/>
      <c r="AP34" s="304"/>
      <c r="AQ34" s="354">
        <v>1</v>
      </c>
    </row>
    <row r="35" spans="1:43" ht="14.65" customHeight="1">
      <c r="Q35" s="228"/>
      <c r="R35" s="312"/>
      <c r="S35" s="1193"/>
      <c r="T35" s="393"/>
      <c r="U35" s="1162"/>
      <c r="V35" s="2468"/>
      <c r="W35" s="2468"/>
      <c r="X35" s="2468"/>
      <c r="Y35" s="2468"/>
      <c r="Z35" s="2468"/>
      <c r="AA35" s="2468"/>
      <c r="AB35" s="1869"/>
      <c r="AC35" s="2468"/>
      <c r="AD35" s="2468"/>
      <c r="AE35" s="2468"/>
      <c r="AF35" s="2468"/>
      <c r="AG35" s="2468"/>
      <c r="AH35" s="2468"/>
      <c r="AI35" s="2468"/>
      <c r="AQ35" s="1549">
        <v>14</v>
      </c>
    </row>
    <row r="36" spans="1:43" ht="14.65" customHeight="1">
      <c r="Q36" s="228"/>
      <c r="R36" s="312"/>
      <c r="S36" s="2328" t="s">
        <v>297</v>
      </c>
      <c r="T36" s="2328"/>
      <c r="U36" s="2328"/>
      <c r="V36" s="2328"/>
      <c r="W36" s="2328"/>
      <c r="X36" s="2328"/>
      <c r="Y36" s="2328"/>
      <c r="Z36" s="2328"/>
      <c r="AA36" s="2387"/>
      <c r="AB36" s="2387"/>
      <c r="AC36" s="2387"/>
      <c r="AD36" s="2328"/>
      <c r="AE36" s="2328"/>
      <c r="AF36" s="2328"/>
      <c r="AG36" s="2328"/>
      <c r="AH36" s="2328"/>
      <c r="AI36" s="2328"/>
      <c r="AJ36" s="2328"/>
      <c r="AK36" s="2328" t="s">
        <v>298</v>
      </c>
      <c r="AQ36" s="1549">
        <v>14</v>
      </c>
    </row>
    <row r="37" spans="1:43" ht="14.65" customHeight="1">
      <c r="Q37" s="228"/>
      <c r="R37" s="312"/>
      <c r="S37" s="2469" t="s">
        <v>90</v>
      </c>
      <c r="T37" s="2417" t="s">
        <v>496</v>
      </c>
      <c r="U37" s="274"/>
      <c r="V37" s="2471"/>
      <c r="W37" s="2471"/>
      <c r="X37" s="2471"/>
      <c r="Y37" s="2471"/>
      <c r="Z37" s="2471"/>
      <c r="AA37" s="2417" t="s">
        <v>427</v>
      </c>
      <c r="AB37" s="2416" t="s">
        <v>497</v>
      </c>
      <c r="AC37" s="2416" t="s">
        <v>471</v>
      </c>
      <c r="AD37" s="2486" t="s">
        <v>426</v>
      </c>
      <c r="AE37" s="2486"/>
      <c r="AF37" s="2471"/>
      <c r="AG37" s="2471"/>
      <c r="AH37" s="2472"/>
      <c r="AI37" s="2473" t="s">
        <v>427</v>
      </c>
      <c r="AJ37" s="2476" t="s">
        <v>429</v>
      </c>
      <c r="AK37" s="2328"/>
      <c r="AQ37" s="1549">
        <v>14</v>
      </c>
    </row>
    <row r="38" spans="1:43" ht="35.65" customHeight="1">
      <c r="Q38" s="228"/>
      <c r="R38" s="312"/>
      <c r="S38" s="2469"/>
      <c r="T38" s="2417"/>
      <c r="U38" s="954"/>
      <c r="V38" s="2309" t="s">
        <v>474</v>
      </c>
      <c r="W38" s="2328"/>
      <c r="X38" s="2388" t="s">
        <v>433</v>
      </c>
      <c r="Y38" s="2498"/>
      <c r="Z38" s="2498"/>
      <c r="AA38" s="2417"/>
      <c r="AB38" s="2416"/>
      <c r="AC38" s="2416"/>
      <c r="AD38" s="2309" t="s">
        <v>474</v>
      </c>
      <c r="AE38" s="2328"/>
      <c r="AF38" s="2498" t="s">
        <v>433</v>
      </c>
      <c r="AG38" s="2498"/>
      <c r="AH38" s="2389"/>
      <c r="AI38" s="2474"/>
      <c r="AJ38" s="2477"/>
      <c r="AK38" s="2328"/>
      <c r="AQ38" s="1549">
        <v>34</v>
      </c>
    </row>
    <row r="39" spans="1:43" ht="14.65" customHeight="1">
      <c r="Q39" s="228"/>
      <c r="R39" s="312"/>
      <c r="S39" s="2469"/>
      <c r="T39" s="2417"/>
      <c r="U39" s="954"/>
      <c r="V39" s="2522" t="str">
        <f>IF($AD$39&lt;&gt;"",$AD$39,"")</f>
        <v/>
      </c>
      <c r="W39" s="2522"/>
      <c r="X39" s="2393"/>
      <c r="Y39" s="2499"/>
      <c r="Z39" s="2499"/>
      <c r="AA39" s="2417"/>
      <c r="AB39" s="2416"/>
      <c r="AC39" s="2416"/>
      <c r="AD39" s="2531"/>
      <c r="AE39" s="2521"/>
      <c r="AF39" s="2499"/>
      <c r="AG39" s="2499"/>
      <c r="AH39" s="2394"/>
      <c r="AI39" s="2474"/>
      <c r="AJ39" s="2477"/>
      <c r="AK39" s="2328"/>
      <c r="AQ39" s="1549">
        <v>14</v>
      </c>
    </row>
    <row r="40" spans="1:43" ht="14.65" customHeight="1">
      <c r="A40" s="1184"/>
      <c r="B40" s="1184" t="s">
        <v>134</v>
      </c>
      <c r="C40" s="1184" t="s">
        <v>135</v>
      </c>
      <c r="D40" s="1184" t="s">
        <v>136</v>
      </c>
      <c r="E40" s="1228" t="s">
        <v>434</v>
      </c>
      <c r="F40" s="1228" t="s">
        <v>435</v>
      </c>
      <c r="G40" s="1228" t="s">
        <v>436</v>
      </c>
      <c r="H40" s="1228" t="s">
        <v>437</v>
      </c>
      <c r="I40" s="1228" t="s">
        <v>438</v>
      </c>
      <c r="J40" s="1228" t="s">
        <v>439</v>
      </c>
      <c r="K40" s="1228" t="s">
        <v>440</v>
      </c>
      <c r="L40" s="1228" t="s">
        <v>415</v>
      </c>
      <c r="Q40" s="228"/>
      <c r="R40" s="312"/>
      <c r="S40" s="2469"/>
      <c r="T40" s="2417"/>
      <c r="U40" s="239"/>
      <c r="V40" s="1862" t="s">
        <v>475</v>
      </c>
      <c r="W40" s="1862" t="s">
        <v>476</v>
      </c>
      <c r="X40" s="1850" t="s">
        <v>443</v>
      </c>
      <c r="Y40" s="2422" t="s">
        <v>444</v>
      </c>
      <c r="Z40" s="2435"/>
      <c r="AA40" s="2417"/>
      <c r="AB40" s="2416"/>
      <c r="AC40" s="2416"/>
      <c r="AD40" s="1880" t="s">
        <v>475</v>
      </c>
      <c r="AE40" s="1871" t="s">
        <v>476</v>
      </c>
      <c r="AF40" s="1850" t="s">
        <v>443</v>
      </c>
      <c r="AG40" s="2422" t="s">
        <v>444</v>
      </c>
      <c r="AH40" s="2436"/>
      <c r="AI40" s="2475"/>
      <c r="AJ40" s="2478"/>
      <c r="AK40" s="2328"/>
      <c r="AQ40" s="1549">
        <v>14</v>
      </c>
    </row>
    <row r="41" spans="1:43" s="2028" customFormat="1" ht="11.25" hidden="1" customHeight="1">
      <c r="A41" s="1184"/>
      <c r="B41" s="1184"/>
      <c r="C41" s="1184"/>
      <c r="D41" s="1184"/>
      <c r="E41" s="1184"/>
      <c r="F41" s="1184"/>
      <c r="G41" s="1184"/>
      <c r="H41" s="1184"/>
      <c r="I41" s="1184"/>
      <c r="J41" s="1184"/>
      <c r="K41" s="1184"/>
      <c r="L41" s="1228"/>
      <c r="M41" s="1877"/>
      <c r="N41" s="1877"/>
      <c r="O41" s="1877"/>
      <c r="P41" s="446"/>
      <c r="Q41" s="1172"/>
      <c r="R41" s="1172">
        <v>1</v>
      </c>
      <c r="S41" s="1195" t="s">
        <v>108</v>
      </c>
      <c r="T41" s="1173" t="s">
        <v>109</v>
      </c>
      <c r="U41" s="1163" t="str">
        <f ca="1">OFFSET(U41,0,-1)</f>
        <v>2</v>
      </c>
      <c r="V41" s="1868">
        <f ca="1">OFFSET(V41,0,-1)+1</f>
        <v>3</v>
      </c>
      <c r="W41" s="1868">
        <f ca="1">OFFSET(W41,0,-1)+1</f>
        <v>4</v>
      </c>
      <c r="X41" s="1868">
        <f ca="1">OFFSET(X41,0,-1)+1</f>
        <v>5</v>
      </c>
      <c r="Y41" s="2467">
        <f ca="1">OFFSET(Y41,0,-1)+1</f>
        <v>6</v>
      </c>
      <c r="Z41" s="2467"/>
      <c r="AA41" s="1259">
        <f ca="1">OFFSET(AA41,0,-2)+1</f>
        <v>7</v>
      </c>
      <c r="AB41" s="1259"/>
      <c r="AC41" s="1259"/>
      <c r="AD41" s="1868">
        <f ca="1">OFFSET(AD41,0,-1)+1</f>
        <v>1</v>
      </c>
      <c r="AE41" s="1868">
        <f ca="1">OFFSET(AE41,0,-1)+1</f>
        <v>2</v>
      </c>
      <c r="AF41" s="1868">
        <f ca="1">OFFSET(AF41,0,-1)+1</f>
        <v>3</v>
      </c>
      <c r="AG41" s="2467">
        <f ca="1">OFFSET(AG41,0,-1)+1</f>
        <v>4</v>
      </c>
      <c r="AH41" s="2467"/>
      <c r="AI41" s="1868">
        <f ca="1">OFFSET(AI41,0,-2)+1</f>
        <v>5</v>
      </c>
      <c r="AJ41" s="1163">
        <f ca="1">OFFSET(AJ41,0,-1)</f>
        <v>5</v>
      </c>
      <c r="AK41" s="1868">
        <f ca="1">OFFSET(AK41,0,-1)+1</f>
        <v>6</v>
      </c>
      <c r="AL41" s="1554"/>
      <c r="AM41" s="1554"/>
      <c r="AN41" s="1554"/>
      <c r="AO41" s="1554"/>
      <c r="AP41" s="1554"/>
      <c r="AQ41" s="1559">
        <v>0</v>
      </c>
    </row>
    <row r="42" spans="1:43" ht="107.25" customHeight="1">
      <c r="A42" s="1185" t="s">
        <v>203</v>
      </c>
      <c r="B42" s="1185"/>
      <c r="C42" s="1185"/>
      <c r="D42" s="1185"/>
      <c r="E42" s="2482">
        <v>1</v>
      </c>
      <c r="F42" s="1185"/>
      <c r="G42" s="1185"/>
      <c r="H42" s="1185"/>
      <c r="I42" s="1185"/>
      <c r="J42" s="1185"/>
      <c r="K42" s="1185"/>
      <c r="L42" s="1228"/>
      <c r="M42" s="1528"/>
      <c r="N42" s="1528"/>
      <c r="O42" s="1528"/>
      <c r="P42" s="1327"/>
      <c r="Q42" s="799"/>
      <c r="R42" s="291"/>
      <c r="S42" s="1870">
        <f>INDEX(PT_DIFFERENTIATION_NUM_NTAR,MATCH(A42,PT_DIFFERENTIATION_NTAR_ID,0))</f>
        <v>0</v>
      </c>
      <c r="T42" s="1443" t="s">
        <v>122</v>
      </c>
      <c r="U42" s="237"/>
      <c r="V42" s="2451"/>
      <c r="W42" s="2451"/>
      <c r="X42" s="2451"/>
      <c r="Y42" s="2451"/>
      <c r="Z42" s="2451"/>
      <c r="AA42" s="2452"/>
      <c r="AB42" s="1864"/>
      <c r="AC42" s="2451" t="str">
        <f>INDEX(PT_DIFFERENTIATION_NTAR,MATCH(A42,PT_DIFFERENTIATION_NTAR_ID,0))</f>
        <v/>
      </c>
      <c r="AD42" s="2451"/>
      <c r="AE42" s="2451"/>
      <c r="AF42" s="2451"/>
      <c r="AG42" s="2451"/>
      <c r="AH42" s="2451"/>
      <c r="AI42" s="2451"/>
      <c r="AJ42" s="2452"/>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203</v>
      </c>
      <c r="B43" s="1185" t="s">
        <v>204</v>
      </c>
      <c r="C43" s="1185"/>
      <c r="D43" s="1185"/>
      <c r="E43" s="2483"/>
      <c r="F43" s="2482">
        <v>1</v>
      </c>
      <c r="G43" s="1185"/>
      <c r="H43" s="1185"/>
      <c r="I43" s="1185"/>
      <c r="J43" s="1185"/>
      <c r="K43" s="1185"/>
      <c r="L43" s="1228"/>
      <c r="M43" s="1528"/>
      <c r="N43" s="1528"/>
      <c r="O43" s="1528"/>
      <c r="P43" s="1881"/>
      <c r="Q43" s="1329"/>
      <c r="R43" s="289"/>
      <c r="S43" s="1870" t="str">
        <f>INDEX(PT_DIFFERENTIATION_NUM_TER,MATCH(B43,PT_DIFFERENTIATION_TER_ID,0))</f>
        <v>.</v>
      </c>
      <c r="T43" s="1440" t="s">
        <v>394</v>
      </c>
      <c r="U43" s="237"/>
      <c r="V43" s="2451"/>
      <c r="W43" s="2451"/>
      <c r="X43" s="2451"/>
      <c r="Y43" s="2451"/>
      <c r="Z43" s="2451"/>
      <c r="AA43" s="2452"/>
      <c r="AB43" s="1864"/>
      <c r="AC43" s="2451" t="str">
        <f>INDEX(PT_DIFFERENTIATION_TER,MATCH(B43,PT_DIFFERENTIATION_TER_ID,0))</f>
        <v/>
      </c>
      <c r="AD43" s="2451"/>
      <c r="AE43" s="2451"/>
      <c r="AF43" s="2451"/>
      <c r="AG43" s="2451"/>
      <c r="AH43" s="2451"/>
      <c r="AI43" s="2451"/>
      <c r="AJ43" s="2452"/>
      <c r="AK43" s="1176" t="s">
        <v>395</v>
      </c>
      <c r="AM43" s="1542"/>
      <c r="AN43" s="1542" t="str">
        <f t="shared" si="1"/>
        <v>Территория действия тарифа</v>
      </c>
      <c r="AO43" s="1542"/>
      <c r="AP43" s="1542"/>
      <c r="AQ43" s="1549">
        <v>21</v>
      </c>
    </row>
    <row r="44" spans="1:43" ht="24" customHeight="1">
      <c r="A44" s="1185" t="s">
        <v>203</v>
      </c>
      <c r="B44" s="1185" t="s">
        <v>204</v>
      </c>
      <c r="C44" s="1185" t="s">
        <v>205</v>
      </c>
      <c r="D44" s="1185"/>
      <c r="E44" s="2483"/>
      <c r="F44" s="2483"/>
      <c r="G44" s="2482">
        <v>1</v>
      </c>
      <c r="H44" s="1185"/>
      <c r="I44" s="1185"/>
      <c r="J44" s="1185"/>
      <c r="K44" s="1185"/>
      <c r="L44" s="1228"/>
      <c r="M44" s="1528"/>
      <c r="N44" s="1528"/>
      <c r="O44" s="1528"/>
      <c r="P44" s="1330"/>
      <c r="Q44" s="1329"/>
      <c r="R44" s="289"/>
      <c r="S44" s="1870" t="str">
        <f>INDEX(PT_DIFFERENTIATION_NUM_CS,MATCH(C44,PT_DIFFERENTIATION_CS_ID,0))</f>
        <v>..</v>
      </c>
      <c r="T44" s="246" t="s">
        <v>396</v>
      </c>
      <c r="U44" s="237"/>
      <c r="V44" s="2451"/>
      <c r="W44" s="2451"/>
      <c r="X44" s="2451"/>
      <c r="Y44" s="2451"/>
      <c r="Z44" s="2451"/>
      <c r="AA44" s="2452"/>
      <c r="AB44" s="1864"/>
      <c r="AC44" s="2451" t="str">
        <f>INDEX(PT_DIFFERENTIATION_CS,MATCH(C44,PT_DIFFERENTIATION_CS_ID,0))</f>
        <v/>
      </c>
      <c r="AD44" s="2451"/>
      <c r="AE44" s="2451"/>
      <c r="AF44" s="2451"/>
      <c r="AG44" s="2451"/>
      <c r="AH44" s="2451"/>
      <c r="AI44" s="2451"/>
      <c r="AJ44" s="2452"/>
      <c r="AK44" s="1176" t="s">
        <v>397</v>
      </c>
      <c r="AM44" s="1542"/>
      <c r="AN44" s="1542" t="str">
        <f t="shared" si="1"/>
        <v xml:space="preserve">Наименование системы теплоснабжения </v>
      </c>
      <c r="AO44" s="1542"/>
      <c r="AP44" s="1542"/>
      <c r="AQ44" s="1549">
        <v>23</v>
      </c>
    </row>
    <row r="45" spans="1:43" ht="21.95" customHeight="1">
      <c r="A45" s="1185" t="s">
        <v>203</v>
      </c>
      <c r="B45" s="1185" t="s">
        <v>204</v>
      </c>
      <c r="C45" s="1185" t="s">
        <v>205</v>
      </c>
      <c r="D45" s="1185" t="s">
        <v>206</v>
      </c>
      <c r="E45" s="2483"/>
      <c r="F45" s="2483"/>
      <c r="G45" s="2483"/>
      <c r="H45" s="2482">
        <v>1</v>
      </c>
      <c r="I45" s="1185"/>
      <c r="J45" s="1185"/>
      <c r="K45" s="1185"/>
      <c r="L45" s="1228"/>
      <c r="M45" s="1528"/>
      <c r="N45" s="1528"/>
      <c r="O45" s="1528"/>
      <c r="P45" s="1330"/>
      <c r="Q45" s="1329"/>
      <c r="R45" s="289"/>
      <c r="S45" s="1870" t="str">
        <f>INDEX(PT_DIFFERENTIATION_NUM_IST_TE,MATCH(D45,PT_DIFFERENTIATION_IST_TE_ID,0))</f>
        <v>...</v>
      </c>
      <c r="T45" s="247" t="s">
        <v>398</v>
      </c>
      <c r="U45" s="237"/>
      <c r="V45" s="2451"/>
      <c r="W45" s="2451"/>
      <c r="X45" s="2451"/>
      <c r="Y45" s="2451"/>
      <c r="Z45" s="2451"/>
      <c r="AA45" s="2452"/>
      <c r="AB45" s="1864"/>
      <c r="AC45" s="2451" t="str">
        <f>INDEX(PT_DIFFERENTIATION_IST_TE,MATCH(D45,PT_DIFFERENTIATION_IST_TE_ID,0))</f>
        <v/>
      </c>
      <c r="AD45" s="2451"/>
      <c r="AE45" s="2451"/>
      <c r="AF45" s="2451"/>
      <c r="AG45" s="2451"/>
      <c r="AH45" s="2451"/>
      <c r="AI45" s="2451"/>
      <c r="AJ45" s="2452"/>
      <c r="AK45" s="1176" t="s">
        <v>399</v>
      </c>
      <c r="AM45" s="1542"/>
      <c r="AN45" s="1542" t="str">
        <f t="shared" si="1"/>
        <v xml:space="preserve">Источник тепловой энергии  </v>
      </c>
      <c r="AO45" s="1542"/>
      <c r="AP45" s="1542"/>
      <c r="AQ45" s="1549">
        <v>21</v>
      </c>
    </row>
    <row r="46" spans="1:43" s="2034" customFormat="1" ht="0" hidden="1" customHeight="1">
      <c r="A46" s="1293" t="s">
        <v>203</v>
      </c>
      <c r="B46" s="1293" t="s">
        <v>204</v>
      </c>
      <c r="C46" s="1293" t="s">
        <v>205</v>
      </c>
      <c r="D46" s="1293" t="s">
        <v>206</v>
      </c>
      <c r="E46" s="2483"/>
      <c r="F46" s="2483"/>
      <c r="G46" s="2483"/>
      <c r="H46" s="2483"/>
      <c r="I46" s="2328" t="str">
        <f>S45&amp;".1"</f>
        <v>....1</v>
      </c>
      <c r="J46" s="1293"/>
      <c r="K46" s="1293"/>
      <c r="L46" s="1299" t="s">
        <v>400</v>
      </c>
      <c r="M46" s="1164"/>
      <c r="N46" s="1164"/>
      <c r="O46" s="1164"/>
      <c r="P46" s="2460">
        <v>1</v>
      </c>
      <c r="Q46" s="1866"/>
      <c r="R46" s="292"/>
      <c r="S46" s="965"/>
      <c r="T46" s="1301"/>
      <c r="U46" s="1302"/>
      <c r="V46" s="2488"/>
      <c r="W46" s="2488"/>
      <c r="X46" s="2488"/>
      <c r="Y46" s="2488"/>
      <c r="Z46" s="2488"/>
      <c r="AA46" s="2489"/>
      <c r="AB46" s="1872"/>
      <c r="AC46" s="2488"/>
      <c r="AD46" s="2488"/>
      <c r="AE46" s="2488"/>
      <c r="AF46" s="2488"/>
      <c r="AG46" s="2488"/>
      <c r="AH46" s="2488"/>
      <c r="AI46" s="2488"/>
      <c r="AJ46" s="2489"/>
      <c r="AK46" s="1303"/>
      <c r="AM46" s="1542"/>
      <c r="AN46" s="1542" t="str">
        <f t="shared" si="1"/>
        <v/>
      </c>
      <c r="AO46" s="1542"/>
      <c r="AP46" s="1542"/>
      <c r="AQ46" s="1554">
        <v>0</v>
      </c>
    </row>
    <row r="47" spans="1:43" s="2034" customFormat="1" ht="0" hidden="1" customHeight="1">
      <c r="A47" s="1293" t="s">
        <v>203</v>
      </c>
      <c r="B47" s="1293" t="s">
        <v>204</v>
      </c>
      <c r="C47" s="1293" t="s">
        <v>205</v>
      </c>
      <c r="D47" s="1293" t="s">
        <v>206</v>
      </c>
      <c r="E47" s="2483"/>
      <c r="F47" s="2483"/>
      <c r="G47" s="2483"/>
      <c r="H47" s="2483"/>
      <c r="I47" s="2310"/>
      <c r="J47" s="2328" t="str">
        <f>S45&amp;".1"</f>
        <v>....1</v>
      </c>
      <c r="K47" s="1293"/>
      <c r="L47" s="1299"/>
      <c r="M47" s="1164"/>
      <c r="N47" s="1164"/>
      <c r="O47" s="1164"/>
      <c r="P47" s="2460"/>
      <c r="Q47" s="2460">
        <v>1</v>
      </c>
      <c r="R47" s="293"/>
      <c r="S47" s="965"/>
      <c r="T47" s="1317"/>
      <c r="U47" s="1302"/>
      <c r="V47" s="2488"/>
      <c r="W47" s="2488"/>
      <c r="X47" s="2488"/>
      <c r="Y47" s="2488"/>
      <c r="Z47" s="2488"/>
      <c r="AA47" s="2489"/>
      <c r="AB47" s="1872"/>
      <c r="AC47" s="2488"/>
      <c r="AD47" s="2488"/>
      <c r="AE47" s="2488"/>
      <c r="AF47" s="2488"/>
      <c r="AG47" s="2488"/>
      <c r="AH47" s="2488"/>
      <c r="AI47" s="2488"/>
      <c r="AJ47" s="2489"/>
      <c r="AK47" s="1303"/>
      <c r="AM47" s="1542"/>
      <c r="AN47" s="1542" t="str">
        <f t="shared" si="1"/>
        <v/>
      </c>
      <c r="AO47" s="1542"/>
      <c r="AP47" s="1542"/>
      <c r="AQ47" s="1554">
        <v>0</v>
      </c>
    </row>
    <row r="48" spans="1:43" ht="21.95" customHeight="1">
      <c r="A48" s="1185" t="s">
        <v>203</v>
      </c>
      <c r="B48" s="1185" t="s">
        <v>204</v>
      </c>
      <c r="C48" s="1185" t="s">
        <v>205</v>
      </c>
      <c r="D48" s="1185" t="s">
        <v>206</v>
      </c>
      <c r="E48" s="2483"/>
      <c r="F48" s="2483"/>
      <c r="G48" s="2483"/>
      <c r="H48" s="2483"/>
      <c r="I48" s="2310"/>
      <c r="J48" s="2310"/>
      <c r="K48" s="1853" t="str">
        <f>S45&amp;".1"</f>
        <v>....1</v>
      </c>
      <c r="L48" s="1228"/>
      <c r="P48" s="2460"/>
      <c r="Q48" s="2460"/>
      <c r="R48" s="293">
        <v>1</v>
      </c>
      <c r="S48" s="1874" t="str">
        <f>$K48</f>
        <v>....1</v>
      </c>
      <c r="T48" s="1873"/>
      <c r="U48" s="237"/>
      <c r="V48" s="687"/>
      <c r="W48" s="1175"/>
      <c r="X48" s="1867"/>
      <c r="Y48" s="1854" t="s">
        <v>67</v>
      </c>
      <c r="Z48" s="1867"/>
      <c r="AA48" s="1854" t="s">
        <v>67</v>
      </c>
      <c r="AB48" s="1876"/>
      <c r="AC48" s="1875" t="s">
        <v>22</v>
      </c>
      <c r="AD48" s="687"/>
      <c r="AE48" s="1175"/>
      <c r="AF48" s="1867"/>
      <c r="AG48" s="1854" t="s">
        <v>67</v>
      </c>
      <c r="AH48" s="1867"/>
      <c r="AI48" s="1854" t="s">
        <v>67</v>
      </c>
      <c r="AJ48" s="1266"/>
      <c r="AK48" s="2479" t="s">
        <v>477</v>
      </c>
      <c r="AL48" s="1554" t="e">
        <f ca="1">STRCHECKDATE(#REF!)</f>
        <v>#NAME?</v>
      </c>
      <c r="AM48" s="1542"/>
      <c r="AN48" s="1542" t="str">
        <f t="shared" si="1"/>
        <v/>
      </c>
      <c r="AO48" s="1542"/>
      <c r="AP48" s="1542"/>
      <c r="AQ48" s="1549">
        <v>21</v>
      </c>
    </row>
    <row r="49" spans="1:43" ht="11.45" customHeight="1">
      <c r="A49" s="1185" t="s">
        <v>203</v>
      </c>
      <c r="B49" s="1185" t="s">
        <v>204</v>
      </c>
      <c r="C49" s="1185" t="s">
        <v>205</v>
      </c>
      <c r="D49" s="1185" t="s">
        <v>206</v>
      </c>
      <c r="E49" s="2483"/>
      <c r="F49" s="2483"/>
      <c r="G49" s="2483"/>
      <c r="H49" s="2483"/>
      <c r="I49" s="2310"/>
      <c r="J49" s="2328"/>
      <c r="K49" s="1185"/>
      <c r="L49" s="1228"/>
      <c r="P49" s="2460"/>
      <c r="Q49" s="2460"/>
      <c r="R49" s="292"/>
      <c r="S49" s="1196"/>
      <c r="T49" s="224" t="s">
        <v>465</v>
      </c>
      <c r="U49" s="536"/>
      <c r="V49" s="536"/>
      <c r="W49" s="536"/>
      <c r="X49" s="536"/>
      <c r="Y49" s="536"/>
      <c r="Z49" s="536"/>
      <c r="AA49" s="261"/>
      <c r="AB49" s="536"/>
      <c r="AC49" s="536"/>
      <c r="AD49" s="536"/>
      <c r="AE49" s="536"/>
      <c r="AF49" s="536"/>
      <c r="AG49" s="536"/>
      <c r="AH49" s="536"/>
      <c r="AI49" s="536"/>
      <c r="AJ49" s="261"/>
      <c r="AK49" s="2481"/>
      <c r="AM49" s="1542"/>
      <c r="AN49" s="1542" t="str">
        <f t="shared" si="1"/>
        <v>Добавить строку</v>
      </c>
      <c r="AO49" s="1542"/>
      <c r="AP49" s="1542"/>
      <c r="AQ49" s="1549">
        <v>11</v>
      </c>
    </row>
    <row r="50" spans="1:43" s="2034" customFormat="1" ht="1.1499999999999999" customHeight="1">
      <c r="A50" s="1293" t="s">
        <v>203</v>
      </c>
      <c r="B50" s="1293" t="s">
        <v>204</v>
      </c>
      <c r="C50" s="1293" t="s">
        <v>205</v>
      </c>
      <c r="D50" s="1293" t="s">
        <v>206</v>
      </c>
      <c r="E50" s="2483"/>
      <c r="F50" s="2483"/>
      <c r="G50" s="2483"/>
      <c r="H50" s="2483"/>
      <c r="I50" s="2328"/>
      <c r="J50" s="1293"/>
      <c r="K50" s="1293"/>
      <c r="L50" s="1299"/>
      <c r="M50" s="1164"/>
      <c r="N50" s="1164"/>
      <c r="O50" s="1164"/>
      <c r="P50" s="2460"/>
      <c r="Q50" s="1866"/>
      <c r="R50" s="292"/>
      <c r="S50" s="1304"/>
      <c r="T50" s="1305" t="s">
        <v>409</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28" customFormat="1" ht="1.1499999999999999" customHeight="1">
      <c r="A51" s="1293" t="s">
        <v>203</v>
      </c>
      <c r="B51" s="1293" t="s">
        <v>204</v>
      </c>
      <c r="C51" s="1293" t="s">
        <v>205</v>
      </c>
      <c r="D51" s="1293" t="s">
        <v>206</v>
      </c>
      <c r="E51" s="2483"/>
      <c r="F51" s="2483"/>
      <c r="G51" s="2483"/>
      <c r="H51" s="2482"/>
      <c r="I51" s="1293"/>
      <c r="J51" s="1293"/>
      <c r="K51" s="1293"/>
      <c r="L51" s="1299"/>
      <c r="M51" s="1296"/>
      <c r="N51" s="1296"/>
      <c r="O51" s="287"/>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34" customFormat="1" ht="1.1499999999999999" customHeight="1">
      <c r="A52" s="1293" t="s">
        <v>203</v>
      </c>
      <c r="B52" s="1293" t="s">
        <v>204</v>
      </c>
      <c r="C52" s="1293" t="s">
        <v>205</v>
      </c>
      <c r="D52" s="1292"/>
      <c r="E52" s="2483"/>
      <c r="F52" s="2483"/>
      <c r="G52" s="2482"/>
      <c r="H52" s="1292"/>
      <c r="I52" s="1292"/>
      <c r="J52" s="1292"/>
      <c r="K52" s="1292"/>
      <c r="L52" s="1295"/>
      <c r="M52" s="1296"/>
      <c r="N52" s="1296"/>
      <c r="O52" s="287"/>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34" customFormat="1" ht="1.1499999999999999" customHeight="1">
      <c r="A53" s="1293" t="s">
        <v>203</v>
      </c>
      <c r="B53" s="1293" t="s">
        <v>204</v>
      </c>
      <c r="C53" s="1292"/>
      <c r="D53" s="1292"/>
      <c r="E53" s="2483"/>
      <c r="F53" s="2482"/>
      <c r="G53" s="1292"/>
      <c r="H53" s="1292"/>
      <c r="I53" s="1292"/>
      <c r="J53" s="1292"/>
      <c r="K53" s="1292"/>
      <c r="L53" s="1295"/>
      <c r="M53" s="1297"/>
      <c r="N53" s="1297"/>
      <c r="O53" s="287"/>
      <c r="P53" s="1234"/>
      <c r="Q53" s="1235"/>
      <c r="R53" s="1234"/>
      <c r="S53" s="1240"/>
      <c r="T53" s="1243" t="s">
        <v>412</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34" customFormat="1" ht="1.1499999999999999" customHeight="1">
      <c r="A54" s="1293" t="s">
        <v>203</v>
      </c>
      <c r="B54" s="1293"/>
      <c r="C54" s="1293"/>
      <c r="D54" s="1293"/>
      <c r="E54" s="2483"/>
      <c r="F54" s="1293"/>
      <c r="G54" s="1293"/>
      <c r="H54" s="1293"/>
      <c r="I54" s="1293"/>
      <c r="J54" s="1293"/>
      <c r="K54" s="1293"/>
      <c r="L54" s="1299"/>
      <c r="M54" s="1297"/>
      <c r="N54" s="1297"/>
      <c r="O54" s="287"/>
      <c r="P54" s="316"/>
      <c r="Q54" s="1262"/>
      <c r="R54" s="316"/>
      <c r="S54" s="1240"/>
      <c r="T54" s="1243" t="s">
        <v>413</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34" customFormat="1" ht="1.1499999999999999" customHeight="1">
      <c r="A55" s="1293" t="s">
        <v>203</v>
      </c>
      <c r="B55" s="1293"/>
      <c r="C55" s="1293"/>
      <c r="D55" s="1293"/>
      <c r="E55" s="2482"/>
      <c r="F55" s="1293"/>
      <c r="G55" s="1293"/>
      <c r="H55" s="1293"/>
      <c r="I55" s="1293"/>
      <c r="J55" s="1293"/>
      <c r="K55" s="1293"/>
      <c r="L55" s="1299"/>
      <c r="M55" s="1297"/>
      <c r="N55" s="1297"/>
      <c r="O55" s="287"/>
      <c r="P55" s="316"/>
      <c r="Q55" s="1262"/>
      <c r="R55" s="316"/>
      <c r="S55" s="1240"/>
      <c r="T55" s="1243" t="s">
        <v>413</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34" customFormat="1" ht="1.1499999999999999" customHeight="1">
      <c r="A56" s="1292"/>
      <c r="B56" s="1292"/>
      <c r="C56" s="1292"/>
      <c r="D56" s="1292"/>
      <c r="E56" s="1293"/>
      <c r="F56" s="1292"/>
      <c r="G56" s="1292"/>
      <c r="H56" s="1292"/>
      <c r="I56" s="1292"/>
      <c r="J56" s="1292"/>
      <c r="K56" s="1292"/>
      <c r="L56" s="1295"/>
      <c r="M56" s="1297"/>
      <c r="N56" s="1297"/>
      <c r="O56" s="287"/>
      <c r="P56" s="1234"/>
      <c r="Q56" s="1235"/>
      <c r="R56" s="1234"/>
      <c r="S56" s="1240"/>
      <c r="T56" s="1243" t="s">
        <v>445</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455"/>
      <c r="U58" s="2455"/>
      <c r="V58" s="2455"/>
      <c r="W58" s="2455"/>
      <c r="X58" s="2455"/>
      <c r="Y58" s="2455"/>
      <c r="Z58" s="2455"/>
      <c r="AA58" s="2455"/>
      <c r="AB58" s="2455"/>
      <c r="AC58" s="2455"/>
      <c r="AD58" s="2455"/>
      <c r="AE58" s="2455"/>
      <c r="AF58" s="2455"/>
      <c r="AG58" s="2455"/>
      <c r="AH58" s="2455"/>
      <c r="AI58" s="2455"/>
      <c r="AJ58" s="2455"/>
      <c r="AK58" s="2455"/>
      <c r="AQ58" s="1549">
        <v>19</v>
      </c>
    </row>
    <row r="59" spans="1:43" ht="21" customHeight="1">
      <c r="O59" s="1553"/>
      <c r="T59" s="2455"/>
      <c r="U59" s="2455"/>
      <c r="V59" s="2455"/>
      <c r="W59" s="2455"/>
      <c r="X59" s="2455"/>
      <c r="Y59" s="2455"/>
      <c r="Z59" s="2455"/>
      <c r="AA59" s="2455"/>
      <c r="AB59" s="2455"/>
      <c r="AC59" s="2455"/>
      <c r="AD59" s="2455"/>
      <c r="AE59" s="2455"/>
      <c r="AF59" s="2455"/>
      <c r="AG59" s="2455"/>
      <c r="AH59" s="2455"/>
      <c r="AI59" s="2455"/>
      <c r="AJ59" s="2455"/>
      <c r="AK59" s="2455"/>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455"/>
      <c r="U61" s="2455"/>
      <c r="V61" s="2455"/>
      <c r="W61" s="2455"/>
      <c r="X61" s="2455"/>
      <c r="Y61" s="2455"/>
      <c r="Z61" s="2455"/>
      <c r="AA61" s="2455"/>
      <c r="AB61" s="2455"/>
      <c r="AC61" s="2455"/>
      <c r="AD61" s="2455"/>
      <c r="AE61" s="2455"/>
      <c r="AF61" s="2455"/>
      <c r="AG61" s="2455"/>
      <c r="AH61" s="2455"/>
      <c r="AI61" s="2455"/>
      <c r="AJ61" s="2455"/>
      <c r="AK61" s="2455"/>
      <c r="AQ61" s="1549">
        <v>19</v>
      </c>
    </row>
    <row r="62" spans="1:43" ht="16.899999999999999" customHeight="1">
      <c r="O62" s="1553"/>
      <c r="T62" s="2455"/>
      <c r="U62" s="2455"/>
      <c r="V62" s="2455"/>
      <c r="W62" s="2455"/>
      <c r="X62" s="2455"/>
      <c r="Y62" s="2455"/>
      <c r="Z62" s="2455"/>
      <c r="AA62" s="2455"/>
      <c r="AB62" s="2455"/>
      <c r="AC62" s="2455"/>
      <c r="AD62" s="2455"/>
      <c r="AE62" s="2455"/>
      <c r="AF62" s="2455"/>
      <c r="AG62" s="2455"/>
      <c r="AH62" s="2455"/>
      <c r="AI62" s="2455"/>
      <c r="AJ62" s="2455"/>
      <c r="AK62" s="2455"/>
      <c r="AQ62" s="1549">
        <v>16</v>
      </c>
    </row>
    <row r="63" spans="1:43" ht="14.65" customHeight="1">
      <c r="O63" s="1553"/>
      <c r="AQ63" s="1549">
        <v>14</v>
      </c>
    </row>
    <row r="64" spans="1:43" ht="22.5" hidden="1" customHeight="1">
      <c r="A64" s="1549" t="s">
        <v>84</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6" hidden="1" customWidth="1"/>
    <col min="2" max="2" width="11" style="2056" hidden="1" customWidth="1"/>
    <col min="3" max="3" width="10.5703125" style="2056" hidden="1"/>
    <col min="4" max="4" width="12.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7109375" style="2029" hidden="1" customWidth="1"/>
    <col min="17" max="17" width="3.7109375" style="2023" hidden="1" customWidth="1"/>
    <col min="18" max="18" width="3" style="2059" customWidth="1"/>
    <col min="19" max="19" width="12" style="2106" customWidth="1"/>
    <col min="20" max="20" width="31" style="2062" customWidth="1"/>
    <col min="21" max="21" width="0.140625" style="2062" customWidth="1"/>
    <col min="22" max="25" width="21.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3.7109375" style="2062" customWidth="1"/>
    <col min="31" max="32" width="3" style="2062" customWidth="1"/>
    <col min="33" max="33" width="24" style="2062" customWidth="1"/>
    <col min="34" max="34" width="3.7109375" style="2062" customWidth="1"/>
    <col min="35" max="36" width="3" style="2062" customWidth="1"/>
    <col min="37" max="37" width="24" style="2062" customWidth="1"/>
    <col min="38" max="38" width="3.7109375" style="2062" customWidth="1"/>
    <col min="39" max="40" width="3" style="2062" customWidth="1"/>
    <col min="41" max="41" width="18" style="2062" customWidth="1"/>
    <col min="42" max="42" width="3.7109375" style="2062" customWidth="1"/>
    <col min="43" max="44" width="3" style="2062" customWidth="1"/>
    <col min="45" max="45" width="18" style="2062" customWidth="1"/>
    <col min="46" max="49" width="21" style="2062" customWidth="1"/>
    <col min="50" max="50" width="11" style="2062" customWidth="1"/>
    <col min="51" max="51" width="3.7109375" style="2062" customWidth="1"/>
    <col min="52" max="52" width="11" style="2062" customWidth="1"/>
    <col min="53" max="53" width="8.5703125" style="2062" hidden="1" customWidth="1"/>
    <col min="54" max="54" width="4" style="2062" customWidth="1"/>
    <col min="55" max="55" width="115" style="2062" customWidth="1"/>
    <col min="56" max="60" width="10" style="2034" customWidth="1"/>
    <col min="61" max="61" width="10.5703125" style="2062" hidden="1"/>
  </cols>
  <sheetData>
    <row r="1" spans="1:61" ht="22.5" hidden="1" customHeight="1">
      <c r="W1" s="264"/>
      <c r="Y1" s="264"/>
      <c r="Z1" s="264"/>
      <c r="AW1" s="264"/>
      <c r="AX1" s="264"/>
      <c r="BI1" s="1073" t="s">
        <v>14</v>
      </c>
    </row>
    <row r="2" spans="1:61" ht="21" hidden="1" customHeight="1">
      <c r="A2" s="1281"/>
      <c r="B2" s="1281"/>
      <c r="C2" s="1281"/>
      <c r="D2" s="1281"/>
      <c r="E2" s="2456">
        <v>1</v>
      </c>
      <c r="F2" s="1281"/>
      <c r="G2" s="1281"/>
      <c r="H2" s="1281"/>
      <c r="I2" s="1281"/>
      <c r="J2" s="1281"/>
      <c r="K2" s="1281"/>
      <c r="L2" s="1282"/>
      <c r="M2" s="1283"/>
      <c r="N2" s="1283"/>
      <c r="O2" s="1283"/>
      <c r="P2" s="1327"/>
      <c r="Q2" s="799"/>
      <c r="R2" s="291"/>
      <c r="S2" s="1383" t="e">
        <f>INDEX(PT_DIFFERENTIATION_NUM_NTAR,MATCH(A2,PT_DIFFERENTIATION_NTAR_ID,0))</f>
        <v>#N/A</v>
      </c>
      <c r="T2" s="235" t="s">
        <v>122</v>
      </c>
      <c r="U2" s="237"/>
      <c r="V2" s="2451"/>
      <c r="W2" s="2451"/>
      <c r="X2" s="2451"/>
      <c r="Y2" s="2451"/>
      <c r="Z2" s="2451"/>
      <c r="AA2" s="2451"/>
      <c r="AB2" s="2451"/>
      <c r="AC2" s="2452"/>
      <c r="AD2" s="2450" t="e">
        <f>INDEX(PT_DIFFERENTIATION_NTAR,MATCH(A2,PT_DIFFERENTIATION_NTAR_ID,0))</f>
        <v>#N/A</v>
      </c>
      <c r="AE2" s="2451"/>
      <c r="AF2" s="2451"/>
      <c r="AG2" s="2451"/>
      <c r="AH2" s="2451"/>
      <c r="AI2" s="2451"/>
      <c r="AJ2" s="2451"/>
      <c r="AK2" s="2451"/>
      <c r="AL2" s="2451"/>
      <c r="AM2" s="2451"/>
      <c r="AN2" s="2451"/>
      <c r="AO2" s="2451"/>
      <c r="AP2" s="2451"/>
      <c r="AQ2" s="2451"/>
      <c r="AR2" s="2451"/>
      <c r="AS2" s="2451"/>
      <c r="AT2" s="2451"/>
      <c r="AU2" s="2451"/>
      <c r="AV2" s="2451"/>
      <c r="AW2" s="2451"/>
      <c r="AX2" s="2451"/>
      <c r="AY2" s="2451"/>
      <c r="AZ2" s="2451"/>
      <c r="BA2" s="2451"/>
      <c r="BB2" s="245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57"/>
      <c r="F3" s="2456">
        <v>1</v>
      </c>
      <c r="G3" s="1281"/>
      <c r="H3" s="1281"/>
      <c r="I3" s="1281"/>
      <c r="J3" s="1281"/>
      <c r="K3" s="1281"/>
      <c r="L3" s="1282"/>
      <c r="M3" s="1283"/>
      <c r="N3" s="1283"/>
      <c r="O3" s="1283"/>
      <c r="P3" s="1328"/>
      <c r="Q3" s="1329"/>
      <c r="R3" s="289"/>
      <c r="S3" s="1383" t="e">
        <f>INDEX(PT_DIFFERENTIATION_NUM_TER,MATCH(B3,PT_DIFFERENTIATION_TER_ID,0))</f>
        <v>#N/A</v>
      </c>
      <c r="T3" s="245" t="s">
        <v>394</v>
      </c>
      <c r="U3" s="237"/>
      <c r="V3" s="2451"/>
      <c r="W3" s="2451"/>
      <c r="X3" s="2451"/>
      <c r="Y3" s="2451"/>
      <c r="Z3" s="2451"/>
      <c r="AA3" s="2451"/>
      <c r="AB3" s="2451"/>
      <c r="AC3" s="2452"/>
      <c r="AD3" s="2450" t="e">
        <f>INDEX(PT_DIFFERENTIATION_TER,MATCH(B3,PT_DIFFERENTIATION_TER_ID,0))</f>
        <v>#N/A</v>
      </c>
      <c r="AE3" s="2451"/>
      <c r="AF3" s="2451"/>
      <c r="AG3" s="2451"/>
      <c r="AH3" s="2451"/>
      <c r="AI3" s="2451"/>
      <c r="AJ3" s="2451"/>
      <c r="AK3" s="2451"/>
      <c r="AL3" s="2451"/>
      <c r="AM3" s="2451"/>
      <c r="AN3" s="2451"/>
      <c r="AO3" s="2451"/>
      <c r="AP3" s="2451"/>
      <c r="AQ3" s="2451"/>
      <c r="AR3" s="2451"/>
      <c r="AS3" s="2451"/>
      <c r="AT3" s="2451"/>
      <c r="AU3" s="2451"/>
      <c r="AV3" s="2451"/>
      <c r="AW3" s="2451"/>
      <c r="AX3" s="2451"/>
      <c r="AY3" s="2451"/>
      <c r="AZ3" s="2451"/>
      <c r="BA3" s="2451"/>
      <c r="BB3" s="2452"/>
      <c r="BC3" s="1176" t="s">
        <v>395</v>
      </c>
      <c r="BE3" s="436"/>
      <c r="BF3" s="436" t="str">
        <f t="shared" si="0"/>
        <v>Территория действия тарифа</v>
      </c>
      <c r="BG3" s="436"/>
      <c r="BH3" s="436"/>
      <c r="BI3" s="1073">
        <v>0</v>
      </c>
    </row>
    <row r="4" spans="1:61" ht="42" hidden="1" customHeight="1">
      <c r="A4" s="1281"/>
      <c r="B4" s="1281"/>
      <c r="C4" s="1281"/>
      <c r="D4" s="1281"/>
      <c r="E4" s="2457"/>
      <c r="F4" s="2457"/>
      <c r="G4" s="2456">
        <v>1</v>
      </c>
      <c r="H4" s="1281"/>
      <c r="I4" s="1281"/>
      <c r="J4" s="1281"/>
      <c r="K4" s="1281"/>
      <c r="L4" s="1282"/>
      <c r="M4" s="1283"/>
      <c r="N4" s="1283"/>
      <c r="O4" s="1283"/>
      <c r="P4" s="1330"/>
      <c r="Q4" s="1329"/>
      <c r="R4" s="289"/>
      <c r="S4" s="1383" t="e">
        <f>INDEX(PT_DIFFERENTIATION_NUM_CS,MATCH(C4,PT_DIFFERENTIATION_CS_ID,0))</f>
        <v>#N/A</v>
      </c>
      <c r="T4" s="246" t="s">
        <v>478</v>
      </c>
      <c r="U4" s="237"/>
      <c r="V4" s="2451"/>
      <c r="W4" s="2451"/>
      <c r="X4" s="2451"/>
      <c r="Y4" s="2451"/>
      <c r="Z4" s="2451"/>
      <c r="AA4" s="2451"/>
      <c r="AB4" s="2451"/>
      <c r="AC4" s="2452"/>
      <c r="AD4" s="2450" t="e">
        <f>INDEX(PT_DIFFERENTIATION_CS,MATCH(C4,PT_DIFFERENTIATION_CS_ID,0))</f>
        <v>#N/A</v>
      </c>
      <c r="AE4" s="2451"/>
      <c r="AF4" s="2451"/>
      <c r="AG4" s="2451"/>
      <c r="AH4" s="2451"/>
      <c r="AI4" s="2451"/>
      <c r="AJ4" s="2451"/>
      <c r="AK4" s="2451"/>
      <c r="AL4" s="2451"/>
      <c r="AM4" s="2451"/>
      <c r="AN4" s="2451"/>
      <c r="AO4" s="2451"/>
      <c r="AP4" s="2451"/>
      <c r="AQ4" s="2451"/>
      <c r="AR4" s="2451"/>
      <c r="AS4" s="2451"/>
      <c r="AT4" s="2451"/>
      <c r="AU4" s="2451"/>
      <c r="AV4" s="2451"/>
      <c r="AW4" s="2451"/>
      <c r="AX4" s="2451"/>
      <c r="AY4" s="2451"/>
      <c r="AZ4" s="2451"/>
      <c r="BA4" s="2451"/>
      <c r="BB4" s="2452"/>
      <c r="BC4" s="1176" t="s">
        <v>479</v>
      </c>
      <c r="BE4" s="436"/>
      <c r="BF4" s="436" t="str">
        <f t="shared" si="0"/>
        <v>Наименование централизованной системы холодного водоснабжения</v>
      </c>
      <c r="BG4" s="436"/>
      <c r="BH4" s="436"/>
      <c r="BI4" s="1073">
        <v>0</v>
      </c>
    </row>
    <row r="5" spans="1:61" s="2034" customFormat="1" ht="14.25" hidden="1" customHeight="1">
      <c r="A5" s="1261"/>
      <c r="B5" s="1261"/>
      <c r="C5" s="1261"/>
      <c r="D5" s="1261"/>
      <c r="E5" s="2457"/>
      <c r="F5" s="2457"/>
      <c r="G5" s="2457"/>
      <c r="H5" s="2456">
        <v>1</v>
      </c>
      <c r="I5" s="1261"/>
      <c r="J5" s="1261"/>
      <c r="K5" s="1261"/>
      <c r="L5" s="1264"/>
      <c r="M5" s="1233"/>
      <c r="N5" s="1233"/>
      <c r="O5" s="1233"/>
      <c r="P5" s="1415"/>
      <c r="Q5" s="1416"/>
      <c r="R5" s="293"/>
      <c r="S5" s="965"/>
      <c r="T5" s="1417"/>
      <c r="U5" s="1302"/>
      <c r="V5" s="2488"/>
      <c r="W5" s="2488"/>
      <c r="X5" s="2488"/>
      <c r="Y5" s="2488"/>
      <c r="Z5" s="2488"/>
      <c r="AA5" s="2488"/>
      <c r="AB5" s="2488"/>
      <c r="AC5" s="2489"/>
      <c r="AD5" s="2487"/>
      <c r="AE5" s="2488"/>
      <c r="AF5" s="2488"/>
      <c r="AG5" s="2488"/>
      <c r="AH5" s="2488"/>
      <c r="AI5" s="2488"/>
      <c r="AJ5" s="2488"/>
      <c r="AK5" s="2488"/>
      <c r="AL5" s="2488"/>
      <c r="AM5" s="2488"/>
      <c r="AN5" s="2488"/>
      <c r="AO5" s="2488"/>
      <c r="AP5" s="2488"/>
      <c r="AQ5" s="2488"/>
      <c r="AR5" s="2488"/>
      <c r="AS5" s="2488"/>
      <c r="AT5" s="2488"/>
      <c r="AU5" s="2488"/>
      <c r="AV5" s="2488"/>
      <c r="AW5" s="2488"/>
      <c r="AX5" s="2488"/>
      <c r="AY5" s="2488"/>
      <c r="AZ5" s="2488"/>
      <c r="BA5" s="2488"/>
      <c r="BB5" s="2489"/>
      <c r="BC5" s="1303" t="s">
        <v>399</v>
      </c>
      <c r="BE5" s="436"/>
      <c r="BF5" s="436" t="str">
        <f t="shared" si="0"/>
        <v/>
      </c>
      <c r="BG5" s="436"/>
      <c r="BH5" s="436"/>
      <c r="BI5" s="447">
        <v>0</v>
      </c>
    </row>
    <row r="6" spans="1:61" s="2034" customFormat="1" ht="14.25" hidden="1" customHeight="1">
      <c r="A6" s="1261"/>
      <c r="B6" s="1261"/>
      <c r="C6" s="1261"/>
      <c r="D6" s="1261"/>
      <c r="E6" s="2457"/>
      <c r="F6" s="2457"/>
      <c r="G6" s="2457"/>
      <c r="H6" s="2457"/>
      <c r="I6" s="2458" t="str">
        <f>S5&amp;".1"</f>
        <v>.1</v>
      </c>
      <c r="J6" s="1261"/>
      <c r="K6" s="1261"/>
      <c r="L6" s="1264" t="s">
        <v>400</v>
      </c>
      <c r="M6" s="446"/>
      <c r="N6" s="446"/>
      <c r="O6" s="446"/>
      <c r="P6" s="2460">
        <v>1</v>
      </c>
      <c r="Q6" s="1380"/>
      <c r="R6" s="292"/>
      <c r="S6" s="965"/>
      <c r="T6" s="1301"/>
      <c r="U6" s="1302"/>
      <c r="V6" s="2488"/>
      <c r="W6" s="2488"/>
      <c r="X6" s="2488"/>
      <c r="Y6" s="2488"/>
      <c r="Z6" s="2488"/>
      <c r="AA6" s="2488"/>
      <c r="AB6" s="2488"/>
      <c r="AC6" s="2489"/>
      <c r="AD6" s="2487"/>
      <c r="AE6" s="2488"/>
      <c r="AF6" s="2488"/>
      <c r="AG6" s="2488"/>
      <c r="AH6" s="2488"/>
      <c r="AI6" s="2488"/>
      <c r="AJ6" s="2488"/>
      <c r="AK6" s="2488"/>
      <c r="AL6" s="2488"/>
      <c r="AM6" s="2488"/>
      <c r="AN6" s="2488"/>
      <c r="AO6" s="2488"/>
      <c r="AP6" s="2488"/>
      <c r="AQ6" s="2488"/>
      <c r="AR6" s="2488"/>
      <c r="AS6" s="2488"/>
      <c r="AT6" s="2488"/>
      <c r="AU6" s="2488"/>
      <c r="AV6" s="2488"/>
      <c r="AW6" s="2488"/>
      <c r="AX6" s="2488"/>
      <c r="AY6" s="2488"/>
      <c r="AZ6" s="2488"/>
      <c r="BA6" s="2488"/>
      <c r="BB6" s="2489"/>
      <c r="BC6" s="1303"/>
      <c r="BE6" s="436"/>
      <c r="BF6" s="436" t="str">
        <f t="shared" si="0"/>
        <v/>
      </c>
      <c r="BG6" s="436"/>
      <c r="BH6" s="436"/>
      <c r="BI6" s="447">
        <v>0</v>
      </c>
    </row>
    <row r="7" spans="1:61" s="2034" customFormat="1" ht="14.25" hidden="1" customHeight="1">
      <c r="A7" s="1261"/>
      <c r="B7" s="1261"/>
      <c r="C7" s="1261"/>
      <c r="D7" s="1261"/>
      <c r="E7" s="2457"/>
      <c r="F7" s="2457"/>
      <c r="G7" s="2457"/>
      <c r="H7" s="2457"/>
      <c r="I7" s="2459"/>
      <c r="J7" s="2458" t="str">
        <f>S5&amp;".1"</f>
        <v>.1</v>
      </c>
      <c r="K7" s="1261"/>
      <c r="L7" s="1264"/>
      <c r="M7" s="446"/>
      <c r="N7" s="446"/>
      <c r="O7" s="446"/>
      <c r="P7" s="2460"/>
      <c r="Q7" s="2460">
        <v>1</v>
      </c>
      <c r="R7" s="293"/>
      <c r="S7" s="965"/>
      <c r="T7" s="1317"/>
      <c r="U7" s="1302"/>
      <c r="V7" s="2488"/>
      <c r="W7" s="2488"/>
      <c r="X7" s="2488"/>
      <c r="Y7" s="2488"/>
      <c r="Z7" s="2488"/>
      <c r="AA7" s="2488"/>
      <c r="AB7" s="2488"/>
      <c r="AC7" s="2489"/>
      <c r="AD7" s="2487"/>
      <c r="AE7" s="2488"/>
      <c r="AF7" s="2488"/>
      <c r="AG7" s="2488"/>
      <c r="AH7" s="2488"/>
      <c r="AI7" s="2488"/>
      <c r="AJ7" s="2488"/>
      <c r="AK7" s="2488"/>
      <c r="AL7" s="2488"/>
      <c r="AM7" s="2488"/>
      <c r="AN7" s="2488"/>
      <c r="AO7" s="2488"/>
      <c r="AP7" s="2488"/>
      <c r="AQ7" s="2488"/>
      <c r="AR7" s="2488"/>
      <c r="AS7" s="2488"/>
      <c r="AT7" s="2488"/>
      <c r="AU7" s="2488"/>
      <c r="AV7" s="2488"/>
      <c r="AW7" s="2488"/>
      <c r="AX7" s="2488"/>
      <c r="AY7" s="2488"/>
      <c r="AZ7" s="2488"/>
      <c r="BA7" s="2488"/>
      <c r="BB7" s="2489"/>
      <c r="BC7" s="1303"/>
      <c r="BE7" s="436"/>
      <c r="BF7" s="436" t="str">
        <f t="shared" si="0"/>
        <v/>
      </c>
      <c r="BG7" s="436"/>
      <c r="BH7" s="436"/>
      <c r="BI7" s="447">
        <v>0</v>
      </c>
    </row>
    <row r="8" spans="1:61" ht="11.25" hidden="1" customHeight="1">
      <c r="A8" s="1281"/>
      <c r="B8" s="1281"/>
      <c r="C8" s="1281"/>
      <c r="D8" s="1281"/>
      <c r="E8" s="2457"/>
      <c r="F8" s="2457"/>
      <c r="G8" s="2457"/>
      <c r="H8" s="2457"/>
      <c r="I8" s="2459"/>
      <c r="J8" s="2459"/>
      <c r="K8" s="2458" t="e">
        <f>S4&amp;".1"</f>
        <v>#N/A</v>
      </c>
      <c r="L8" s="1282"/>
      <c r="P8" s="2460"/>
      <c r="Q8" s="2460"/>
      <c r="R8" s="2516">
        <v>1</v>
      </c>
      <c r="S8" s="2513" t="e">
        <f>$K8</f>
        <v>#N/A</v>
      </c>
      <c r="T8" s="2533"/>
      <c r="U8" s="237"/>
      <c r="V8" s="687"/>
      <c r="W8" s="1175"/>
      <c r="X8" s="687"/>
      <c r="Y8" s="1175"/>
      <c r="Z8" s="1651"/>
      <c r="AA8" s="1377" t="s">
        <v>67</v>
      </c>
      <c r="AB8" s="1651"/>
      <c r="AC8" s="1377" t="s">
        <v>67</v>
      </c>
      <c r="AD8" s="2400" t="s">
        <v>67</v>
      </c>
      <c r="AE8" s="2509"/>
      <c r="AF8" s="2413">
        <v>1</v>
      </c>
      <c r="AG8" s="2532"/>
      <c r="AH8" s="2338" t="s">
        <v>67</v>
      </c>
      <c r="AI8" s="2509"/>
      <c r="AJ8" s="2413">
        <v>1</v>
      </c>
      <c r="AK8" s="2523" t="s">
        <v>22</v>
      </c>
      <c r="AL8" s="2338" t="s">
        <v>67</v>
      </c>
      <c r="AM8" s="2388"/>
      <c r="AN8" s="2413">
        <v>1</v>
      </c>
      <c r="AO8" s="2536"/>
      <c r="AP8" s="2537" t="s">
        <v>67</v>
      </c>
      <c r="AQ8" s="248"/>
      <c r="AR8" s="1381">
        <v>1</v>
      </c>
      <c r="AS8" s="1384" t="s">
        <v>22</v>
      </c>
      <c r="AT8" s="687"/>
      <c r="AU8" s="1175"/>
      <c r="AV8" s="687"/>
      <c r="AW8" s="1175"/>
      <c r="AX8" s="1651"/>
      <c r="AY8" s="1377" t="s">
        <v>67</v>
      </c>
      <c r="AZ8" s="1651"/>
      <c r="BA8" s="1377" t="s">
        <v>67</v>
      </c>
      <c r="BB8" s="1266"/>
      <c r="BC8" s="2479" t="s">
        <v>498</v>
      </c>
      <c r="BE8" s="436"/>
      <c r="BF8" s="436" t="str">
        <f t="shared" si="0"/>
        <v/>
      </c>
      <c r="BG8" s="436"/>
      <c r="BH8" s="436"/>
      <c r="BI8" s="1073">
        <v>0</v>
      </c>
    </row>
    <row r="9" spans="1:61" ht="11.25" hidden="1" customHeight="1">
      <c r="A9" s="1281"/>
      <c r="B9" s="1281"/>
      <c r="C9" s="1281"/>
      <c r="D9" s="1281"/>
      <c r="E9" s="2457"/>
      <c r="F9" s="2457"/>
      <c r="G9" s="2457"/>
      <c r="H9" s="2457"/>
      <c r="I9" s="2459"/>
      <c r="J9" s="2459"/>
      <c r="K9" s="2458"/>
      <c r="L9" s="1282"/>
      <c r="P9" s="2460"/>
      <c r="Q9" s="2460"/>
      <c r="R9" s="2516"/>
      <c r="S9" s="2514"/>
      <c r="T9" s="2534"/>
      <c r="U9" s="237"/>
      <c r="V9" s="1311"/>
      <c r="W9" s="1414"/>
      <c r="X9" s="1311"/>
      <c r="Y9" s="1414"/>
      <c r="Z9" s="1311"/>
      <c r="AA9" s="1311"/>
      <c r="AB9" s="1311"/>
      <c r="AC9" s="1311"/>
      <c r="AD9" s="2401"/>
      <c r="AE9" s="2509"/>
      <c r="AF9" s="2413"/>
      <c r="AG9" s="2532"/>
      <c r="AH9" s="2338"/>
      <c r="AI9" s="2509"/>
      <c r="AJ9" s="2413"/>
      <c r="AK9" s="2523"/>
      <c r="AL9" s="2338"/>
      <c r="AM9" s="2393"/>
      <c r="AN9" s="2413"/>
      <c r="AO9" s="2536"/>
      <c r="AP9" s="2538"/>
      <c r="AQ9" s="253"/>
      <c r="AR9" s="352"/>
      <c r="AS9" s="352" t="s">
        <v>499</v>
      </c>
      <c r="AT9" s="1311"/>
      <c r="AU9" s="1414"/>
      <c r="AV9" s="1311"/>
      <c r="AW9" s="1414"/>
      <c r="AX9" s="1311"/>
      <c r="AY9" s="1311"/>
      <c r="AZ9" s="1311"/>
      <c r="BA9" s="1311"/>
      <c r="BB9" s="1315"/>
      <c r="BC9" s="2480"/>
      <c r="BE9" s="436"/>
      <c r="BF9" s="436"/>
      <c r="BG9" s="436"/>
      <c r="BH9" s="436"/>
      <c r="BI9" s="1073">
        <v>0</v>
      </c>
    </row>
    <row r="10" spans="1:61" ht="11.25" hidden="1" customHeight="1">
      <c r="A10" s="1281"/>
      <c r="B10" s="1281"/>
      <c r="C10" s="1281"/>
      <c r="D10" s="1281"/>
      <c r="E10" s="2457"/>
      <c r="F10" s="2457"/>
      <c r="G10" s="2457"/>
      <c r="H10" s="2457"/>
      <c r="I10" s="2459"/>
      <c r="J10" s="2459"/>
      <c r="K10" s="2458"/>
      <c r="L10" s="1282"/>
      <c r="P10" s="2460"/>
      <c r="Q10" s="2460"/>
      <c r="R10" s="2516"/>
      <c r="S10" s="2514"/>
      <c r="T10" s="2534"/>
      <c r="U10" s="237"/>
      <c r="V10" s="1311"/>
      <c r="W10" s="1414"/>
      <c r="X10" s="1311"/>
      <c r="Y10" s="1414"/>
      <c r="Z10" s="1311"/>
      <c r="AA10" s="1311"/>
      <c r="AB10" s="1311"/>
      <c r="AC10" s="1311"/>
      <c r="AD10" s="2401"/>
      <c r="AE10" s="2509"/>
      <c r="AF10" s="2413"/>
      <c r="AG10" s="2532"/>
      <c r="AH10" s="2338"/>
      <c r="AI10" s="2509"/>
      <c r="AJ10" s="2413"/>
      <c r="AK10" s="2523"/>
      <c r="AL10" s="2338"/>
      <c r="AM10" s="253"/>
      <c r="AN10" s="1418"/>
      <c r="AO10" s="1418" t="s">
        <v>500</v>
      </c>
      <c r="AP10" s="352"/>
      <c r="AQ10" s="352"/>
      <c r="AR10" s="352"/>
      <c r="AS10" s="1311"/>
      <c r="AT10" s="1311"/>
      <c r="AU10" s="1414"/>
      <c r="AV10" s="1311"/>
      <c r="AW10" s="1414"/>
      <c r="AX10" s="1311"/>
      <c r="AY10" s="1311"/>
      <c r="AZ10" s="1311"/>
      <c r="BA10" s="1311"/>
      <c r="BB10" s="1315"/>
      <c r="BC10" s="2480"/>
      <c r="BE10" s="436"/>
      <c r="BF10" s="436"/>
      <c r="BG10" s="436"/>
      <c r="BH10" s="436"/>
      <c r="BI10" s="1073">
        <v>0</v>
      </c>
    </row>
    <row r="11" spans="1:61" ht="11.25" hidden="1" customHeight="1">
      <c r="A11" s="1281"/>
      <c r="B11" s="1281"/>
      <c r="C11" s="1281"/>
      <c r="D11" s="1281"/>
      <c r="E11" s="2457"/>
      <c r="F11" s="2457"/>
      <c r="G11" s="2457"/>
      <c r="H11" s="2457"/>
      <c r="I11" s="2459"/>
      <c r="J11" s="2459"/>
      <c r="K11" s="2458"/>
      <c r="L11" s="1282"/>
      <c r="P11" s="2460"/>
      <c r="Q11" s="2460"/>
      <c r="R11" s="2516"/>
      <c r="S11" s="2514"/>
      <c r="T11" s="2534"/>
      <c r="U11" s="237"/>
      <c r="V11" s="1311"/>
      <c r="W11" s="1414"/>
      <c r="X11" s="1311"/>
      <c r="Y11" s="1414"/>
      <c r="Z11" s="1311"/>
      <c r="AA11" s="1311"/>
      <c r="AB11" s="1311"/>
      <c r="AC11" s="1311"/>
      <c r="AD11" s="2401"/>
      <c r="AE11" s="2509"/>
      <c r="AF11" s="2413"/>
      <c r="AG11" s="2532"/>
      <c r="AH11" s="2338"/>
      <c r="AI11" s="231"/>
      <c r="AJ11" s="351"/>
      <c r="AK11" s="250" t="s">
        <v>501</v>
      </c>
      <c r="AL11" s="1311"/>
      <c r="AM11" s="1311"/>
      <c r="AN11" s="1311"/>
      <c r="AO11" s="1311"/>
      <c r="AP11" s="1311"/>
      <c r="AQ11" s="1311"/>
      <c r="AR11" s="1311"/>
      <c r="AS11" s="1311"/>
      <c r="AT11" s="1311"/>
      <c r="AU11" s="1414"/>
      <c r="AV11" s="1311"/>
      <c r="AW11" s="1414"/>
      <c r="AX11" s="1311"/>
      <c r="AY11" s="1311"/>
      <c r="AZ11" s="1311"/>
      <c r="BA11" s="1311"/>
      <c r="BB11" s="1315"/>
      <c r="BC11" s="2480"/>
      <c r="BE11" s="436"/>
      <c r="BF11" s="436"/>
      <c r="BG11" s="436"/>
      <c r="BH11" s="436"/>
      <c r="BI11" s="1073">
        <v>0</v>
      </c>
    </row>
    <row r="12" spans="1:61" ht="11.25" hidden="1" customHeight="1">
      <c r="A12" s="1281"/>
      <c r="B12" s="1281"/>
      <c r="C12" s="1281"/>
      <c r="D12" s="1281"/>
      <c r="E12" s="2457"/>
      <c r="F12" s="2457"/>
      <c r="G12" s="2457"/>
      <c r="H12" s="2457"/>
      <c r="I12" s="2459"/>
      <c r="J12" s="2459"/>
      <c r="K12" s="2458"/>
      <c r="L12" s="1282"/>
      <c r="P12" s="2460"/>
      <c r="Q12" s="2460"/>
      <c r="R12" s="2516"/>
      <c r="S12" s="2515"/>
      <c r="T12" s="2535"/>
      <c r="U12" s="237"/>
      <c r="V12" s="1311"/>
      <c r="W12" s="1312" t="str">
        <f>Z8&amp;"-"&amp;AB8</f>
        <v>-</v>
      </c>
      <c r="X12" s="1311"/>
      <c r="Y12" s="1312" t="str">
        <f>AB8&amp;"-"&amp;AD8</f>
        <v>-да</v>
      </c>
      <c r="Z12" s="1311"/>
      <c r="AA12" s="1311"/>
      <c r="AB12" s="1311"/>
      <c r="AC12" s="1311"/>
      <c r="AD12" s="2343"/>
      <c r="AE12" s="249"/>
      <c r="AF12" s="251"/>
      <c r="AG12" s="352" t="s">
        <v>502</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0"/>
      <c r="BE12" s="436"/>
      <c r="BF12" s="436" t="str">
        <f t="shared" ref="BF12:BF18" si="1">IF(T12="","",T12)</f>
        <v/>
      </c>
      <c r="BG12" s="436"/>
      <c r="BH12" s="436"/>
      <c r="BI12" s="1073">
        <v>0</v>
      </c>
    </row>
    <row r="13" spans="1:61" ht="11.25" hidden="1" customHeight="1">
      <c r="A13" s="1281"/>
      <c r="B13" s="1281"/>
      <c r="C13" s="1281"/>
      <c r="D13" s="1281"/>
      <c r="E13" s="2457"/>
      <c r="F13" s="2457"/>
      <c r="G13" s="2457"/>
      <c r="H13" s="2457"/>
      <c r="I13" s="2459"/>
      <c r="J13" s="2458"/>
      <c r="K13" s="1281"/>
      <c r="L13" s="1282"/>
      <c r="P13" s="2460"/>
      <c r="Q13" s="2460"/>
      <c r="R13" s="292"/>
      <c r="S13" s="1196"/>
      <c r="T13" s="224" t="s">
        <v>465</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1"/>
      <c r="BE13" s="436"/>
      <c r="BF13" s="436" t="str">
        <f t="shared" si="1"/>
        <v>Добавить строку</v>
      </c>
      <c r="BG13" s="436"/>
      <c r="BH13" s="436"/>
      <c r="BI13" s="1073">
        <v>0</v>
      </c>
    </row>
    <row r="14" spans="1:61" s="2034" customFormat="1" ht="14.25" hidden="1" customHeight="1">
      <c r="A14" s="1261"/>
      <c r="B14" s="1261"/>
      <c r="C14" s="1261"/>
      <c r="D14" s="1261"/>
      <c r="E14" s="2457"/>
      <c r="F14" s="2457"/>
      <c r="G14" s="2457"/>
      <c r="H14" s="2457"/>
      <c r="I14" s="2458"/>
      <c r="J14" s="1261"/>
      <c r="K14" s="1261"/>
      <c r="L14" s="1264"/>
      <c r="M14" s="446"/>
      <c r="N14" s="446"/>
      <c r="O14" s="446"/>
      <c r="P14" s="2460"/>
      <c r="Q14" s="1380"/>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034" customFormat="1" ht="14.25" hidden="1" customHeight="1">
      <c r="A15" s="1261"/>
      <c r="B15" s="1261"/>
      <c r="C15" s="1261"/>
      <c r="D15" s="1261"/>
      <c r="E15" s="2457"/>
      <c r="F15" s="2457"/>
      <c r="G15" s="2457"/>
      <c r="H15" s="2456"/>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034" customFormat="1" ht="14.25" hidden="1" customHeight="1">
      <c r="A16" s="1261"/>
      <c r="B16" s="1261"/>
      <c r="C16" s="1261"/>
      <c r="D16" s="1232"/>
      <c r="E16" s="2457"/>
      <c r="F16" s="2457"/>
      <c r="G16" s="2456"/>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034" customFormat="1" ht="14.25" hidden="1" customHeight="1">
      <c r="A17" s="1261"/>
      <c r="B17" s="1261"/>
      <c r="C17" s="1232"/>
      <c r="D17" s="1232"/>
      <c r="E17" s="2457"/>
      <c r="F17" s="2456"/>
      <c r="G17" s="1232"/>
      <c r="H17" s="1232"/>
      <c r="I17" s="1232"/>
      <c r="J17" s="1232"/>
      <c r="K17" s="1232"/>
      <c r="L17" s="1382"/>
      <c r="M17" s="1239"/>
      <c r="N17" s="1239"/>
      <c r="P17" s="1234"/>
      <c r="Q17" s="1235"/>
      <c r="R17" s="1234"/>
      <c r="S17" s="1240"/>
      <c r="T17" s="1243" t="s">
        <v>412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034" customFormat="1" ht="14.25" hidden="1" customHeight="1">
      <c r="A18" s="1261"/>
      <c r="B18" s="1261"/>
      <c r="C18" s="1261"/>
      <c r="D18" s="1261"/>
      <c r="E18" s="2456"/>
      <c r="F18" s="1261"/>
      <c r="G18" s="1261"/>
      <c r="H18" s="1261"/>
      <c r="I18" s="1261"/>
      <c r="J18" s="1261"/>
      <c r="K18" s="1261"/>
      <c r="L18" s="1264"/>
      <c r="M18" s="1239"/>
      <c r="N18" s="1239"/>
      <c r="O18" s="454"/>
      <c r="P18" s="316"/>
      <c r="Q18" s="1262"/>
      <c r="R18" s="316"/>
      <c r="S18" s="1240"/>
      <c r="T18" s="1243" t="s">
        <v>413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67</v>
      </c>
      <c r="AZ20" s="1653"/>
      <c r="BA20" s="1378" t="s">
        <v>67</v>
      </c>
      <c r="BI20" s="1073">
        <v>0</v>
      </c>
    </row>
    <row r="21" spans="1:61" ht="14.25" hidden="1" customHeight="1">
      <c r="BD21" s="432"/>
      <c r="BE21" s="432"/>
      <c r="BF21" s="432"/>
      <c r="BG21" s="432"/>
      <c r="BH21" s="432"/>
      <c r="BI21" s="1073">
        <v>0</v>
      </c>
    </row>
    <row r="22" spans="1:61" ht="14.25" hidden="1" customHeight="1">
      <c r="O22" s="1285" t="s">
        <v>414</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030" customFormat="1" ht="14.25" hidden="1" customHeight="1">
      <c r="M24" s="1426"/>
      <c r="N24" s="1426"/>
      <c r="O24" s="1427" t="s">
        <v>415</v>
      </c>
      <c r="P24" s="1426"/>
      <c r="Q24" s="1428"/>
      <c r="R24" s="1428"/>
      <c r="AA24" s="1425" t="s">
        <v>417</v>
      </c>
      <c r="AC24" s="1425" t="s">
        <v>418</v>
      </c>
      <c r="AD24" s="1425" t="s">
        <v>466</v>
      </c>
      <c r="AH24" s="1425" t="s">
        <v>466</v>
      </c>
      <c r="AK24" s="1425" t="s">
        <v>503</v>
      </c>
      <c r="AL24" s="1425" t="s">
        <v>466</v>
      </c>
      <c r="AP24" s="1425" t="s">
        <v>466</v>
      </c>
      <c r="AY24" s="1425" t="s">
        <v>417</v>
      </c>
      <c r="BA24" s="1425" t="s">
        <v>418</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3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2437"/>
      <c r="AT28" s="2437"/>
      <c r="AU28" s="2437"/>
      <c r="AV28" s="2437"/>
      <c r="AW28" s="2437"/>
      <c r="AX28" s="2437"/>
      <c r="AY28" s="2437"/>
      <c r="AZ28" s="2437"/>
      <c r="BA28" s="1161"/>
      <c r="BI28" s="1073">
        <v>14</v>
      </c>
    </row>
    <row r="29" spans="1:61" ht="14.65" customHeight="1">
      <c r="Q29" s="228"/>
      <c r="R29" s="312"/>
      <c r="S29" s="2409" t="str">
        <f>IF(org=0,"Не определено",org)</f>
        <v>ПАО "ТГК-1" филиал "Невский"</v>
      </c>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409"/>
      <c r="AT29" s="2409"/>
      <c r="AU29" s="2409"/>
      <c r="AV29" s="2409"/>
      <c r="AW29" s="2409"/>
      <c r="AX29" s="2409"/>
      <c r="AY29" s="2409"/>
      <c r="AZ29" s="2409"/>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098" customFormat="1" ht="25.5" hidden="1" customHeight="1">
      <c r="A31" s="1286"/>
      <c r="B31" s="1286"/>
      <c r="C31" s="1286"/>
      <c r="D31" s="1286"/>
      <c r="E31" s="1286"/>
      <c r="F31" s="1286"/>
      <c r="G31" s="1286"/>
      <c r="H31" s="1286"/>
      <c r="I31" s="1286"/>
      <c r="J31" s="1286"/>
      <c r="K31" s="1286"/>
      <c r="L31" s="1287"/>
      <c r="M31" s="1286"/>
      <c r="N31" s="1286"/>
      <c r="O31" s="1286"/>
      <c r="P31" s="1286"/>
      <c r="Q31" s="1286"/>
      <c r="S31" s="2447" t="s">
        <v>43</v>
      </c>
      <c r="T31" s="2447"/>
      <c r="U31" s="1290"/>
      <c r="V31" s="2449" t="str">
        <f>IF(TITLE_NAME_OR_PR_CHANGE="",IF(TITLE_NAME_OR_PR="","",TITLE_NAME_OR_PR),TITLE_NAME_OR_PR_CHANGE)</f>
        <v/>
      </c>
      <c r="W31" s="2449"/>
      <c r="X31" s="2449"/>
      <c r="Y31" s="2449"/>
      <c r="Z31" s="2449"/>
      <c r="AA31" s="2449"/>
      <c r="AB31" s="2449"/>
      <c r="AC31" s="263"/>
      <c r="AD31" s="2449" t="str">
        <f>IF(TITLE_NAME_OR_PR_CHANGE="",IF(TITLE_NAME_OR_PR="","",TITLE_NAME_OR_PR),TITLE_NAME_OR_PR_CHANGE)</f>
        <v/>
      </c>
      <c r="AE31" s="2449"/>
      <c r="AF31" s="2449"/>
      <c r="AG31" s="2449"/>
      <c r="AH31" s="2449"/>
      <c r="AI31" s="2449"/>
      <c r="AJ31" s="2449"/>
      <c r="AK31" s="2449"/>
      <c r="AL31" s="2449"/>
      <c r="AM31" s="2449"/>
      <c r="AN31" s="2449"/>
      <c r="AO31" s="2449"/>
      <c r="AP31" s="2449"/>
      <c r="AQ31" s="2449"/>
      <c r="AR31" s="2449"/>
      <c r="AS31" s="2449"/>
      <c r="AT31" s="2449"/>
      <c r="AU31" s="2449"/>
      <c r="AV31" s="2449"/>
      <c r="AW31" s="2449"/>
      <c r="AX31" s="2449"/>
      <c r="AY31" s="2449"/>
      <c r="AZ31" s="2449"/>
      <c r="BA31" s="263"/>
      <c r="BB31" s="263"/>
      <c r="BC31" s="217"/>
      <c r="BD31" s="304"/>
      <c r="BE31" s="304"/>
      <c r="BF31" s="304"/>
      <c r="BG31" s="304"/>
      <c r="BH31" s="304"/>
      <c r="BI31" s="354">
        <v>0</v>
      </c>
    </row>
    <row r="32" spans="1:61" s="2098" customFormat="1" ht="18.75" hidden="1" customHeight="1">
      <c r="A32" s="1286"/>
      <c r="B32" s="1286"/>
      <c r="C32" s="1286"/>
      <c r="D32" s="1286"/>
      <c r="E32" s="1286"/>
      <c r="F32" s="1286"/>
      <c r="G32" s="1286"/>
      <c r="H32" s="1286"/>
      <c r="I32" s="1286"/>
      <c r="J32" s="1286"/>
      <c r="K32" s="1286"/>
      <c r="L32" s="1287"/>
      <c r="M32" s="1286"/>
      <c r="N32" s="1286"/>
      <c r="O32" s="1286"/>
      <c r="P32" s="1286"/>
      <c r="Q32" s="1286"/>
      <c r="S32" s="2447" t="s">
        <v>420</v>
      </c>
      <c r="T32" s="2447"/>
      <c r="U32" s="1290"/>
      <c r="V32" s="2448" t="str">
        <f>IF(TITLE_DATE_PR_CHANGE="",IF(TITLE_DATE_PR="","",TITLE_DATE_PR),TITLE_DATE_PR_CHANGE)</f>
        <v/>
      </c>
      <c r="W32" s="2448"/>
      <c r="X32" s="2448"/>
      <c r="Y32" s="2448"/>
      <c r="Z32" s="2448"/>
      <c r="AA32" s="2448"/>
      <c r="AB32" s="2448"/>
      <c r="AC32" s="263"/>
      <c r="AD32" s="2448" t="str">
        <f>IF(TITLE_DATE_PR_CHANGE="",IF(TITLE_DATE_PR="","",TITLE_DATE_PR),TITLE_DATE_PR_CHANGE)</f>
        <v/>
      </c>
      <c r="AE32" s="2448"/>
      <c r="AF32" s="2448"/>
      <c r="AG32" s="2448"/>
      <c r="AH32" s="2448"/>
      <c r="AI32" s="2448"/>
      <c r="AJ32" s="2448"/>
      <c r="AK32" s="2448"/>
      <c r="AL32" s="2448"/>
      <c r="AM32" s="2448"/>
      <c r="AN32" s="2448"/>
      <c r="AO32" s="2448"/>
      <c r="AP32" s="2448"/>
      <c r="AQ32" s="2448"/>
      <c r="AR32" s="2448"/>
      <c r="AS32" s="2448"/>
      <c r="AT32" s="2448"/>
      <c r="AU32" s="2448"/>
      <c r="AV32" s="2448"/>
      <c r="AW32" s="2448"/>
      <c r="AX32" s="2448"/>
      <c r="AY32" s="2448"/>
      <c r="AZ32" s="2448"/>
      <c r="BA32" s="263"/>
      <c r="BB32" s="263"/>
      <c r="BC32" s="217"/>
      <c r="BD32" s="304"/>
      <c r="BE32" s="304"/>
      <c r="BF32" s="304"/>
      <c r="BG32" s="304"/>
      <c r="BH32" s="304"/>
      <c r="BI32" s="354">
        <v>0</v>
      </c>
    </row>
    <row r="33" spans="1:61" s="2098" customFormat="1" ht="18.75" hidden="1" customHeight="1">
      <c r="A33" s="1286"/>
      <c r="B33" s="1286"/>
      <c r="C33" s="1286"/>
      <c r="D33" s="1286"/>
      <c r="E33" s="1286"/>
      <c r="F33" s="1286"/>
      <c r="G33" s="1286"/>
      <c r="H33" s="1286"/>
      <c r="I33" s="1286"/>
      <c r="J33" s="1286"/>
      <c r="K33" s="1286"/>
      <c r="L33" s="1287"/>
      <c r="M33" s="1286"/>
      <c r="N33" s="1286"/>
      <c r="O33" s="1286"/>
      <c r="P33" s="1286"/>
      <c r="Q33" s="1286"/>
      <c r="S33" s="2447" t="s">
        <v>421</v>
      </c>
      <c r="T33" s="2447"/>
      <c r="U33" s="1290"/>
      <c r="V33" s="2449" t="str">
        <f>IF(TITLE_NUMBER_PR_CHANGE="",IF(TITLE_NUMBER_PR="","",TITLE_NUMBER_PR),TITLE_NUMBER_PR_CHANGE)</f>
        <v/>
      </c>
      <c r="W33" s="2449"/>
      <c r="X33" s="2449"/>
      <c r="Y33" s="2449"/>
      <c r="Z33" s="2449"/>
      <c r="AA33" s="2449"/>
      <c r="AB33" s="2449"/>
      <c r="AC33" s="263"/>
      <c r="AD33" s="2449" t="str">
        <f>IF(TITLE_NUMBER_PR_CHANGE="",IF(TITLE_NUMBER_PR="","",TITLE_NUMBER_PR),TITLE_NUMBER_PR_CHANGE)</f>
        <v/>
      </c>
      <c r="AE33" s="2449"/>
      <c r="AF33" s="2449"/>
      <c r="AG33" s="2449"/>
      <c r="AH33" s="2449"/>
      <c r="AI33" s="2449"/>
      <c r="AJ33" s="2449"/>
      <c r="AK33" s="2449"/>
      <c r="AL33" s="2449"/>
      <c r="AM33" s="2449"/>
      <c r="AN33" s="2449"/>
      <c r="AO33" s="2449"/>
      <c r="AP33" s="2449"/>
      <c r="AQ33" s="2449"/>
      <c r="AR33" s="2449"/>
      <c r="AS33" s="2449"/>
      <c r="AT33" s="2449"/>
      <c r="AU33" s="2449"/>
      <c r="AV33" s="2449"/>
      <c r="AW33" s="2449"/>
      <c r="AX33" s="2449"/>
      <c r="AY33" s="2449"/>
      <c r="AZ33" s="2449"/>
      <c r="BA33" s="263"/>
      <c r="BB33" s="263"/>
      <c r="BC33" s="217"/>
      <c r="BD33" s="304"/>
      <c r="BE33" s="304"/>
      <c r="BF33" s="304"/>
      <c r="BG33" s="304"/>
      <c r="BH33" s="304"/>
      <c r="BI33" s="354">
        <v>0</v>
      </c>
    </row>
    <row r="34" spans="1:61" s="2098" customFormat="1" ht="18.75" hidden="1" customHeight="1">
      <c r="A34" s="1286"/>
      <c r="B34" s="1286"/>
      <c r="C34" s="1286"/>
      <c r="D34" s="1286"/>
      <c r="E34" s="1286"/>
      <c r="F34" s="1286"/>
      <c r="G34" s="1286"/>
      <c r="H34" s="1286"/>
      <c r="I34" s="1286"/>
      <c r="J34" s="1286"/>
      <c r="K34" s="1286"/>
      <c r="L34" s="1287"/>
      <c r="M34" s="1286"/>
      <c r="N34" s="1286"/>
      <c r="O34" s="1286"/>
      <c r="P34" s="1286"/>
      <c r="Q34" s="1286"/>
      <c r="S34" s="2447" t="s">
        <v>44</v>
      </c>
      <c r="T34" s="2447"/>
      <c r="U34" s="1290"/>
      <c r="V34" s="2449" t="str">
        <f>IF(TITLE_IST_PUB_CHANGE="",IF(TITLE_IST_PUB="","",TITLE_IST_PUB),TITLE_IST_PUB_CHANGE)</f>
        <v/>
      </c>
      <c r="W34" s="2449"/>
      <c r="X34" s="2449"/>
      <c r="Y34" s="2449"/>
      <c r="Z34" s="2449"/>
      <c r="AA34" s="2449"/>
      <c r="AB34" s="2449"/>
      <c r="AC34" s="263"/>
      <c r="AD34" s="2449" t="str">
        <f>IF(TITLE_IST_PUB_CHANGE="",IF(TITLE_IST_PUB="","",TITLE_IST_PUB),TITLE_IST_PUB_CHANGE)</f>
        <v/>
      </c>
      <c r="AE34" s="2449"/>
      <c r="AF34" s="2449"/>
      <c r="AG34" s="2449"/>
      <c r="AH34" s="2449"/>
      <c r="AI34" s="2449"/>
      <c r="AJ34" s="2449"/>
      <c r="AK34" s="2449"/>
      <c r="AL34" s="2449"/>
      <c r="AM34" s="2449"/>
      <c r="AN34" s="2449"/>
      <c r="AO34" s="2449"/>
      <c r="AP34" s="2449"/>
      <c r="AQ34" s="2449"/>
      <c r="AR34" s="2449"/>
      <c r="AS34" s="2449"/>
      <c r="AT34" s="2449"/>
      <c r="AU34" s="2449"/>
      <c r="AV34" s="2449"/>
      <c r="AW34" s="2449"/>
      <c r="AX34" s="2449"/>
      <c r="AY34" s="2449"/>
      <c r="AZ34" s="2449"/>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098" customFormat="1" ht="18.75" hidden="1" customHeight="1">
      <c r="A36" s="1286"/>
      <c r="B36" s="1286"/>
      <c r="C36" s="1286"/>
      <c r="D36" s="1286"/>
      <c r="E36" s="1286"/>
      <c r="F36" s="1286"/>
      <c r="G36" s="1286"/>
      <c r="H36" s="1286"/>
      <c r="I36" s="1286"/>
      <c r="J36" s="1286"/>
      <c r="K36" s="1286"/>
      <c r="L36" s="1287"/>
      <c r="M36" s="1286"/>
      <c r="N36" s="1286"/>
      <c r="O36" s="1286"/>
      <c r="P36" s="1286"/>
      <c r="Q36" s="1286"/>
      <c r="S36" s="2447" t="s">
        <v>420</v>
      </c>
      <c r="T36" s="2447"/>
      <c r="U36" s="1290"/>
      <c r="V36" s="2448" t="str">
        <f>IF(TITLE_DATE_PR_CHANGE="",IF(TITLE_DATE_PR="","",TITLE_DATE_PR),TITLE_DATE_PR_CHANGE)</f>
        <v/>
      </c>
      <c r="W36" s="2448"/>
      <c r="X36" s="2448"/>
      <c r="Y36" s="2448"/>
      <c r="Z36" s="2448"/>
      <c r="AA36" s="2448"/>
      <c r="AB36" s="2448"/>
      <c r="AC36" s="263"/>
      <c r="AD36" s="2448" t="str">
        <f>IF(TITLE_DATE_PR_CHANGE="",IF(TITLE_DATE_PR="","",TITLE_DATE_PR),TITLE_DATE_PR_CHANGE)</f>
        <v/>
      </c>
      <c r="AE36" s="2448"/>
      <c r="AF36" s="2448"/>
      <c r="AG36" s="2448"/>
      <c r="AH36" s="2448"/>
      <c r="AI36" s="2448"/>
      <c r="AJ36" s="2448"/>
      <c r="AK36" s="2448"/>
      <c r="AL36" s="2448"/>
      <c r="AM36" s="2448"/>
      <c r="AN36" s="2448"/>
      <c r="AO36" s="2448"/>
      <c r="AP36" s="2448"/>
      <c r="AQ36" s="2448"/>
      <c r="AR36" s="2448"/>
      <c r="AS36" s="2448"/>
      <c r="AT36" s="2448"/>
      <c r="AU36" s="2448"/>
      <c r="AV36" s="2448"/>
      <c r="AW36" s="2448"/>
      <c r="AX36" s="2448"/>
      <c r="AY36" s="2448"/>
      <c r="AZ36" s="2448"/>
      <c r="BA36" s="263"/>
      <c r="BB36" s="263"/>
      <c r="BC36" s="217"/>
      <c r="BD36" s="304"/>
      <c r="BE36" s="304"/>
      <c r="BF36" s="304"/>
      <c r="BG36" s="304"/>
      <c r="BH36" s="304"/>
      <c r="BI36" s="354">
        <v>0</v>
      </c>
    </row>
    <row r="37" spans="1:61" s="2098" customFormat="1" ht="18.75" hidden="1" customHeight="1">
      <c r="A37" s="1286"/>
      <c r="B37" s="1286"/>
      <c r="C37" s="1286"/>
      <c r="D37" s="1286"/>
      <c r="E37" s="1286"/>
      <c r="F37" s="1286"/>
      <c r="G37" s="1286"/>
      <c r="H37" s="1286"/>
      <c r="I37" s="1286"/>
      <c r="J37" s="1286"/>
      <c r="K37" s="1286"/>
      <c r="L37" s="1287"/>
      <c r="M37" s="1286"/>
      <c r="N37" s="1286"/>
      <c r="O37" s="1286"/>
      <c r="P37" s="1286"/>
      <c r="Q37" s="1286"/>
      <c r="S37" s="2447" t="s">
        <v>421</v>
      </c>
      <c r="T37" s="2447"/>
      <c r="U37" s="1290"/>
      <c r="V37" s="2449" t="str">
        <f>IF(TITLE_NUMBER_PR_CHANGE="",IF(TITLE_NUMBER_PR="","",TITLE_NUMBER_PR),TITLE_NUMBER_PR_CHANGE)</f>
        <v/>
      </c>
      <c r="W37" s="2449"/>
      <c r="X37" s="2449"/>
      <c r="Y37" s="2449"/>
      <c r="Z37" s="2449"/>
      <c r="AA37" s="2449"/>
      <c r="AB37" s="2449"/>
      <c r="AC37" s="263"/>
      <c r="AD37" s="2449" t="str">
        <f>IF(TITLE_NUMBER_PR_CHANGE="",IF(TITLE_NUMBER_PR="","",TITLE_NUMBER_PR),TITLE_NUMBER_PR_CHANGE)</f>
        <v/>
      </c>
      <c r="AE37" s="2449"/>
      <c r="AF37" s="2449"/>
      <c r="AG37" s="2449"/>
      <c r="AH37" s="2449"/>
      <c r="AI37" s="2449"/>
      <c r="AJ37" s="2449"/>
      <c r="AK37" s="2449"/>
      <c r="AL37" s="2449"/>
      <c r="AM37" s="2449"/>
      <c r="AN37" s="2449"/>
      <c r="AO37" s="2449"/>
      <c r="AP37" s="2449"/>
      <c r="AQ37" s="2449"/>
      <c r="AR37" s="2449"/>
      <c r="AS37" s="2449"/>
      <c r="AT37" s="2449"/>
      <c r="AU37" s="2449"/>
      <c r="AV37" s="2449"/>
      <c r="AW37" s="2449"/>
      <c r="AX37" s="2449"/>
      <c r="AY37" s="2449"/>
      <c r="AZ37" s="2449"/>
      <c r="BA37" s="263"/>
      <c r="BB37" s="263"/>
      <c r="BC37" s="217"/>
      <c r="BD37" s="304"/>
      <c r="BE37" s="304"/>
      <c r="BF37" s="304"/>
      <c r="BG37" s="304"/>
      <c r="BH37" s="304"/>
      <c r="BI37" s="354">
        <v>0</v>
      </c>
    </row>
    <row r="38" spans="1:61" s="2098"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193"/>
      <c r="T39" s="299"/>
      <c r="U39" s="1162"/>
      <c r="V39" s="2468"/>
      <c r="W39" s="2468"/>
      <c r="X39" s="2468"/>
      <c r="Y39" s="2468"/>
      <c r="Z39" s="2468"/>
      <c r="AA39" s="2468"/>
      <c r="AB39" s="2468"/>
      <c r="AC39" s="2468"/>
      <c r="AD39" s="2468"/>
      <c r="AE39" s="2468"/>
      <c r="AF39" s="2468"/>
      <c r="AG39" s="2468"/>
      <c r="AH39" s="2468"/>
      <c r="AI39" s="2468"/>
      <c r="AJ39" s="2468"/>
      <c r="AK39" s="2468"/>
      <c r="AL39" s="2468"/>
      <c r="AM39" s="2468"/>
      <c r="AN39" s="2468"/>
      <c r="AO39" s="2468"/>
      <c r="AP39" s="2468"/>
      <c r="AQ39" s="2468"/>
      <c r="AR39" s="2468"/>
      <c r="AS39" s="2468"/>
      <c r="AT39" s="2468"/>
      <c r="AU39" s="2468"/>
      <c r="AV39" s="2468"/>
      <c r="AW39" s="2468"/>
      <c r="AX39" s="2468"/>
      <c r="AY39" s="2468"/>
      <c r="AZ39" s="2468"/>
      <c r="BA39" s="2468"/>
      <c r="BI39" s="1073">
        <v>14</v>
      </c>
    </row>
    <row r="40" spans="1:61" ht="14.65" customHeight="1">
      <c r="Q40" s="228"/>
      <c r="R40" s="312"/>
      <c r="S40" s="2328" t="s">
        <v>297</v>
      </c>
      <c r="T40" s="2328"/>
      <c r="U40" s="2328"/>
      <c r="V40" s="2328"/>
      <c r="W40" s="2328"/>
      <c r="X40" s="2328"/>
      <c r="Y40" s="2328"/>
      <c r="Z40" s="2328"/>
      <c r="AA40" s="2328"/>
      <c r="AB40" s="2328"/>
      <c r="AC40" s="2328"/>
      <c r="AD40" s="2328"/>
      <c r="AE40" s="2328"/>
      <c r="AF40" s="2328"/>
      <c r="AG40" s="2328"/>
      <c r="AH40" s="2328"/>
      <c r="AI40" s="2328"/>
      <c r="AJ40" s="2328"/>
      <c r="AK40" s="2328"/>
      <c r="AL40" s="2328"/>
      <c r="AM40" s="2328"/>
      <c r="AN40" s="2328"/>
      <c r="AO40" s="2328"/>
      <c r="AP40" s="2328"/>
      <c r="AQ40" s="2328"/>
      <c r="AR40" s="2328"/>
      <c r="AS40" s="2328"/>
      <c r="AT40" s="2328"/>
      <c r="AU40" s="2328"/>
      <c r="AV40" s="2328"/>
      <c r="AW40" s="2328"/>
      <c r="AX40" s="2328"/>
      <c r="AY40" s="2328"/>
      <c r="AZ40" s="2328"/>
      <c r="BA40" s="2328"/>
      <c r="BB40" s="2328"/>
      <c r="BC40" s="2328" t="s">
        <v>298</v>
      </c>
      <c r="BI40" s="1073">
        <v>14</v>
      </c>
    </row>
    <row r="41" spans="1:61" ht="14.65" customHeight="1">
      <c r="Q41" s="228"/>
      <c r="R41" s="312"/>
      <c r="S41" s="2469" t="s">
        <v>90</v>
      </c>
      <c r="T41" s="2417" t="s">
        <v>504</v>
      </c>
      <c r="U41" s="238"/>
      <c r="V41" s="2470" t="s">
        <v>426</v>
      </c>
      <c r="W41" s="2471"/>
      <c r="X41" s="2471"/>
      <c r="Y41" s="2471"/>
      <c r="Z41" s="2471"/>
      <c r="AA41" s="2471"/>
      <c r="AB41" s="2472"/>
      <c r="AC41" s="2473" t="s">
        <v>427</v>
      </c>
      <c r="AD41" s="2502" t="s">
        <v>505</v>
      </c>
      <c r="AE41" s="2486"/>
      <c r="AF41" s="2486"/>
      <c r="AG41" s="2503"/>
      <c r="AH41" s="2502" t="s">
        <v>506</v>
      </c>
      <c r="AI41" s="2486"/>
      <c r="AJ41" s="2486"/>
      <c r="AK41" s="2503"/>
      <c r="AL41" s="2502" t="s">
        <v>507</v>
      </c>
      <c r="AM41" s="2486"/>
      <c r="AN41" s="2486"/>
      <c r="AO41" s="2503"/>
      <c r="AP41" s="2502" t="s">
        <v>508</v>
      </c>
      <c r="AQ41" s="2486"/>
      <c r="AR41" s="2486"/>
      <c r="AS41" s="2503"/>
      <c r="AT41" s="2470" t="s">
        <v>426</v>
      </c>
      <c r="AU41" s="2471"/>
      <c r="AV41" s="2471"/>
      <c r="AW41" s="2471"/>
      <c r="AX41" s="2471"/>
      <c r="AY41" s="2471"/>
      <c r="AZ41" s="2472"/>
      <c r="BA41" s="2473" t="s">
        <v>427</v>
      </c>
      <c r="BB41" s="2476" t="s">
        <v>429</v>
      </c>
      <c r="BC41" s="2328"/>
      <c r="BI41" s="1073">
        <v>14</v>
      </c>
    </row>
    <row r="42" spans="1:61" ht="35.65" customHeight="1">
      <c r="Q42" s="228"/>
      <c r="R42" s="312"/>
      <c r="S42" s="2469"/>
      <c r="T42" s="2417"/>
      <c r="U42" s="954"/>
      <c r="V42" s="2388" t="s">
        <v>509</v>
      </c>
      <c r="W42" s="2389"/>
      <c r="X42" s="2388" t="s">
        <v>510</v>
      </c>
      <c r="Y42" s="2389"/>
      <c r="Z42" s="2388" t="s">
        <v>511</v>
      </c>
      <c r="AA42" s="2498"/>
      <c r="AB42" s="2389"/>
      <c r="AC42" s="2474"/>
      <c r="AD42" s="2504"/>
      <c r="AE42" s="2505"/>
      <c r="AF42" s="2505"/>
      <c r="AG42" s="2517"/>
      <c r="AH42" s="2504"/>
      <c r="AI42" s="2505"/>
      <c r="AJ42" s="2505"/>
      <c r="AK42" s="2517"/>
      <c r="AL42" s="2504"/>
      <c r="AM42" s="2505"/>
      <c r="AN42" s="2505"/>
      <c r="AO42" s="2517"/>
      <c r="AP42" s="2504"/>
      <c r="AQ42" s="2505"/>
      <c r="AR42" s="2505"/>
      <c r="AS42" s="2517"/>
      <c r="AT42" s="2388" t="s">
        <v>509</v>
      </c>
      <c r="AU42" s="2389"/>
      <c r="AV42" s="2388" t="s">
        <v>510</v>
      </c>
      <c r="AW42" s="2389"/>
      <c r="AX42" s="2388" t="s">
        <v>511</v>
      </c>
      <c r="AY42" s="2498"/>
      <c r="AZ42" s="2389"/>
      <c r="BA42" s="2474"/>
      <c r="BB42" s="2477"/>
      <c r="BC42" s="2328"/>
      <c r="BI42" s="1073">
        <v>34</v>
      </c>
    </row>
    <row r="43" spans="1:61" ht="14.65" customHeight="1">
      <c r="Q43" s="228"/>
      <c r="R43" s="312"/>
      <c r="S43" s="2469"/>
      <c r="T43" s="2417"/>
      <c r="U43" s="954"/>
      <c r="V43" s="2393"/>
      <c r="W43" s="2394"/>
      <c r="X43" s="2393"/>
      <c r="Y43" s="2394"/>
      <c r="Z43" s="2393"/>
      <c r="AA43" s="2499"/>
      <c r="AB43" s="2394"/>
      <c r="AC43" s="2474"/>
      <c r="AD43" s="2504"/>
      <c r="AE43" s="2505"/>
      <c r="AF43" s="2505"/>
      <c r="AG43" s="2517"/>
      <c r="AH43" s="2504"/>
      <c r="AI43" s="2505"/>
      <c r="AJ43" s="2505"/>
      <c r="AK43" s="2517"/>
      <c r="AL43" s="2504"/>
      <c r="AM43" s="2505"/>
      <c r="AN43" s="2505"/>
      <c r="AO43" s="2517"/>
      <c r="AP43" s="2504"/>
      <c r="AQ43" s="2505"/>
      <c r="AR43" s="2505"/>
      <c r="AS43" s="2517"/>
      <c r="AT43" s="2393"/>
      <c r="AU43" s="2394"/>
      <c r="AV43" s="2393"/>
      <c r="AW43" s="2394"/>
      <c r="AX43" s="2393"/>
      <c r="AY43" s="2499"/>
      <c r="AZ43" s="2394"/>
      <c r="BA43" s="2474"/>
      <c r="BB43" s="2477"/>
      <c r="BC43" s="2328"/>
      <c r="BI43" s="1073">
        <v>14</v>
      </c>
    </row>
    <row r="44" spans="1:61" ht="14.65" customHeight="1">
      <c r="A44" s="1288"/>
      <c r="B44" s="1288" t="s">
        <v>134</v>
      </c>
      <c r="C44" s="1288" t="s">
        <v>135</v>
      </c>
      <c r="D44" s="1288" t="s">
        <v>136</v>
      </c>
      <c r="E44" s="1282" t="s">
        <v>434</v>
      </c>
      <c r="F44" s="1282" t="s">
        <v>435</v>
      </c>
      <c r="G44" s="1282" t="s">
        <v>436</v>
      </c>
      <c r="H44" s="1282" t="s">
        <v>437</v>
      </c>
      <c r="I44" s="1282" t="s">
        <v>438</v>
      </c>
      <c r="J44" s="1282" t="s">
        <v>439</v>
      </c>
      <c r="K44" s="1282" t="s">
        <v>440</v>
      </c>
      <c r="L44" s="1282" t="s">
        <v>415</v>
      </c>
      <c r="Q44" s="228"/>
      <c r="R44" s="312"/>
      <c r="S44" s="2469"/>
      <c r="T44" s="2417"/>
      <c r="U44" s="239"/>
      <c r="V44" s="1366" t="s">
        <v>475</v>
      </c>
      <c r="W44" s="1366" t="s">
        <v>476</v>
      </c>
      <c r="X44" s="1366" t="s">
        <v>475</v>
      </c>
      <c r="Y44" s="1366" t="s">
        <v>476</v>
      </c>
      <c r="Z44" s="1373" t="s">
        <v>443</v>
      </c>
      <c r="AA44" s="2422" t="s">
        <v>444</v>
      </c>
      <c r="AB44" s="2436"/>
      <c r="AC44" s="2475"/>
      <c r="AD44" s="2506"/>
      <c r="AE44" s="2507"/>
      <c r="AF44" s="2507"/>
      <c r="AG44" s="2508"/>
      <c r="AH44" s="2506"/>
      <c r="AI44" s="2507"/>
      <c r="AJ44" s="2507"/>
      <c r="AK44" s="2508"/>
      <c r="AL44" s="2506"/>
      <c r="AM44" s="2507"/>
      <c r="AN44" s="2507"/>
      <c r="AO44" s="2508"/>
      <c r="AP44" s="2506"/>
      <c r="AQ44" s="2507"/>
      <c r="AR44" s="2507"/>
      <c r="AS44" s="2508"/>
      <c r="AT44" s="1366" t="s">
        <v>475</v>
      </c>
      <c r="AU44" s="1366" t="s">
        <v>476</v>
      </c>
      <c r="AV44" s="1366" t="s">
        <v>475</v>
      </c>
      <c r="AW44" s="1366" t="s">
        <v>476</v>
      </c>
      <c r="AX44" s="1373" t="s">
        <v>443</v>
      </c>
      <c r="AY44" s="2422" t="s">
        <v>444</v>
      </c>
      <c r="AZ44" s="2436"/>
      <c r="BA44" s="2475"/>
      <c r="BB44" s="2478"/>
      <c r="BC44" s="2328"/>
      <c r="BI44" s="1073">
        <v>14</v>
      </c>
    </row>
    <row r="45" spans="1:61" s="2028"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108</v>
      </c>
      <c r="T45" s="1173" t="s">
        <v>109</v>
      </c>
      <c r="U45" s="1163" t="str">
        <f ca="1">OFFSET(U45,0,-1)</f>
        <v>2</v>
      </c>
      <c r="V45" s="1369">
        <f t="shared" ref="V45:AA45" ca="1" si="2">OFFSET(V45,0,-1)+1</f>
        <v>3</v>
      </c>
      <c r="W45" s="1369">
        <f t="shared" ca="1" si="2"/>
        <v>4</v>
      </c>
      <c r="X45" s="1369">
        <f t="shared" ca="1" si="2"/>
        <v>5</v>
      </c>
      <c r="Y45" s="1369">
        <f t="shared" ca="1" si="2"/>
        <v>6</v>
      </c>
      <c r="Z45" s="1369">
        <f t="shared" ca="1" si="2"/>
        <v>7</v>
      </c>
      <c r="AA45" s="2467">
        <f t="shared" ca="1" si="2"/>
        <v>8</v>
      </c>
      <c r="AB45" s="2467"/>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467">
        <f ca="1">OFFSET(AY45,0,-1)+1</f>
        <v>3</v>
      </c>
      <c r="AZ45" s="2467"/>
      <c r="BA45" s="1369">
        <f ca="1">OFFSET(BA45,0,-2)+1</f>
        <v>4</v>
      </c>
      <c r="BB45" s="1163">
        <f ca="1">OFFSET(BB45,0,-1)</f>
        <v>4</v>
      </c>
      <c r="BC45" s="1369">
        <f ca="1">OFFSET(BC45,0,-1)+1</f>
        <v>5</v>
      </c>
      <c r="BD45" s="447"/>
      <c r="BE45" s="447"/>
      <c r="BF45" s="447"/>
      <c r="BG45" s="447"/>
      <c r="BH45" s="447"/>
      <c r="BI45" s="432">
        <v>0</v>
      </c>
    </row>
    <row r="46" spans="1:61" ht="21.95" customHeight="1">
      <c r="A46" s="1281" t="s">
        <v>243</v>
      </c>
      <c r="B46" s="1281"/>
      <c r="C46" s="1281"/>
      <c r="D46" s="1281"/>
      <c r="E46" s="2456">
        <v>1</v>
      </c>
      <c r="F46" s="1281"/>
      <c r="G46" s="1281"/>
      <c r="H46" s="1281"/>
      <c r="I46" s="1281"/>
      <c r="J46" s="1281"/>
      <c r="K46" s="1281"/>
      <c r="L46" s="1282"/>
      <c r="M46" s="1283"/>
      <c r="N46" s="1283"/>
      <c r="O46" s="1283"/>
      <c r="P46" s="1327"/>
      <c r="Q46" s="799"/>
      <c r="R46" s="291"/>
      <c r="S46" s="1375">
        <f>INDEX(PT_DIFFERENTIATION_NUM_NTAR,MATCH(A46,PT_DIFFERENTIATION_NTAR_ID,0))</f>
        <v>0</v>
      </c>
      <c r="T46" s="235" t="s">
        <v>122</v>
      </c>
      <c r="U46" s="237"/>
      <c r="V46" s="2451"/>
      <c r="W46" s="2451"/>
      <c r="X46" s="2451"/>
      <c r="Y46" s="2451"/>
      <c r="Z46" s="2451"/>
      <c r="AA46" s="2451"/>
      <c r="AB46" s="2451"/>
      <c r="AC46" s="2452"/>
      <c r="AD46" s="2450" t="str">
        <f>INDEX(PT_DIFFERENTIATION_NTAR,MATCH(A46,PT_DIFFERENTIATION_NTAR_ID,0))</f>
        <v/>
      </c>
      <c r="AE46" s="2451"/>
      <c r="AF46" s="2451"/>
      <c r="AG46" s="2451"/>
      <c r="AH46" s="2451"/>
      <c r="AI46" s="2451"/>
      <c r="AJ46" s="2451"/>
      <c r="AK46" s="2451"/>
      <c r="AL46" s="2451"/>
      <c r="AM46" s="2451"/>
      <c r="AN46" s="2451"/>
      <c r="AO46" s="2451"/>
      <c r="AP46" s="2451"/>
      <c r="AQ46" s="2451"/>
      <c r="AR46" s="2451"/>
      <c r="AS46" s="2451"/>
      <c r="AT46" s="2451"/>
      <c r="AU46" s="2451"/>
      <c r="AV46" s="2451"/>
      <c r="AW46" s="2451"/>
      <c r="AX46" s="2451"/>
      <c r="AY46" s="2451"/>
      <c r="AZ46" s="2451"/>
      <c r="BA46" s="2451"/>
      <c r="BB46" s="245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243</v>
      </c>
      <c r="B47" s="1281" t="s">
        <v>244</v>
      </c>
      <c r="C47" s="1281"/>
      <c r="D47" s="1281"/>
      <c r="E47" s="2457"/>
      <c r="F47" s="2456">
        <v>1</v>
      </c>
      <c r="G47" s="1281"/>
      <c r="H47" s="1281"/>
      <c r="I47" s="1281"/>
      <c r="J47" s="1281"/>
      <c r="K47" s="1281"/>
      <c r="L47" s="1282"/>
      <c r="M47" s="1283"/>
      <c r="N47" s="1283"/>
      <c r="O47" s="1283"/>
      <c r="P47" s="1328"/>
      <c r="Q47" s="1329"/>
      <c r="R47" s="289"/>
      <c r="S47" s="1375" t="str">
        <f>INDEX(PT_DIFFERENTIATION_NUM_TER,MATCH(B47,PT_DIFFERENTIATION_TER_ID,0))</f>
        <v>.</v>
      </c>
      <c r="T47" s="245" t="s">
        <v>394</v>
      </c>
      <c r="U47" s="237"/>
      <c r="V47" s="2451"/>
      <c r="W47" s="2451"/>
      <c r="X47" s="2451"/>
      <c r="Y47" s="2451"/>
      <c r="Z47" s="2451"/>
      <c r="AA47" s="2451"/>
      <c r="AB47" s="2451"/>
      <c r="AC47" s="2452"/>
      <c r="AD47" s="2450" t="str">
        <f>INDEX(PT_DIFFERENTIATION_TER,MATCH(B47,PT_DIFFERENTIATION_TER_ID,0))</f>
        <v/>
      </c>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c r="BA47" s="2451"/>
      <c r="BB47" s="2452"/>
      <c r="BC47" s="1176" t="s">
        <v>395</v>
      </c>
      <c r="BE47" s="436"/>
      <c r="BF47" s="436" t="str">
        <f t="shared" si="3"/>
        <v>Территория действия тарифа</v>
      </c>
      <c r="BG47" s="436"/>
      <c r="BH47" s="436"/>
      <c r="BI47" s="1073">
        <v>21</v>
      </c>
    </row>
    <row r="48" spans="1:61" ht="43.15" customHeight="1">
      <c r="A48" s="1281" t="s">
        <v>243</v>
      </c>
      <c r="B48" s="1281" t="s">
        <v>244</v>
      </c>
      <c r="C48" s="1281" t="s">
        <v>245</v>
      </c>
      <c r="D48" s="1281"/>
      <c r="E48" s="2457"/>
      <c r="F48" s="2457"/>
      <c r="G48" s="2456">
        <v>1</v>
      </c>
      <c r="H48" s="1281"/>
      <c r="I48" s="1281"/>
      <c r="J48" s="1281"/>
      <c r="K48" s="1281"/>
      <c r="L48" s="1282"/>
      <c r="M48" s="1283"/>
      <c r="N48" s="1283"/>
      <c r="O48" s="1283"/>
      <c r="P48" s="1330"/>
      <c r="Q48" s="1329"/>
      <c r="R48" s="289"/>
      <c r="S48" s="1375" t="str">
        <f>INDEX(PT_DIFFERENTIATION_NUM_CS,MATCH(C48,PT_DIFFERENTIATION_CS_ID,0))</f>
        <v>..</v>
      </c>
      <c r="T48" s="246" t="s">
        <v>478</v>
      </c>
      <c r="U48" s="237"/>
      <c r="V48" s="2451"/>
      <c r="W48" s="2451"/>
      <c r="X48" s="2451"/>
      <c r="Y48" s="2451"/>
      <c r="Z48" s="2451"/>
      <c r="AA48" s="2451"/>
      <c r="AB48" s="2451"/>
      <c r="AC48" s="2452"/>
      <c r="AD48" s="2450" t="str">
        <f>INDEX(PT_DIFFERENTIATION_CS,MATCH(C48,PT_DIFFERENTIATION_CS_ID,0))</f>
        <v/>
      </c>
      <c r="AE48" s="2451"/>
      <c r="AF48" s="2451"/>
      <c r="AG48" s="2451"/>
      <c r="AH48" s="2451"/>
      <c r="AI48" s="2451"/>
      <c r="AJ48" s="2451"/>
      <c r="AK48" s="2451"/>
      <c r="AL48" s="2451"/>
      <c r="AM48" s="2451"/>
      <c r="AN48" s="2451"/>
      <c r="AO48" s="2451"/>
      <c r="AP48" s="2451"/>
      <c r="AQ48" s="2451"/>
      <c r="AR48" s="2451"/>
      <c r="AS48" s="2451"/>
      <c r="AT48" s="2451"/>
      <c r="AU48" s="2451"/>
      <c r="AV48" s="2451"/>
      <c r="AW48" s="2451"/>
      <c r="AX48" s="2451"/>
      <c r="AY48" s="2451"/>
      <c r="AZ48" s="2451"/>
      <c r="BA48" s="2451"/>
      <c r="BB48" s="2452"/>
      <c r="BC48" s="1176" t="s">
        <v>479</v>
      </c>
      <c r="BE48" s="436"/>
      <c r="BF48" s="436" t="str">
        <f t="shared" si="3"/>
        <v>Наименование централизованной системы холодного водоснабжения</v>
      </c>
      <c r="BG48" s="436"/>
      <c r="BH48" s="436"/>
      <c r="BI48" s="1073">
        <v>41</v>
      </c>
    </row>
    <row r="49" spans="1:61" s="2034" customFormat="1" ht="0" hidden="1" customHeight="1">
      <c r="A49" s="1261" t="s">
        <v>243</v>
      </c>
      <c r="B49" s="1261" t="s">
        <v>244</v>
      </c>
      <c r="C49" s="1261" t="s">
        <v>245</v>
      </c>
      <c r="D49" s="1261" t="s">
        <v>512</v>
      </c>
      <c r="E49" s="2457"/>
      <c r="F49" s="2457"/>
      <c r="G49" s="2457"/>
      <c r="H49" s="2456">
        <v>1</v>
      </c>
      <c r="I49" s="1261"/>
      <c r="J49" s="1261"/>
      <c r="K49" s="1261"/>
      <c r="L49" s="1264"/>
      <c r="M49" s="1233"/>
      <c r="N49" s="1233"/>
      <c r="O49" s="1233"/>
      <c r="P49" s="1415"/>
      <c r="Q49" s="1416"/>
      <c r="R49" s="293"/>
      <c r="S49" s="965"/>
      <c r="T49" s="1417"/>
      <c r="U49" s="1302"/>
      <c r="V49" s="2488"/>
      <c r="W49" s="2488"/>
      <c r="X49" s="2488"/>
      <c r="Y49" s="2488"/>
      <c r="Z49" s="2488"/>
      <c r="AA49" s="2488"/>
      <c r="AB49" s="2488"/>
      <c r="AC49" s="2489"/>
      <c r="AD49" s="2487"/>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9"/>
      <c r="BC49" s="1303" t="s">
        <v>399</v>
      </c>
      <c r="BE49" s="436"/>
      <c r="BF49" s="436" t="str">
        <f t="shared" si="3"/>
        <v/>
      </c>
      <c r="BG49" s="436"/>
      <c r="BH49" s="436"/>
      <c r="BI49" s="447">
        <v>0</v>
      </c>
    </row>
    <row r="50" spans="1:61" s="2034" customFormat="1" ht="0" hidden="1" customHeight="1">
      <c r="A50" s="1261" t="s">
        <v>243</v>
      </c>
      <c r="B50" s="1261" t="s">
        <v>244</v>
      </c>
      <c r="C50" s="1261" t="s">
        <v>245</v>
      </c>
      <c r="D50" s="1261" t="s">
        <v>512</v>
      </c>
      <c r="E50" s="2457"/>
      <c r="F50" s="2457"/>
      <c r="G50" s="2457"/>
      <c r="H50" s="2457"/>
      <c r="I50" s="2458" t="str">
        <f>S49&amp;".1"</f>
        <v>.1</v>
      </c>
      <c r="J50" s="1261"/>
      <c r="K50" s="1261"/>
      <c r="L50" s="1264" t="s">
        <v>400</v>
      </c>
      <c r="M50" s="446"/>
      <c r="N50" s="446"/>
      <c r="O50" s="446"/>
      <c r="P50" s="2460">
        <v>1</v>
      </c>
      <c r="Q50" s="1380"/>
      <c r="R50" s="292"/>
      <c r="S50" s="965"/>
      <c r="T50" s="1301"/>
      <c r="U50" s="1302"/>
      <c r="V50" s="2488"/>
      <c r="W50" s="2488"/>
      <c r="X50" s="2488"/>
      <c r="Y50" s="2488"/>
      <c r="Z50" s="2488"/>
      <c r="AA50" s="2488"/>
      <c r="AB50" s="2488"/>
      <c r="AC50" s="2489"/>
      <c r="AD50" s="2487"/>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9"/>
      <c r="BC50" s="1303"/>
      <c r="BE50" s="436"/>
      <c r="BF50" s="436" t="str">
        <f t="shared" si="3"/>
        <v/>
      </c>
      <c r="BG50" s="436"/>
      <c r="BH50" s="436"/>
      <c r="BI50" s="447">
        <v>0</v>
      </c>
    </row>
    <row r="51" spans="1:61" s="2034" customFormat="1" ht="0" hidden="1" customHeight="1">
      <c r="A51" s="1261" t="s">
        <v>243</v>
      </c>
      <c r="B51" s="1261" t="s">
        <v>244</v>
      </c>
      <c r="C51" s="1261" t="s">
        <v>245</v>
      </c>
      <c r="D51" s="1261" t="s">
        <v>512</v>
      </c>
      <c r="E51" s="2457"/>
      <c r="F51" s="2457"/>
      <c r="G51" s="2457"/>
      <c r="H51" s="2457"/>
      <c r="I51" s="2459"/>
      <c r="J51" s="2458" t="str">
        <f>S49&amp;".1"</f>
        <v>.1</v>
      </c>
      <c r="K51" s="1261"/>
      <c r="L51" s="1264"/>
      <c r="M51" s="446"/>
      <c r="N51" s="446"/>
      <c r="O51" s="446"/>
      <c r="P51" s="2460"/>
      <c r="Q51" s="2460">
        <v>1</v>
      </c>
      <c r="R51" s="293"/>
      <c r="S51" s="965"/>
      <c r="T51" s="1317"/>
      <c r="U51" s="1302"/>
      <c r="V51" s="2488"/>
      <c r="W51" s="2488"/>
      <c r="X51" s="2488"/>
      <c r="Y51" s="2488"/>
      <c r="Z51" s="2488"/>
      <c r="AA51" s="2488"/>
      <c r="AB51" s="2488"/>
      <c r="AC51" s="2489"/>
      <c r="AD51" s="2487"/>
      <c r="AE51" s="2488"/>
      <c r="AF51" s="2488"/>
      <c r="AG51" s="2488"/>
      <c r="AH51" s="2488"/>
      <c r="AI51" s="2488"/>
      <c r="AJ51" s="2488"/>
      <c r="AK51" s="2488"/>
      <c r="AL51" s="2488"/>
      <c r="AM51" s="2488"/>
      <c r="AN51" s="2539"/>
      <c r="AO51" s="2539"/>
      <c r="AP51" s="2488"/>
      <c r="AQ51" s="2488"/>
      <c r="AR51" s="2488"/>
      <c r="AS51" s="2488"/>
      <c r="AT51" s="2488"/>
      <c r="AU51" s="2488"/>
      <c r="AV51" s="2488"/>
      <c r="AW51" s="2488"/>
      <c r="AX51" s="2488"/>
      <c r="AY51" s="2488"/>
      <c r="AZ51" s="2488"/>
      <c r="BA51" s="2488"/>
      <c r="BB51" s="2489"/>
      <c r="BC51" s="1303"/>
      <c r="BE51" s="436"/>
      <c r="BF51" s="436" t="str">
        <f t="shared" si="3"/>
        <v/>
      </c>
      <c r="BG51" s="436"/>
      <c r="BH51" s="436"/>
      <c r="BI51" s="447">
        <v>0</v>
      </c>
    </row>
    <row r="52" spans="1:61" ht="11.45" customHeight="1">
      <c r="A52" s="1281" t="s">
        <v>243</v>
      </c>
      <c r="B52" s="1281" t="s">
        <v>244</v>
      </c>
      <c r="C52" s="1281" t="s">
        <v>245</v>
      </c>
      <c r="D52" s="1281" t="s">
        <v>512</v>
      </c>
      <c r="E52" s="2457"/>
      <c r="F52" s="2457"/>
      <c r="G52" s="2457"/>
      <c r="H52" s="2457"/>
      <c r="I52" s="2459"/>
      <c r="J52" s="2459"/>
      <c r="K52" s="2458" t="str">
        <f>S48&amp;".1"</f>
        <v>...1</v>
      </c>
      <c r="L52" s="1282"/>
      <c r="P52" s="2460"/>
      <c r="Q52" s="2460"/>
      <c r="R52" s="293">
        <v>1</v>
      </c>
      <c r="S52" s="2513" t="str">
        <f>$K52</f>
        <v>...1</v>
      </c>
      <c r="T52" s="2533"/>
      <c r="U52" s="237"/>
      <c r="V52" s="687"/>
      <c r="W52" s="1175"/>
      <c r="X52" s="687"/>
      <c r="Y52" s="1175"/>
      <c r="Z52" s="1651"/>
      <c r="AA52" s="1377" t="s">
        <v>67</v>
      </c>
      <c r="AB52" s="1651"/>
      <c r="AC52" s="1377" t="s">
        <v>67</v>
      </c>
      <c r="AD52" s="2400" t="s">
        <v>67</v>
      </c>
      <c r="AE52" s="2509"/>
      <c r="AF52" s="2413">
        <v>1</v>
      </c>
      <c r="AG52" s="2532"/>
      <c r="AH52" s="2338" t="s">
        <v>67</v>
      </c>
      <c r="AI52" s="2509"/>
      <c r="AJ52" s="2413">
        <v>1</v>
      </c>
      <c r="AK52" s="2523" t="s">
        <v>22</v>
      </c>
      <c r="AL52" s="2338" t="s">
        <v>67</v>
      </c>
      <c r="AM52" s="2388"/>
      <c r="AN52" s="2413">
        <v>1</v>
      </c>
      <c r="AO52" s="2536"/>
      <c r="AP52" s="2537" t="s">
        <v>67</v>
      </c>
      <c r="AQ52" s="248"/>
      <c r="AR52" s="1381">
        <v>1</v>
      </c>
      <c r="AS52" s="1384" t="s">
        <v>22</v>
      </c>
      <c r="AT52" s="687"/>
      <c r="AU52" s="1175"/>
      <c r="AV52" s="687"/>
      <c r="AW52" s="1175"/>
      <c r="AX52" s="1651"/>
      <c r="AY52" s="1377" t="s">
        <v>67</v>
      </c>
      <c r="AZ52" s="1651"/>
      <c r="BA52" s="1377" t="s">
        <v>67</v>
      </c>
      <c r="BB52" s="1266"/>
      <c r="BC52" s="2479" t="s">
        <v>498</v>
      </c>
      <c r="BE52" s="436"/>
      <c r="BF52" s="436" t="str">
        <f t="shared" si="3"/>
        <v/>
      </c>
      <c r="BG52" s="436"/>
      <c r="BH52" s="436"/>
      <c r="BI52" s="1073">
        <v>11</v>
      </c>
    </row>
    <row r="53" spans="1:61" ht="11.45" customHeight="1">
      <c r="A53" s="1281"/>
      <c r="B53" s="1281"/>
      <c r="C53" s="1281"/>
      <c r="D53" s="1281"/>
      <c r="E53" s="2457"/>
      <c r="F53" s="2457"/>
      <c r="G53" s="2457"/>
      <c r="H53" s="2457"/>
      <c r="I53" s="2459"/>
      <c r="J53" s="2459"/>
      <c r="K53" s="2458"/>
      <c r="L53" s="1282"/>
      <c r="P53" s="2460"/>
      <c r="Q53" s="2460"/>
      <c r="R53" s="293"/>
      <c r="S53" s="2514"/>
      <c r="T53" s="2534"/>
      <c r="U53" s="237"/>
      <c r="V53" s="1311"/>
      <c r="W53" s="1414"/>
      <c r="X53" s="1311"/>
      <c r="Y53" s="1414"/>
      <c r="Z53" s="1311"/>
      <c r="AA53" s="1311"/>
      <c r="AB53" s="1311"/>
      <c r="AC53" s="1311"/>
      <c r="AD53" s="2401"/>
      <c r="AE53" s="2509"/>
      <c r="AF53" s="2413"/>
      <c r="AG53" s="2532"/>
      <c r="AH53" s="2338"/>
      <c r="AI53" s="2509"/>
      <c r="AJ53" s="2413"/>
      <c r="AK53" s="2523"/>
      <c r="AL53" s="2338"/>
      <c r="AM53" s="2393"/>
      <c r="AN53" s="2413"/>
      <c r="AO53" s="2536"/>
      <c r="AP53" s="2538"/>
      <c r="AQ53" s="253"/>
      <c r="AR53" s="352"/>
      <c r="AS53" s="352" t="s">
        <v>499</v>
      </c>
      <c r="AT53" s="1311"/>
      <c r="AU53" s="1414"/>
      <c r="AV53" s="1311"/>
      <c r="AW53" s="1414"/>
      <c r="AX53" s="1311"/>
      <c r="AY53" s="1311"/>
      <c r="AZ53" s="1311"/>
      <c r="BA53" s="1311"/>
      <c r="BB53" s="1315"/>
      <c r="BC53" s="2480"/>
      <c r="BE53" s="436"/>
      <c r="BF53" s="436"/>
      <c r="BG53" s="436"/>
      <c r="BH53" s="436"/>
      <c r="BI53" s="1073">
        <v>11</v>
      </c>
    </row>
    <row r="54" spans="1:61" ht="11.45" customHeight="1">
      <c r="A54" s="1281" t="s">
        <v>243</v>
      </c>
      <c r="B54" s="1281"/>
      <c r="C54" s="1281"/>
      <c r="D54" s="1281"/>
      <c r="E54" s="2457"/>
      <c r="F54" s="2457"/>
      <c r="G54" s="2457"/>
      <c r="H54" s="2457"/>
      <c r="I54" s="2459"/>
      <c r="J54" s="2459"/>
      <c r="K54" s="2458"/>
      <c r="L54" s="1282"/>
      <c r="P54" s="2460"/>
      <c r="Q54" s="2460"/>
      <c r="R54" s="293"/>
      <c r="S54" s="2514"/>
      <c r="T54" s="2534"/>
      <c r="U54" s="237"/>
      <c r="V54" s="1311"/>
      <c r="W54" s="1414"/>
      <c r="X54" s="1311"/>
      <c r="Y54" s="1414"/>
      <c r="Z54" s="1311"/>
      <c r="AA54" s="1311"/>
      <c r="AB54" s="1311"/>
      <c r="AC54" s="1311"/>
      <c r="AD54" s="2401"/>
      <c r="AE54" s="2509"/>
      <c r="AF54" s="2413"/>
      <c r="AG54" s="2532"/>
      <c r="AH54" s="2338"/>
      <c r="AI54" s="2509"/>
      <c r="AJ54" s="2413"/>
      <c r="AK54" s="2523"/>
      <c r="AL54" s="2338"/>
      <c r="AM54" s="253"/>
      <c r="AN54" s="1418"/>
      <c r="AO54" s="1418" t="s">
        <v>500</v>
      </c>
      <c r="AP54" s="352"/>
      <c r="AQ54" s="352"/>
      <c r="AR54" s="352"/>
      <c r="AS54" s="1311"/>
      <c r="AT54" s="1311"/>
      <c r="AU54" s="1414"/>
      <c r="AV54" s="1311"/>
      <c r="AW54" s="1414"/>
      <c r="AX54" s="1311"/>
      <c r="AY54" s="1311"/>
      <c r="AZ54" s="1311"/>
      <c r="BA54" s="1311"/>
      <c r="BB54" s="1315"/>
      <c r="BC54" s="2480"/>
      <c r="BE54" s="436"/>
      <c r="BF54" s="436"/>
      <c r="BG54" s="436"/>
      <c r="BH54" s="436"/>
      <c r="BI54" s="1073">
        <v>11</v>
      </c>
    </row>
    <row r="55" spans="1:61" ht="11.45" customHeight="1">
      <c r="A55" s="1281" t="s">
        <v>243</v>
      </c>
      <c r="B55" s="1281"/>
      <c r="C55" s="1281"/>
      <c r="D55" s="1281"/>
      <c r="E55" s="2457"/>
      <c r="F55" s="2457"/>
      <c r="G55" s="2457"/>
      <c r="H55" s="2457"/>
      <c r="I55" s="2459"/>
      <c r="J55" s="2459"/>
      <c r="K55" s="2458"/>
      <c r="L55" s="1282"/>
      <c r="P55" s="2460"/>
      <c r="Q55" s="2460"/>
      <c r="R55" s="293"/>
      <c r="S55" s="2514"/>
      <c r="T55" s="2534"/>
      <c r="U55" s="237"/>
      <c r="V55" s="1311"/>
      <c r="W55" s="1414"/>
      <c r="X55" s="1311"/>
      <c r="Y55" s="1414"/>
      <c r="Z55" s="1311"/>
      <c r="AA55" s="1311"/>
      <c r="AB55" s="1311"/>
      <c r="AC55" s="1311"/>
      <c r="AD55" s="2401"/>
      <c r="AE55" s="2509"/>
      <c r="AF55" s="2413"/>
      <c r="AG55" s="2532"/>
      <c r="AH55" s="2338"/>
      <c r="AI55" s="231"/>
      <c r="AJ55" s="351"/>
      <c r="AK55" s="250" t="s">
        <v>501</v>
      </c>
      <c r="AL55" s="1311"/>
      <c r="AM55" s="1311"/>
      <c r="AN55" s="1311"/>
      <c r="AO55" s="1311"/>
      <c r="AP55" s="1311"/>
      <c r="AQ55" s="1311"/>
      <c r="AR55" s="1311"/>
      <c r="AS55" s="1311"/>
      <c r="AT55" s="1311"/>
      <c r="AU55" s="1414"/>
      <c r="AV55" s="1311"/>
      <c r="AW55" s="1414"/>
      <c r="AX55" s="1311"/>
      <c r="AY55" s="1311"/>
      <c r="AZ55" s="1311"/>
      <c r="BA55" s="1311"/>
      <c r="BB55" s="1315"/>
      <c r="BC55" s="2480"/>
      <c r="BE55" s="436"/>
      <c r="BF55" s="436"/>
      <c r="BG55" s="436"/>
      <c r="BH55" s="436"/>
      <c r="BI55" s="1073">
        <v>11</v>
      </c>
    </row>
    <row r="56" spans="1:61" ht="11.45" customHeight="1">
      <c r="A56" s="1281" t="s">
        <v>243</v>
      </c>
      <c r="B56" s="1281" t="s">
        <v>244</v>
      </c>
      <c r="C56" s="1281" t="s">
        <v>245</v>
      </c>
      <c r="D56" s="1281" t="s">
        <v>512</v>
      </c>
      <c r="E56" s="2457"/>
      <c r="F56" s="2457"/>
      <c r="G56" s="2457"/>
      <c r="H56" s="2457"/>
      <c r="I56" s="2459"/>
      <c r="J56" s="2459"/>
      <c r="K56" s="2458"/>
      <c r="L56" s="1282"/>
      <c r="P56" s="2460"/>
      <c r="Q56" s="2460"/>
      <c r="R56" s="293"/>
      <c r="S56" s="2515"/>
      <c r="T56" s="2535"/>
      <c r="U56" s="237"/>
      <c r="V56" s="1311"/>
      <c r="W56" s="1312" t="str">
        <f>Z52&amp;"-"&amp;AB52</f>
        <v>-</v>
      </c>
      <c r="X56" s="1311"/>
      <c r="Y56" s="1312" t="str">
        <f>AB52&amp;"-"&amp;AD52</f>
        <v>-да</v>
      </c>
      <c r="Z56" s="1311"/>
      <c r="AA56" s="1311"/>
      <c r="AB56" s="1311"/>
      <c r="AC56" s="1311"/>
      <c r="AD56" s="2343"/>
      <c r="AE56" s="249"/>
      <c r="AF56" s="251"/>
      <c r="AG56" s="352" t="s">
        <v>502</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0"/>
      <c r="BE56" s="436"/>
      <c r="BF56" s="436" t="str">
        <f t="shared" ref="BF56:BF63" si="4">IF(T56="","",T56)</f>
        <v/>
      </c>
      <c r="BG56" s="436"/>
      <c r="BH56" s="436"/>
      <c r="BI56" s="1073">
        <v>11</v>
      </c>
    </row>
    <row r="57" spans="1:61" ht="11.45" customHeight="1">
      <c r="A57" s="1281" t="s">
        <v>243</v>
      </c>
      <c r="B57" s="1281" t="s">
        <v>244</v>
      </c>
      <c r="C57" s="1281" t="s">
        <v>245</v>
      </c>
      <c r="D57" s="1281" t="s">
        <v>512</v>
      </c>
      <c r="E57" s="2457"/>
      <c r="F57" s="2457"/>
      <c r="G57" s="2457"/>
      <c r="H57" s="2457"/>
      <c r="I57" s="2459"/>
      <c r="J57" s="2458"/>
      <c r="K57" s="1281"/>
      <c r="L57" s="1282"/>
      <c r="P57" s="2460"/>
      <c r="Q57" s="2460"/>
      <c r="R57" s="292"/>
      <c r="S57" s="1196"/>
      <c r="T57" s="224" t="s">
        <v>465</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1"/>
      <c r="BE57" s="436"/>
      <c r="BF57" s="436" t="str">
        <f t="shared" si="4"/>
        <v>Добавить строку</v>
      </c>
      <c r="BG57" s="436"/>
      <c r="BH57" s="436"/>
      <c r="BI57" s="1073">
        <v>11</v>
      </c>
    </row>
    <row r="58" spans="1:61" s="2034" customFormat="1" ht="0" hidden="1" customHeight="1">
      <c r="A58" s="1261" t="s">
        <v>243</v>
      </c>
      <c r="B58" s="1261" t="s">
        <v>244</v>
      </c>
      <c r="C58" s="1261" t="s">
        <v>245</v>
      </c>
      <c r="D58" s="1261" t="s">
        <v>512</v>
      </c>
      <c r="E58" s="2457"/>
      <c r="F58" s="2457"/>
      <c r="G58" s="2457"/>
      <c r="H58" s="2457"/>
      <c r="I58" s="2458"/>
      <c r="J58" s="1261"/>
      <c r="K58" s="1261"/>
      <c r="L58" s="1264"/>
      <c r="M58" s="446"/>
      <c r="N58" s="446"/>
      <c r="O58" s="446"/>
      <c r="P58" s="2460"/>
      <c r="Q58" s="1380"/>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034" customFormat="1" ht="0" hidden="1" customHeight="1">
      <c r="A59" s="1261" t="s">
        <v>243</v>
      </c>
      <c r="B59" s="1261" t="s">
        <v>244</v>
      </c>
      <c r="C59" s="1261" t="s">
        <v>245</v>
      </c>
      <c r="D59" s="1261" t="s">
        <v>512</v>
      </c>
      <c r="E59" s="2457"/>
      <c r="F59" s="2457"/>
      <c r="G59" s="2457"/>
      <c r="H59" s="2456"/>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034" customFormat="1" ht="0" hidden="1" customHeight="1">
      <c r="A60" s="1261" t="s">
        <v>243</v>
      </c>
      <c r="B60" s="1261" t="s">
        <v>244</v>
      </c>
      <c r="C60" s="1261" t="s">
        <v>245</v>
      </c>
      <c r="D60" s="1232"/>
      <c r="E60" s="2457"/>
      <c r="F60" s="2457"/>
      <c r="G60" s="2456"/>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034" customFormat="1" ht="0" hidden="1" customHeight="1">
      <c r="A61" s="1261" t="s">
        <v>243</v>
      </c>
      <c r="B61" s="1261" t="s">
        <v>244</v>
      </c>
      <c r="C61" s="1232"/>
      <c r="D61" s="1232"/>
      <c r="E61" s="2457"/>
      <c r="F61" s="2456"/>
      <c r="G61" s="1232"/>
      <c r="H61" s="1232"/>
      <c r="I61" s="1232"/>
      <c r="J61" s="1232"/>
      <c r="K61" s="1232"/>
      <c r="L61" s="1382"/>
      <c r="M61" s="1239"/>
      <c r="N61" s="1239"/>
      <c r="P61" s="1234"/>
      <c r="Q61" s="1235"/>
      <c r="R61" s="1234"/>
      <c r="S61" s="1240"/>
      <c r="T61" s="1243" t="s">
        <v>412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034" customFormat="1" ht="0" hidden="1" customHeight="1">
      <c r="A62" s="1261" t="s">
        <v>243</v>
      </c>
      <c r="B62" s="1261"/>
      <c r="C62" s="1261"/>
      <c r="D62" s="1261"/>
      <c r="E62" s="2456"/>
      <c r="F62" s="1261"/>
      <c r="G62" s="1261"/>
      <c r="H62" s="1261"/>
      <c r="I62" s="1261"/>
      <c r="J62" s="1261"/>
      <c r="K62" s="1261"/>
      <c r="L62" s="1264"/>
      <c r="M62" s="1239"/>
      <c r="N62" s="1239"/>
      <c r="O62" s="454"/>
      <c r="P62" s="316"/>
      <c r="Q62" s="1262"/>
      <c r="R62" s="316"/>
      <c r="S62" s="1240"/>
      <c r="T62" s="1243" t="s">
        <v>413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03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445</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455"/>
      <c r="U65" s="2455"/>
      <c r="V65" s="2455"/>
      <c r="W65" s="2455"/>
      <c r="X65" s="2455"/>
      <c r="Y65" s="2455"/>
      <c r="Z65" s="2455"/>
      <c r="AA65" s="2455"/>
      <c r="AB65" s="2455"/>
      <c r="AC65" s="2455"/>
      <c r="AD65" s="2455"/>
      <c r="AE65" s="2455"/>
      <c r="AF65" s="2455"/>
      <c r="AG65" s="2455"/>
      <c r="AH65" s="2455"/>
      <c r="AI65" s="2455"/>
      <c r="AJ65" s="2455"/>
      <c r="AK65" s="2455"/>
      <c r="AL65" s="2455"/>
      <c r="AM65" s="2455"/>
      <c r="AN65" s="2455"/>
      <c r="AO65" s="2455"/>
      <c r="AP65" s="2455"/>
      <c r="AQ65" s="2455"/>
      <c r="AR65" s="2455"/>
      <c r="AS65" s="2455"/>
      <c r="AT65" s="2455"/>
      <c r="AU65" s="2455"/>
      <c r="AV65" s="2455"/>
      <c r="AW65" s="2455"/>
      <c r="AX65" s="2455"/>
      <c r="AY65" s="2455"/>
      <c r="AZ65" s="2455"/>
      <c r="BA65" s="2455"/>
      <c r="BB65" s="2455"/>
      <c r="BC65" s="2455"/>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2455"/>
      <c r="U67" s="2455"/>
      <c r="V67" s="2455"/>
      <c r="W67" s="2455"/>
      <c r="X67" s="2455"/>
      <c r="Y67" s="2455"/>
      <c r="Z67" s="2455"/>
      <c r="AA67" s="2455"/>
      <c r="AB67" s="2455"/>
      <c r="AC67" s="2455"/>
      <c r="AD67" s="2455"/>
      <c r="AE67" s="2455"/>
      <c r="AF67" s="2455"/>
      <c r="AG67" s="2455"/>
      <c r="AH67" s="2455"/>
      <c r="AI67" s="2455"/>
      <c r="AJ67" s="2455"/>
      <c r="AK67" s="2455"/>
      <c r="AL67" s="2455"/>
      <c r="AM67" s="2455"/>
      <c r="AN67" s="2455"/>
      <c r="AO67" s="2455"/>
      <c r="AP67" s="2455"/>
      <c r="AQ67" s="2455"/>
      <c r="AR67" s="2455"/>
      <c r="AS67" s="2455"/>
      <c r="AT67" s="2455"/>
      <c r="AU67" s="2455"/>
      <c r="AV67" s="2455"/>
      <c r="AW67" s="2455"/>
      <c r="AX67" s="2455"/>
      <c r="AY67" s="2455"/>
      <c r="AZ67" s="2455"/>
      <c r="BA67" s="2455"/>
      <c r="BB67" s="2455"/>
      <c r="BC67" s="2455"/>
      <c r="BI67" s="1073">
        <v>19</v>
      </c>
    </row>
    <row r="68" spans="1:61" ht="14.65" customHeight="1">
      <c r="O68" s="473"/>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4" width="24.7109375" style="2062" hidden="1" customWidth="1"/>
    <col min="25" max="25" width="11.7109375" style="2062" hidden="1" customWidth="1"/>
    <col min="26" max="26" width="3.7109375" style="2062" hidden="1" customWidth="1"/>
    <col min="27" max="27" width="11.7109375" style="2062" hidden="1" customWidth="1"/>
    <col min="28" max="28" width="8.5703125" style="2062" hidden="1" customWidth="1"/>
    <col min="29" max="29" width="24.7109375" style="2062" customWidth="1"/>
    <col min="30" max="31" width="24"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22.5" hidden="1" customHeight="1">
      <c r="X1" s="264"/>
      <c r="Y1" s="264"/>
      <c r="AE1" s="264"/>
      <c r="AF1" s="264"/>
      <c r="AQ1" s="1073" t="s">
        <v>14</v>
      </c>
    </row>
    <row r="2" spans="1:43" ht="23.25" hidden="1" customHeight="1">
      <c r="A2" s="1281"/>
      <c r="B2" s="1281"/>
      <c r="C2" s="1281"/>
      <c r="D2" s="1281"/>
      <c r="E2" s="2456">
        <v>1</v>
      </c>
      <c r="F2" s="1281"/>
      <c r="G2" s="1281"/>
      <c r="H2" s="1281"/>
      <c r="I2" s="1281"/>
      <c r="J2" s="1281"/>
      <c r="K2" s="1281"/>
      <c r="L2" s="1282"/>
      <c r="M2" s="1283"/>
      <c r="N2" s="1283"/>
      <c r="O2" s="1283"/>
      <c r="P2" s="297"/>
      <c r="Q2" s="296"/>
      <c r="R2" s="291"/>
      <c r="S2" s="1411" t="e">
        <f>INDEX(PT_DIFFERENTIATION_NUM_NTAR,MATCH(A2,PT_DIFFERENTIATION_NTAR_ID,0))</f>
        <v>#N/A</v>
      </c>
      <c r="T2" s="235" t="s">
        <v>122</v>
      </c>
      <c r="U2" s="237"/>
      <c r="V2" s="2450"/>
      <c r="W2" s="2451"/>
      <c r="X2" s="2451"/>
      <c r="Y2" s="2451"/>
      <c r="Z2" s="2451"/>
      <c r="AA2" s="2451"/>
      <c r="AB2" s="2452"/>
      <c r="AC2" s="2450" t="e">
        <f>INDEX(PT_DIFFERENTIATION_NTAR,MATCH(A2,PT_DIFFERENTIATION_NTAR_ID,0))</f>
        <v>#N/A</v>
      </c>
      <c r="AD2" s="2451"/>
      <c r="AE2" s="2451"/>
      <c r="AF2" s="2451"/>
      <c r="AG2" s="2451"/>
      <c r="AH2" s="2451"/>
      <c r="AI2" s="2451"/>
      <c r="AJ2" s="24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57"/>
      <c r="F3" s="2456">
        <v>1</v>
      </c>
      <c r="G3" s="1281"/>
      <c r="H3" s="1281"/>
      <c r="I3" s="1281"/>
      <c r="J3" s="1281"/>
      <c r="K3" s="1281"/>
      <c r="L3" s="1282"/>
      <c r="M3" s="1283"/>
      <c r="N3" s="1283"/>
      <c r="O3" s="1283"/>
      <c r="P3" s="1405"/>
      <c r="Q3" s="288"/>
      <c r="R3" s="289"/>
      <c r="S3" s="1411" t="e">
        <f>INDEX(PT_DIFFERENTIATION_NUM_TER,MATCH(B3,PT_DIFFERENTIATION_TER_ID,0))</f>
        <v>#N/A</v>
      </c>
      <c r="T3" s="245" t="s">
        <v>394</v>
      </c>
      <c r="U3" s="237"/>
      <c r="V3" s="2450"/>
      <c r="W3" s="2451"/>
      <c r="X3" s="2451"/>
      <c r="Y3" s="2451"/>
      <c r="Z3" s="2451"/>
      <c r="AA3" s="2451"/>
      <c r="AB3" s="2452"/>
      <c r="AC3" s="2450" t="e">
        <f>INDEX(PT_DIFFERENTIATION_TER,MATCH(B3,PT_DIFFERENTIATION_TER_ID,0))</f>
        <v>#N/A</v>
      </c>
      <c r="AD3" s="2451"/>
      <c r="AE3" s="2451"/>
      <c r="AF3" s="2451"/>
      <c r="AG3" s="2451"/>
      <c r="AH3" s="2451"/>
      <c r="AI3" s="2451"/>
      <c r="AJ3" s="2452"/>
      <c r="AK3" s="1176" t="s">
        <v>395</v>
      </c>
      <c r="AM3" s="436"/>
      <c r="AN3" s="436" t="str">
        <f t="shared" si="0"/>
        <v>Территория действия тарифа</v>
      </c>
      <c r="AO3" s="436"/>
      <c r="AP3" s="436"/>
      <c r="AQ3" s="1073">
        <v>0</v>
      </c>
    </row>
    <row r="4" spans="1:43" ht="23.25" hidden="1" customHeight="1">
      <c r="A4" s="1281"/>
      <c r="B4" s="1281"/>
      <c r="C4" s="1281"/>
      <c r="D4" s="1281"/>
      <c r="E4" s="2457"/>
      <c r="F4" s="2457"/>
      <c r="G4" s="2456">
        <v>1</v>
      </c>
      <c r="H4" s="1281"/>
      <c r="I4" s="1281"/>
      <c r="J4" s="1281"/>
      <c r="K4" s="1281"/>
      <c r="L4" s="1282"/>
      <c r="M4" s="1283"/>
      <c r="N4" s="1283"/>
      <c r="O4" s="1283"/>
      <c r="P4" s="290"/>
      <c r="Q4" s="288"/>
      <c r="R4" s="289"/>
      <c r="S4" s="1411" t="e">
        <f>INDEX(PT_DIFFERENTIATION_NUM_CS,MATCH(C4,PT_DIFFERENTIATION_CS_ID,0))</f>
        <v>#N/A</v>
      </c>
      <c r="T4" s="246" t="s">
        <v>513</v>
      </c>
      <c r="U4" s="237"/>
      <c r="V4" s="2450"/>
      <c r="W4" s="2451"/>
      <c r="X4" s="2451"/>
      <c r="Y4" s="2451"/>
      <c r="Z4" s="2451"/>
      <c r="AA4" s="2451"/>
      <c r="AB4" s="2452"/>
      <c r="AC4" s="2450" t="e">
        <f>INDEX(PT_DIFFERENTIATION_CS,MATCH(C4,PT_DIFFERENTIATION_CS_ID,0))</f>
        <v>#N/A</v>
      </c>
      <c r="AD4" s="2451"/>
      <c r="AE4" s="2451"/>
      <c r="AF4" s="2451"/>
      <c r="AG4" s="2451"/>
      <c r="AH4" s="2451"/>
      <c r="AI4" s="2451"/>
      <c r="AJ4" s="2452"/>
      <c r="AK4" s="1176" t="s">
        <v>514</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457"/>
      <c r="F5" s="2457"/>
      <c r="G5" s="2457"/>
      <c r="H5" s="2457"/>
      <c r="I5" s="2458" t="e">
        <f>S4&amp;".1"</f>
        <v>#N/A</v>
      </c>
      <c r="J5" s="1281"/>
      <c r="K5" s="1281"/>
      <c r="L5" s="1282"/>
      <c r="P5" s="2460">
        <v>1</v>
      </c>
      <c r="Q5" s="1399"/>
      <c r="R5" s="292"/>
      <c r="S5" s="1411" t="e">
        <f>$I5</f>
        <v>#N/A</v>
      </c>
      <c r="T5" s="222" t="s">
        <v>480</v>
      </c>
      <c r="U5" s="237"/>
      <c r="V5" s="2524"/>
      <c r="W5" s="2525"/>
      <c r="X5" s="2525"/>
      <c r="Y5" s="2525"/>
      <c r="Z5" s="2525"/>
      <c r="AA5" s="2525"/>
      <c r="AB5" s="2526"/>
      <c r="AC5" s="2527"/>
      <c r="AD5" s="2528"/>
      <c r="AE5" s="2528"/>
      <c r="AF5" s="2528"/>
      <c r="AG5" s="2528"/>
      <c r="AH5" s="2528"/>
      <c r="AI5" s="2528"/>
      <c r="AJ5" s="2529"/>
      <c r="AK5" s="1176" t="s">
        <v>481</v>
      </c>
      <c r="AM5" s="436"/>
      <c r="AN5" s="436" t="str">
        <f t="shared" si="0"/>
        <v>Наименование признака дифференциации</v>
      </c>
      <c r="AO5" s="436"/>
      <c r="AP5" s="436"/>
      <c r="AQ5" s="1073">
        <v>0</v>
      </c>
    </row>
    <row r="6" spans="1:43" ht="23.25" hidden="1" customHeight="1">
      <c r="A6" s="1281"/>
      <c r="B6" s="1281"/>
      <c r="C6" s="1281"/>
      <c r="D6" s="1281"/>
      <c r="E6" s="2457"/>
      <c r="F6" s="2457"/>
      <c r="G6" s="2457"/>
      <c r="H6" s="2457"/>
      <c r="I6" s="2459"/>
      <c r="J6" s="2458" t="e">
        <f>I5&amp;".1"</f>
        <v>#N/A</v>
      </c>
      <c r="K6" s="1281"/>
      <c r="L6" s="1282" t="s">
        <v>403</v>
      </c>
      <c r="P6" s="2460"/>
      <c r="Q6" s="2460">
        <v>1</v>
      </c>
      <c r="R6" s="293"/>
      <c r="S6" s="1411" t="e">
        <f>$J6</f>
        <v>#N/A</v>
      </c>
      <c r="T6" s="223" t="s">
        <v>404</v>
      </c>
      <c r="U6" s="237"/>
      <c r="V6" s="2444"/>
      <c r="W6" s="2445"/>
      <c r="X6" s="2445"/>
      <c r="Y6" s="2445"/>
      <c r="Z6" s="2445"/>
      <c r="AA6" s="2445"/>
      <c r="AB6" s="2446"/>
      <c r="AC6" s="2444"/>
      <c r="AD6" s="2445"/>
      <c r="AE6" s="2445"/>
      <c r="AF6" s="2445"/>
      <c r="AG6" s="2445"/>
      <c r="AH6" s="2445"/>
      <c r="AI6" s="2445"/>
      <c r="AJ6" s="2446"/>
      <c r="AK6" s="1225" t="s">
        <v>482</v>
      </c>
      <c r="AM6" s="436"/>
      <c r="AN6" s="436" t="str">
        <f t="shared" si="0"/>
        <v>Группа потребителей</v>
      </c>
      <c r="AO6" s="436"/>
      <c r="AP6" s="436"/>
      <c r="AQ6" s="1073">
        <v>0</v>
      </c>
    </row>
    <row r="7" spans="1:43" ht="23.25" hidden="1" customHeight="1">
      <c r="A7" s="1281"/>
      <c r="B7" s="1281"/>
      <c r="C7" s="1281"/>
      <c r="D7" s="1281"/>
      <c r="E7" s="2457"/>
      <c r="F7" s="2457"/>
      <c r="G7" s="2457"/>
      <c r="H7" s="2457"/>
      <c r="I7" s="2459"/>
      <c r="J7" s="2459"/>
      <c r="K7" s="2458" t="e">
        <f>J6&amp;".1"</f>
        <v>#N/A</v>
      </c>
      <c r="L7" s="1282"/>
      <c r="P7" s="2460"/>
      <c r="Q7" s="2460"/>
      <c r="R7" s="293">
        <v>1</v>
      </c>
      <c r="S7" s="1411" t="e">
        <f>$K7</f>
        <v>#N/A</v>
      </c>
      <c r="T7" s="1355"/>
      <c r="U7" s="237"/>
      <c r="V7" s="687"/>
      <c r="W7" s="687"/>
      <c r="X7" s="1175"/>
      <c r="Y7" s="2461"/>
      <c r="Z7" s="2338" t="s">
        <v>67</v>
      </c>
      <c r="AA7" s="2461"/>
      <c r="AB7" s="2338" t="s">
        <v>67</v>
      </c>
      <c r="AC7" s="687"/>
      <c r="AD7" s="687"/>
      <c r="AE7" s="1175"/>
      <c r="AF7" s="2461"/>
      <c r="AG7" s="2338" t="s">
        <v>67</v>
      </c>
      <c r="AH7" s="2463"/>
      <c r="AI7" s="2338" t="s">
        <v>67</v>
      </c>
      <c r="AJ7" s="1356"/>
      <c r="AK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57"/>
      <c r="F8" s="2457"/>
      <c r="G8" s="2457"/>
      <c r="H8" s="2457"/>
      <c r="I8" s="2459"/>
      <c r="J8" s="2459"/>
      <c r="K8" s="2458"/>
      <c r="L8" s="1282"/>
      <c r="P8" s="2460"/>
      <c r="Q8" s="2460"/>
      <c r="R8" s="293"/>
      <c r="S8" s="1408"/>
      <c r="T8" s="237"/>
      <c r="U8" s="237"/>
      <c r="V8" s="262"/>
      <c r="W8" s="262"/>
      <c r="X8" s="265" t="str">
        <f>Y7&amp;"-"&amp;AA7</f>
        <v>-</v>
      </c>
      <c r="Y8" s="2462"/>
      <c r="Z8" s="2338"/>
      <c r="AA8" s="2462"/>
      <c r="AB8" s="2338"/>
      <c r="AC8" s="262"/>
      <c r="AD8" s="262"/>
      <c r="AE8" s="265" t="str">
        <f>AF7&amp;"-"&amp;AH7</f>
        <v>-</v>
      </c>
      <c r="AF8" s="2462"/>
      <c r="AG8" s="2338"/>
      <c r="AH8" s="2464"/>
      <c r="AI8" s="2338"/>
      <c r="AJ8" s="1357"/>
      <c r="AK8" s="2530"/>
      <c r="AM8" s="436"/>
      <c r="AN8" s="436" t="str">
        <f t="shared" si="0"/>
        <v/>
      </c>
      <c r="AO8" s="436"/>
      <c r="AP8" s="436"/>
      <c r="AQ8" s="1073">
        <v>0</v>
      </c>
    </row>
    <row r="9" spans="1:43" ht="21" hidden="1" customHeight="1">
      <c r="A9" s="1281"/>
      <c r="B9" s="1281"/>
      <c r="C9" s="1281"/>
      <c r="D9" s="1281"/>
      <c r="E9" s="2457"/>
      <c r="F9" s="2457"/>
      <c r="G9" s="2457"/>
      <c r="H9" s="2457"/>
      <c r="I9" s="2459"/>
      <c r="J9" s="2458"/>
      <c r="K9" s="1281"/>
      <c r="L9" s="1282"/>
      <c r="P9" s="2460"/>
      <c r="Q9" s="2460"/>
      <c r="R9" s="292"/>
      <c r="S9" s="1196"/>
      <c r="T9" s="224" t="s">
        <v>483</v>
      </c>
      <c r="U9" s="303"/>
      <c r="V9" s="303"/>
      <c r="W9" s="303"/>
      <c r="X9" s="303"/>
      <c r="Y9" s="303"/>
      <c r="Z9" s="303"/>
      <c r="AA9" s="303"/>
      <c r="AB9" s="303"/>
      <c r="AC9" s="303"/>
      <c r="AD9" s="303"/>
      <c r="AE9" s="303"/>
      <c r="AF9" s="303"/>
      <c r="AG9" s="303"/>
      <c r="AH9" s="303"/>
      <c r="AI9" s="303"/>
      <c r="AJ9" s="303"/>
      <c r="AK9" s="1176" t="s">
        <v>484</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57"/>
      <c r="F10" s="2457"/>
      <c r="G10" s="2457"/>
      <c r="H10" s="2457"/>
      <c r="I10" s="2458"/>
      <c r="J10" s="1281"/>
      <c r="K10" s="1281"/>
      <c r="L10" s="1282"/>
      <c r="P10" s="2460"/>
      <c r="Q10" s="1399"/>
      <c r="R10" s="292"/>
      <c r="S10" s="1196"/>
      <c r="T10" s="301" t="s">
        <v>409</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034" customFormat="1" ht="14.25" hidden="1" customHeight="1">
      <c r="A12" s="1261"/>
      <c r="B12" s="1261"/>
      <c r="C12" s="1232"/>
      <c r="D12" s="1232"/>
      <c r="E12" s="2457"/>
      <c r="F12" s="2456"/>
      <c r="G12" s="1232"/>
      <c r="H12" s="1232"/>
      <c r="I12" s="1232"/>
      <c r="J12" s="1232"/>
      <c r="K12" s="1232"/>
      <c r="L12" s="1412"/>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54"/>
      <c r="AG15" s="2453" t="s">
        <v>67</v>
      </c>
      <c r="AH15" s="2454"/>
      <c r="AI15" s="2453" t="s">
        <v>67</v>
      </c>
      <c r="AQ15" s="1073">
        <v>0</v>
      </c>
    </row>
    <row r="16" spans="1:43" ht="14.25" hidden="1" customHeight="1">
      <c r="AC16" s="1278"/>
      <c r="AD16" s="1278"/>
      <c r="AE16" s="265" t="str">
        <f>AF15&amp;"-"&amp;AH15</f>
        <v>-</v>
      </c>
      <c r="AF16" s="2453"/>
      <c r="AG16" s="2453"/>
      <c r="AH16" s="2453"/>
      <c r="AI16" s="2453"/>
      <c r="AQ16" s="1073">
        <v>0</v>
      </c>
    </row>
    <row r="17" spans="1:43" ht="14.25" hidden="1" customHeight="1">
      <c r="AI17" s="264"/>
      <c r="AQ17" s="1073">
        <v>0</v>
      </c>
    </row>
    <row r="18" spans="1:43" s="2056" customFormat="1" ht="22.5" hidden="1" customHeight="1">
      <c r="L18" s="1396"/>
      <c r="M18" s="1280"/>
      <c r="N18" s="1280"/>
      <c r="O18" s="1285" t="s">
        <v>414</v>
      </c>
      <c r="P18" s="1280"/>
      <c r="Q18" s="1289"/>
      <c r="R18" s="1289"/>
      <c r="S18" s="665"/>
      <c r="Y18" s="1285"/>
      <c r="AA18" s="1285"/>
      <c r="AB18" s="1284"/>
      <c r="AF18" s="1285"/>
      <c r="AH18" s="1285"/>
      <c r="AI18" s="1284"/>
      <c r="AL18" s="447"/>
      <c r="AM18" s="447"/>
      <c r="AN18" s="447"/>
      <c r="AO18" s="447"/>
      <c r="AP18" s="447"/>
      <c r="AQ18" s="1078">
        <v>0</v>
      </c>
    </row>
    <row r="19" spans="1:43" s="2056"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056" customFormat="1" ht="12" hidden="1" customHeight="1">
      <c r="L20" s="1396"/>
      <c r="M20" s="1280"/>
      <c r="N20" s="1280"/>
      <c r="O20" s="1282" t="s">
        <v>415</v>
      </c>
      <c r="P20" s="1280"/>
      <c r="Q20" s="1360"/>
      <c r="R20" s="1360"/>
      <c r="S20" s="665"/>
      <c r="T20" s="1078" t="s">
        <v>416</v>
      </c>
      <c r="Z20" s="123" t="s">
        <v>417</v>
      </c>
      <c r="AB20" s="123" t="s">
        <v>418</v>
      </c>
      <c r="AC20" s="1078" t="s">
        <v>416</v>
      </c>
      <c r="AG20" s="123" t="s">
        <v>419</v>
      </c>
      <c r="AI20" s="123" t="s">
        <v>418</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3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37"/>
      <c r="U24" s="2437"/>
      <c r="V24" s="2437"/>
      <c r="W24" s="2437"/>
      <c r="X24" s="2437"/>
      <c r="Y24" s="2437"/>
      <c r="Z24" s="2437"/>
      <c r="AA24" s="2437"/>
      <c r="AB24" s="2437"/>
      <c r="AC24" s="2437"/>
      <c r="AD24" s="2437"/>
      <c r="AE24" s="2437"/>
      <c r="AF24" s="2437"/>
      <c r="AG24" s="2437"/>
      <c r="AH24" s="2437"/>
      <c r="AI24" s="1161"/>
      <c r="AQ24" s="1073">
        <v>14</v>
      </c>
    </row>
    <row r="25" spans="1:43"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63"/>
      <c r="AC27" s="2449" t="str">
        <f>IF(TITLE_NAME_OR_PR_CHANGE="",IF(TITLE_NAME_OR_PR="","",TITLE_NAME_OR_PR),TITLE_NAME_OR_PR_CHANGE)</f>
        <v/>
      </c>
      <c r="AD27" s="2449"/>
      <c r="AE27" s="2449"/>
      <c r="AF27" s="2449"/>
      <c r="AG27" s="2449"/>
      <c r="AH27" s="2449"/>
      <c r="AI27" s="263"/>
      <c r="AJ27" s="263"/>
      <c r="AK27" s="217"/>
      <c r="AL27" s="304"/>
      <c r="AM27" s="304"/>
      <c r="AN27" s="304"/>
      <c r="AO27" s="304"/>
      <c r="AP27" s="304"/>
      <c r="AQ27" s="354">
        <v>0</v>
      </c>
    </row>
    <row r="28" spans="1:43"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63"/>
      <c r="AC28" s="2448" t="str">
        <f>IF(TITLE_DATE_PR_CHANGE="",IF(TITLE_DATE_PR="","",TITLE_DATE_PR),TITLE_DATE_PR_CHANGE)</f>
        <v/>
      </c>
      <c r="AD28" s="2448"/>
      <c r="AE28" s="2448"/>
      <c r="AF28" s="2448"/>
      <c r="AG28" s="2448"/>
      <c r="AH28" s="2448"/>
      <c r="AI28" s="263"/>
      <c r="AJ28" s="263"/>
      <c r="AK28" s="217"/>
      <c r="AL28" s="304"/>
      <c r="AM28" s="304"/>
      <c r="AN28" s="304"/>
      <c r="AO28" s="304"/>
      <c r="AP28" s="304"/>
      <c r="AQ28" s="354">
        <v>0</v>
      </c>
    </row>
    <row r="29" spans="1:43"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63"/>
      <c r="AC29" s="2449" t="str">
        <f>IF(TITLE_NUMBER_PR_CHANGE="",IF(TITLE_NUMBER_PR="","",TITLE_NUMBER_PR),TITLE_NUMBER_PR_CHANGE)</f>
        <v/>
      </c>
      <c r="AD29" s="2449"/>
      <c r="AE29" s="2449"/>
      <c r="AF29" s="2449"/>
      <c r="AG29" s="2449"/>
      <c r="AH29" s="2449"/>
      <c r="AI29" s="263"/>
      <c r="AJ29" s="263"/>
      <c r="AK29" s="217"/>
      <c r="AL29" s="304"/>
      <c r="AM29" s="304"/>
      <c r="AN29" s="304"/>
      <c r="AO29" s="304"/>
      <c r="AP29" s="304"/>
      <c r="AQ29" s="354">
        <v>0</v>
      </c>
    </row>
    <row r="30" spans="1:43"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63"/>
      <c r="AC30" s="2449" t="str">
        <f>IF(TITLE_IST_PUB_CHANGE="",IF(TITLE_IST_PUB="","",TITLE_IST_PUB),TITLE_IST_PUB_CHANGE)</f>
        <v/>
      </c>
      <c r="AD30" s="2449"/>
      <c r="AE30" s="2449"/>
      <c r="AF30" s="2449"/>
      <c r="AG30" s="2449"/>
      <c r="AH30" s="2449"/>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63"/>
      <c r="AC32" s="2448" t="str">
        <f>IF(TITLE_DATE_PR_CHANGE="",IF(TITLE_DATE_PR="","",TITLE_DATE_PR),TITLE_DATE_PR_CHANGE)</f>
        <v/>
      </c>
      <c r="AD32" s="2448"/>
      <c r="AE32" s="2448"/>
      <c r="AF32" s="2448"/>
      <c r="AG32" s="2448"/>
      <c r="AH32" s="2448"/>
      <c r="AI32" s="263"/>
      <c r="AJ32" s="263"/>
      <c r="AK32" s="217"/>
      <c r="AL32" s="304"/>
      <c r="AM32" s="304"/>
      <c r="AN32" s="304"/>
      <c r="AO32" s="304"/>
      <c r="AP32" s="304"/>
      <c r="AQ32" s="354">
        <v>0</v>
      </c>
    </row>
    <row r="33" spans="1:43"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63"/>
      <c r="AC33" s="2449" t="str">
        <f>IF(TITLE_NUMBER_PR_CHANGE="",IF(TITLE_NUMBER_PR="","",TITLE_NUMBER_PR),TITLE_NUMBER_PR_CHANGE)</f>
        <v/>
      </c>
      <c r="AD33" s="2449"/>
      <c r="AE33" s="2449"/>
      <c r="AF33" s="2449"/>
      <c r="AG33" s="2449"/>
      <c r="AH33" s="2449"/>
      <c r="AI33" s="263"/>
      <c r="AJ33" s="263"/>
      <c r="AK33" s="217"/>
      <c r="AL33" s="304"/>
      <c r="AM33" s="304"/>
      <c r="AN33" s="304"/>
      <c r="AO33" s="304"/>
      <c r="AP33" s="304"/>
      <c r="AQ33" s="354">
        <v>0</v>
      </c>
    </row>
    <row r="34" spans="1:43"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193"/>
      <c r="T35" s="299"/>
      <c r="U35" s="1162"/>
      <c r="V35" s="2468"/>
      <c r="W35" s="2468"/>
      <c r="X35" s="2468"/>
      <c r="Y35" s="2468"/>
      <c r="Z35" s="2468"/>
      <c r="AA35" s="2468"/>
      <c r="AB35" s="2468"/>
      <c r="AC35" s="2468"/>
      <c r="AD35" s="2468"/>
      <c r="AE35" s="2468"/>
      <c r="AF35" s="2468"/>
      <c r="AG35" s="2468"/>
      <c r="AH35" s="2468"/>
      <c r="AI35" s="2468"/>
      <c r="AQ35" s="1073">
        <v>14</v>
      </c>
    </row>
    <row r="36" spans="1:43"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t="s">
        <v>298</v>
      </c>
      <c r="AQ36" s="1073">
        <v>14</v>
      </c>
    </row>
    <row r="37" spans="1:43" ht="14.65" customHeight="1">
      <c r="Q37" s="312"/>
      <c r="R37" s="312"/>
      <c r="S37" s="2469" t="s">
        <v>90</v>
      </c>
      <c r="T37" s="2417" t="s">
        <v>425</v>
      </c>
      <c r="U37" s="238"/>
      <c r="V37" s="2470" t="s">
        <v>426</v>
      </c>
      <c r="W37" s="2471"/>
      <c r="X37" s="2471"/>
      <c r="Y37" s="2471"/>
      <c r="Z37" s="2471"/>
      <c r="AA37" s="2472"/>
      <c r="AB37" s="2473" t="s">
        <v>427</v>
      </c>
      <c r="AC37" s="2470" t="s">
        <v>426</v>
      </c>
      <c r="AD37" s="2471"/>
      <c r="AE37" s="2471"/>
      <c r="AF37" s="2471"/>
      <c r="AG37" s="2471"/>
      <c r="AH37" s="2472"/>
      <c r="AI37" s="2473" t="s">
        <v>428</v>
      </c>
      <c r="AJ37" s="2476" t="s">
        <v>429</v>
      </c>
      <c r="AK37" s="2328"/>
      <c r="AQ37" s="1073">
        <v>14</v>
      </c>
    </row>
    <row r="38" spans="1:43" ht="35.65" customHeight="1">
      <c r="Q38" s="312"/>
      <c r="R38" s="312"/>
      <c r="S38" s="2469"/>
      <c r="T38" s="2417"/>
      <c r="U38" s="954"/>
      <c r="V38" s="1401" t="s">
        <v>486</v>
      </c>
      <c r="W38" s="2310" t="s">
        <v>432</v>
      </c>
      <c r="X38" s="2309"/>
      <c r="Y38" s="2310" t="s">
        <v>433</v>
      </c>
      <c r="Z38" s="2315"/>
      <c r="AA38" s="2309"/>
      <c r="AB38" s="2474"/>
      <c r="AC38" s="1401" t="s">
        <v>486</v>
      </c>
      <c r="AD38" s="2310" t="s">
        <v>432</v>
      </c>
      <c r="AE38" s="2309"/>
      <c r="AF38" s="2310" t="s">
        <v>433</v>
      </c>
      <c r="AG38" s="2315"/>
      <c r="AH38" s="2309"/>
      <c r="AI38" s="2474"/>
      <c r="AJ38" s="2477"/>
      <c r="AK38" s="2328"/>
      <c r="AQ38" s="1073">
        <v>34</v>
      </c>
    </row>
    <row r="39" spans="1:43" ht="90.4" customHeight="1">
      <c r="A39" s="1288"/>
      <c r="B39" s="1288" t="s">
        <v>134</v>
      </c>
      <c r="C39" s="1288" t="s">
        <v>135</v>
      </c>
      <c r="D39" s="1288" t="s">
        <v>136</v>
      </c>
      <c r="E39" s="1282" t="s">
        <v>434</v>
      </c>
      <c r="F39" s="1282" t="s">
        <v>435</v>
      </c>
      <c r="G39" s="1282" t="s">
        <v>436</v>
      </c>
      <c r="H39" s="1282"/>
      <c r="I39" s="1282" t="s">
        <v>487</v>
      </c>
      <c r="J39" s="1282" t="s">
        <v>439</v>
      </c>
      <c r="K39" s="1282" t="s">
        <v>488</v>
      </c>
      <c r="L39" s="1282" t="s">
        <v>415</v>
      </c>
      <c r="Q39" s="312"/>
      <c r="R39" s="312"/>
      <c r="S39" s="2469"/>
      <c r="T39" s="2417"/>
      <c r="U39" s="239"/>
      <c r="V39" s="1401" t="s">
        <v>515</v>
      </c>
      <c r="W39" s="1140" t="s">
        <v>516</v>
      </c>
      <c r="X39" s="1140" t="s">
        <v>491</v>
      </c>
      <c r="Y39" s="1407" t="s">
        <v>443</v>
      </c>
      <c r="Z39" s="2422" t="s">
        <v>444</v>
      </c>
      <c r="AA39" s="2436"/>
      <c r="AB39" s="2475"/>
      <c r="AC39" s="1401" t="s">
        <v>515</v>
      </c>
      <c r="AD39" s="1140" t="s">
        <v>516</v>
      </c>
      <c r="AE39" s="1140" t="s">
        <v>491</v>
      </c>
      <c r="AF39" s="1407" t="s">
        <v>443</v>
      </c>
      <c r="AG39" s="2422" t="s">
        <v>444</v>
      </c>
      <c r="AH39" s="2436"/>
      <c r="AI39" s="2475"/>
      <c r="AJ39" s="2478"/>
      <c r="AK39" s="2328"/>
      <c r="AQ39" s="1073">
        <v>86</v>
      </c>
    </row>
    <row r="40" spans="1:43" s="202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400">
        <f ca="1">OFFSET(V40,0,-1)+1</f>
        <v>3</v>
      </c>
      <c r="W40" s="1400">
        <f ca="1">OFFSET(W40,0,-1)+1</f>
        <v>4</v>
      </c>
      <c r="X40" s="1400">
        <f ca="1">OFFSET(X40,0,-1)+1</f>
        <v>5</v>
      </c>
      <c r="Y40" s="1400">
        <f ca="1">OFFSET(Y40,0,-1)+1</f>
        <v>6</v>
      </c>
      <c r="Z40" s="2467">
        <f ca="1">OFFSET(Z40,0,-1)+1</f>
        <v>7</v>
      </c>
      <c r="AA40" s="2467"/>
      <c r="AB40" s="1400">
        <f ca="1">OFFSET(AB40,0,-2)+1</f>
        <v>8</v>
      </c>
      <c r="AC40" s="1400">
        <f ca="1">OFFSET(AC40,0,-1)+1</f>
        <v>9</v>
      </c>
      <c r="AD40" s="1400">
        <f ca="1">OFFSET(AD40,0,-1)+1</f>
        <v>10</v>
      </c>
      <c r="AE40" s="1400">
        <f ca="1">OFFSET(AE40,0,-1)+1</f>
        <v>11</v>
      </c>
      <c r="AF40" s="1400">
        <f ca="1">OFFSET(AF40,0,-1)+1</f>
        <v>12</v>
      </c>
      <c r="AG40" s="2467">
        <f ca="1">OFFSET(AG40,0,-1)+1</f>
        <v>13</v>
      </c>
      <c r="AH40" s="2467"/>
      <c r="AI40" s="1400">
        <f ca="1">OFFSET(AI40,0,-2)+1</f>
        <v>14</v>
      </c>
      <c r="AJ40" s="1163">
        <f ca="1">OFFSET(AJ40,0,-1)</f>
        <v>14</v>
      </c>
      <c r="AK40" s="1400">
        <f ca="1">OFFSET(AK40,0,-1)+1</f>
        <v>15</v>
      </c>
      <c r="AL40" s="447"/>
      <c r="AM40" s="447"/>
      <c r="AN40" s="447"/>
      <c r="AO40" s="447"/>
      <c r="AP40" s="447"/>
      <c r="AQ40" s="432">
        <v>0</v>
      </c>
    </row>
    <row r="41" spans="1:43" ht="24" customHeight="1">
      <c r="A41" s="1281" t="s">
        <v>263</v>
      </c>
      <c r="B41" s="1281"/>
      <c r="C41" s="1281"/>
      <c r="D41" s="1281"/>
      <c r="E41" s="2456">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122</v>
      </c>
      <c r="U41" s="237"/>
      <c r="V41" s="2450"/>
      <c r="W41" s="2451"/>
      <c r="X41" s="2451"/>
      <c r="Y41" s="2451"/>
      <c r="Z41" s="2451"/>
      <c r="AA41" s="2451"/>
      <c r="AB41" s="2452"/>
      <c r="AC41" s="2450" t="str">
        <f>INDEX(PT_DIFFERENTIATION_NTAR,MATCH(A41,PT_DIFFERENTIATION_NTAR_ID,0))</f>
        <v/>
      </c>
      <c r="AD41" s="2451"/>
      <c r="AE41" s="2451"/>
      <c r="AF41" s="2451"/>
      <c r="AG41" s="2451"/>
      <c r="AH41" s="2451"/>
      <c r="AI41" s="2451"/>
      <c r="AJ41" s="24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263</v>
      </c>
      <c r="B42" s="1281" t="s">
        <v>264</v>
      </c>
      <c r="C42" s="1281"/>
      <c r="D42" s="1281"/>
      <c r="E42" s="2457"/>
      <c r="F42" s="2456">
        <v>1</v>
      </c>
      <c r="G42" s="1281"/>
      <c r="H42" s="1281"/>
      <c r="I42" s="1281"/>
      <c r="J42" s="1281"/>
      <c r="K42" s="1281"/>
      <c r="L42" s="1282"/>
      <c r="M42" s="1283"/>
      <c r="N42" s="1283"/>
      <c r="O42" s="1283"/>
      <c r="P42" s="1405"/>
      <c r="Q42" s="288"/>
      <c r="R42" s="289"/>
      <c r="S42" s="1411" t="str">
        <f>INDEX(PT_DIFFERENTIATION_NUM_TER,MATCH(B42,PT_DIFFERENTIATION_TER_ID,0))</f>
        <v>.</v>
      </c>
      <c r="T42" s="245" t="s">
        <v>394</v>
      </c>
      <c r="U42" s="237"/>
      <c r="V42" s="2450"/>
      <c r="W42" s="2451"/>
      <c r="X42" s="2451"/>
      <c r="Y42" s="2451"/>
      <c r="Z42" s="2451"/>
      <c r="AA42" s="2451"/>
      <c r="AB42" s="2452"/>
      <c r="AC42" s="2450" t="str">
        <f>INDEX(PT_DIFFERENTIATION_TER,MATCH(B42,PT_DIFFERENTIATION_TER_ID,0))</f>
        <v/>
      </c>
      <c r="AD42" s="2451"/>
      <c r="AE42" s="2451"/>
      <c r="AF42" s="2451"/>
      <c r="AG42" s="2451"/>
      <c r="AH42" s="2451"/>
      <c r="AI42" s="2451"/>
      <c r="AJ42" s="2452"/>
      <c r="AK42" s="1176" t="s">
        <v>395</v>
      </c>
      <c r="AM42" s="436"/>
      <c r="AN42" s="436" t="str">
        <f t="shared" si="1"/>
        <v>Территория действия тарифа</v>
      </c>
      <c r="AO42" s="436"/>
      <c r="AP42" s="436"/>
      <c r="AQ42" s="1073">
        <v>23</v>
      </c>
    </row>
    <row r="43" spans="1:43" ht="24" customHeight="1">
      <c r="A43" s="1281" t="s">
        <v>263</v>
      </c>
      <c r="B43" s="1281" t="s">
        <v>264</v>
      </c>
      <c r="C43" s="1281" t="s">
        <v>265</v>
      </c>
      <c r="D43" s="1281"/>
      <c r="E43" s="2457"/>
      <c r="F43" s="2457"/>
      <c r="G43" s="2456">
        <v>1</v>
      </c>
      <c r="H43" s="1281"/>
      <c r="I43" s="1281"/>
      <c r="J43" s="1281"/>
      <c r="K43" s="1281"/>
      <c r="L43" s="1282"/>
      <c r="M43" s="1283"/>
      <c r="N43" s="1283"/>
      <c r="O43" s="1283"/>
      <c r="P43" s="290"/>
      <c r="Q43" s="288"/>
      <c r="R43" s="289"/>
      <c r="S43" s="1411" t="str">
        <f>INDEX(PT_DIFFERENTIATION_NUM_CS,MATCH(C43,PT_DIFFERENTIATION_CS_ID,0))</f>
        <v>..</v>
      </c>
      <c r="T43" s="246" t="s">
        <v>513</v>
      </c>
      <c r="U43" s="237"/>
      <c r="V43" s="2450"/>
      <c r="W43" s="2451"/>
      <c r="X43" s="2451"/>
      <c r="Y43" s="2451"/>
      <c r="Z43" s="2451"/>
      <c r="AA43" s="2451"/>
      <c r="AB43" s="2452"/>
      <c r="AC43" s="2450" t="str">
        <f>INDEX(PT_DIFFERENTIATION_CS,MATCH(C43,PT_DIFFERENTIATION_CS_ID,0))</f>
        <v/>
      </c>
      <c r="AD43" s="2451"/>
      <c r="AE43" s="2451"/>
      <c r="AF43" s="2451"/>
      <c r="AG43" s="2451"/>
      <c r="AH43" s="2451"/>
      <c r="AI43" s="2451"/>
      <c r="AJ43" s="2452"/>
      <c r="AK43" s="1176" t="s">
        <v>514</v>
      </c>
      <c r="AM43" s="436"/>
      <c r="AN43" s="436" t="str">
        <f t="shared" si="1"/>
        <v>Наименование централизованной системы водоотведения</v>
      </c>
      <c r="AO43" s="436"/>
      <c r="AP43" s="436"/>
      <c r="AQ43" s="1073">
        <v>23</v>
      </c>
    </row>
    <row r="44" spans="1:43" ht="24" customHeight="1">
      <c r="A44" s="1281" t="s">
        <v>263</v>
      </c>
      <c r="B44" s="1281" t="s">
        <v>264</v>
      </c>
      <c r="C44" s="1281" t="s">
        <v>265</v>
      </c>
      <c r="D44" s="1281" t="s">
        <v>517</v>
      </c>
      <c r="E44" s="2457"/>
      <c r="F44" s="2457"/>
      <c r="G44" s="2457"/>
      <c r="H44" s="2457"/>
      <c r="I44" s="2458" t="str">
        <f>S43&amp;".1"</f>
        <v>...1</v>
      </c>
      <c r="J44" s="1281"/>
      <c r="K44" s="1281"/>
      <c r="L44" s="1282"/>
      <c r="P44" s="2460">
        <v>1</v>
      </c>
      <c r="Q44" s="1399"/>
      <c r="R44" s="292"/>
      <c r="S44" s="1411" t="str">
        <f>$I44</f>
        <v>...1</v>
      </c>
      <c r="T44" s="222" t="s">
        <v>480</v>
      </c>
      <c r="U44" s="237"/>
      <c r="V44" s="2524"/>
      <c r="W44" s="2525"/>
      <c r="X44" s="2525"/>
      <c r="Y44" s="2525"/>
      <c r="Z44" s="2525"/>
      <c r="AA44" s="2525"/>
      <c r="AB44" s="2526"/>
      <c r="AC44" s="2527"/>
      <c r="AD44" s="2528"/>
      <c r="AE44" s="2528"/>
      <c r="AF44" s="2528"/>
      <c r="AG44" s="2528"/>
      <c r="AH44" s="2528"/>
      <c r="AI44" s="2528"/>
      <c r="AJ44" s="2529"/>
      <c r="AK44" s="1176" t="s">
        <v>481</v>
      </c>
      <c r="AM44" s="436"/>
      <c r="AN44" s="436" t="str">
        <f t="shared" si="1"/>
        <v>Наименование признака дифференциации</v>
      </c>
      <c r="AO44" s="436"/>
      <c r="AP44" s="436"/>
      <c r="AQ44" s="1073">
        <v>23</v>
      </c>
    </row>
    <row r="45" spans="1:43" ht="24" customHeight="1">
      <c r="A45" s="1281" t="s">
        <v>263</v>
      </c>
      <c r="B45" s="1281" t="s">
        <v>264</v>
      </c>
      <c r="C45" s="1281" t="s">
        <v>265</v>
      </c>
      <c r="D45" s="1281" t="s">
        <v>517</v>
      </c>
      <c r="E45" s="2457"/>
      <c r="F45" s="2457"/>
      <c r="G45" s="2457"/>
      <c r="H45" s="2457"/>
      <c r="I45" s="2459"/>
      <c r="J45" s="2458" t="str">
        <f>I44&amp;".1"</f>
        <v>...1.1</v>
      </c>
      <c r="K45" s="1281"/>
      <c r="L45" s="1282" t="s">
        <v>403</v>
      </c>
      <c r="P45" s="2460"/>
      <c r="Q45" s="2460">
        <v>1</v>
      </c>
      <c r="R45" s="293"/>
      <c r="S45" s="1411" t="str">
        <f>$J45</f>
        <v>...1.1</v>
      </c>
      <c r="T45" s="223" t="s">
        <v>404</v>
      </c>
      <c r="U45" s="237"/>
      <c r="V45" s="2444"/>
      <c r="W45" s="2445"/>
      <c r="X45" s="2445"/>
      <c r="Y45" s="2445"/>
      <c r="Z45" s="2445"/>
      <c r="AA45" s="2445"/>
      <c r="AB45" s="2446"/>
      <c r="AC45" s="2444"/>
      <c r="AD45" s="2445"/>
      <c r="AE45" s="2445"/>
      <c r="AF45" s="2445"/>
      <c r="AG45" s="2445"/>
      <c r="AH45" s="2445"/>
      <c r="AI45" s="2445"/>
      <c r="AJ45" s="2446"/>
      <c r="AK45" s="1225" t="s">
        <v>482</v>
      </c>
      <c r="AM45" s="436"/>
      <c r="AN45" s="436" t="str">
        <f t="shared" si="1"/>
        <v>Группа потребителей</v>
      </c>
      <c r="AO45" s="436"/>
      <c r="AP45" s="436"/>
      <c r="AQ45" s="1073">
        <v>23</v>
      </c>
    </row>
    <row r="46" spans="1:43" ht="24" customHeight="1">
      <c r="A46" s="1281" t="s">
        <v>263</v>
      </c>
      <c r="B46" s="1281" t="s">
        <v>264</v>
      </c>
      <c r="C46" s="1281" t="s">
        <v>265</v>
      </c>
      <c r="D46" s="1281" t="s">
        <v>517</v>
      </c>
      <c r="E46" s="2457"/>
      <c r="F46" s="2457"/>
      <c r="G46" s="2457"/>
      <c r="H46" s="2457"/>
      <c r="I46" s="2459"/>
      <c r="J46" s="2459"/>
      <c r="K46" s="2458" t="str">
        <f>J45&amp;".1"</f>
        <v>...1.1.1</v>
      </c>
      <c r="L46" s="1282"/>
      <c r="P46" s="2460"/>
      <c r="Q46" s="2460"/>
      <c r="R46" s="293">
        <v>1</v>
      </c>
      <c r="S46" s="1411" t="str">
        <f>$K46</f>
        <v>...1.1.1</v>
      </c>
      <c r="T46" s="1355"/>
      <c r="U46" s="237"/>
      <c r="V46" s="1278"/>
      <c r="W46" s="1278"/>
      <c r="X46" s="1279"/>
      <c r="Y46" s="2454"/>
      <c r="Z46" s="2453" t="s">
        <v>67</v>
      </c>
      <c r="AA46" s="2454"/>
      <c r="AB46" s="2453" t="s">
        <v>67</v>
      </c>
      <c r="AC46" s="687"/>
      <c r="AD46" s="687"/>
      <c r="AE46" s="1175"/>
      <c r="AF46" s="2461"/>
      <c r="AG46" s="2338" t="s">
        <v>67</v>
      </c>
      <c r="AH46" s="2463"/>
      <c r="AI46" s="2338" t="s">
        <v>19</v>
      </c>
      <c r="AJ46" s="1356"/>
      <c r="AK46"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263</v>
      </c>
      <c r="B47" s="1281" t="s">
        <v>264</v>
      </c>
      <c r="C47" s="1281" t="s">
        <v>265</v>
      </c>
      <c r="D47" s="1281" t="s">
        <v>517</v>
      </c>
      <c r="E47" s="2457"/>
      <c r="F47" s="2457"/>
      <c r="G47" s="2457"/>
      <c r="H47" s="2457"/>
      <c r="I47" s="2459"/>
      <c r="J47" s="2459"/>
      <c r="K47" s="2458"/>
      <c r="L47" s="1282"/>
      <c r="P47" s="2460"/>
      <c r="Q47" s="2460"/>
      <c r="R47" s="293"/>
      <c r="S47" s="1408"/>
      <c r="T47" s="237"/>
      <c r="U47" s="237"/>
      <c r="V47" s="1278"/>
      <c r="W47" s="1278"/>
      <c r="X47" s="265" t="str">
        <f>Y46&amp;"-"&amp;AA46</f>
        <v>-</v>
      </c>
      <c r="Y47" s="2453"/>
      <c r="Z47" s="2453"/>
      <c r="AA47" s="2453"/>
      <c r="AB47" s="2453"/>
      <c r="AC47" s="262"/>
      <c r="AD47" s="262"/>
      <c r="AE47" s="265" t="str">
        <f>AF46&amp;"-"&amp;AH46</f>
        <v>-</v>
      </c>
      <c r="AF47" s="2462"/>
      <c r="AG47" s="2338"/>
      <c r="AH47" s="2464"/>
      <c r="AI47" s="2338"/>
      <c r="AJ47" s="1357"/>
      <c r="AK47" s="2530"/>
      <c r="AM47" s="436"/>
      <c r="AN47" s="436" t="str">
        <f t="shared" si="1"/>
        <v/>
      </c>
      <c r="AO47" s="436"/>
      <c r="AP47" s="436"/>
      <c r="AQ47" s="1073">
        <v>0</v>
      </c>
    </row>
    <row r="48" spans="1:43" ht="21" customHeight="1">
      <c r="A48" s="1281" t="s">
        <v>263</v>
      </c>
      <c r="B48" s="1281" t="s">
        <v>264</v>
      </c>
      <c r="C48" s="1281" t="s">
        <v>265</v>
      </c>
      <c r="D48" s="1281" t="s">
        <v>517</v>
      </c>
      <c r="E48" s="2457"/>
      <c r="F48" s="2457"/>
      <c r="G48" s="2457"/>
      <c r="H48" s="2457"/>
      <c r="I48" s="2459"/>
      <c r="J48" s="2458"/>
      <c r="K48" s="1281"/>
      <c r="L48" s="1282"/>
      <c r="P48" s="2460"/>
      <c r="Q48" s="2460"/>
      <c r="R48" s="292"/>
      <c r="S48" s="1196"/>
      <c r="T48" s="224" t="s">
        <v>483</v>
      </c>
      <c r="U48" s="303"/>
      <c r="V48" s="303"/>
      <c r="W48" s="303"/>
      <c r="X48" s="303"/>
      <c r="Y48" s="303"/>
      <c r="Z48" s="303"/>
      <c r="AA48" s="303"/>
      <c r="AB48" s="303"/>
      <c r="AC48" s="303"/>
      <c r="AD48" s="303"/>
      <c r="AE48" s="303"/>
      <c r="AF48" s="303"/>
      <c r="AG48" s="303"/>
      <c r="AH48" s="303"/>
      <c r="AI48" s="303"/>
      <c r="AJ48" s="303"/>
      <c r="AK48" s="1176" t="s">
        <v>484</v>
      </c>
      <c r="AM48" s="436"/>
      <c r="AN48" s="436" t="str">
        <f t="shared" si="1"/>
        <v>Добавить значение признака дифференциации</v>
      </c>
      <c r="AO48" s="436"/>
      <c r="AP48" s="436"/>
      <c r="AQ48" s="1073">
        <v>20</v>
      </c>
    </row>
    <row r="49" spans="1:43" ht="21.95" customHeight="1">
      <c r="A49" s="1281" t="s">
        <v>263</v>
      </c>
      <c r="B49" s="1281" t="s">
        <v>264</v>
      </c>
      <c r="C49" s="1281" t="s">
        <v>265</v>
      </c>
      <c r="D49" s="1281" t="s">
        <v>517</v>
      </c>
      <c r="E49" s="2457"/>
      <c r="F49" s="2457"/>
      <c r="G49" s="2457"/>
      <c r="H49" s="2457"/>
      <c r="I49" s="2458"/>
      <c r="J49" s="1281"/>
      <c r="K49" s="1281"/>
      <c r="L49" s="1282"/>
      <c r="P49" s="2460"/>
      <c r="Q49" s="1399"/>
      <c r="R49" s="292"/>
      <c r="S49" s="1196"/>
      <c r="T49" s="301" t="s">
        <v>409</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263</v>
      </c>
      <c r="B50" s="1281" t="s">
        <v>264</v>
      </c>
      <c r="C50" s="1281" t="s">
        <v>265</v>
      </c>
      <c r="D50" s="1281" t="s">
        <v>517</v>
      </c>
      <c r="E50" s="2457"/>
      <c r="F50" s="2457"/>
      <c r="G50" s="2457"/>
      <c r="H50" s="2456"/>
      <c r="I50" s="1281"/>
      <c r="J50" s="1281"/>
      <c r="K50" s="1281"/>
      <c r="L50" s="1282"/>
      <c r="M50" s="1283"/>
      <c r="N50" s="1283"/>
      <c r="O50" s="473"/>
      <c r="P50" s="296"/>
      <c r="Q50" s="311"/>
      <c r="R50" s="291"/>
      <c r="S50" s="1196"/>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034" customFormat="1" ht="0" hidden="1" customHeight="1">
      <c r="A51" s="1261" t="s">
        <v>263</v>
      </c>
      <c r="B51" s="1261" t="s">
        <v>264</v>
      </c>
      <c r="C51" s="1232"/>
      <c r="D51" s="1232"/>
      <c r="E51" s="2457"/>
      <c r="F51" s="2456"/>
      <c r="G51" s="1232"/>
      <c r="H51" s="1232"/>
      <c r="I51" s="1232"/>
      <c r="J51" s="1232"/>
      <c r="K51" s="1232"/>
      <c r="L51" s="1412"/>
      <c r="M51" s="1239"/>
      <c r="N51" s="1239"/>
      <c r="P51" s="1234"/>
      <c r="Q51" s="1235"/>
      <c r="R51" s="1234"/>
      <c r="S51" s="1240"/>
      <c r="T51" s="1243" t="s">
        <v>412</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34" customFormat="1" ht="0" hidden="1" customHeight="1">
      <c r="A52" s="1261" t="s">
        <v>263</v>
      </c>
      <c r="B52" s="1261"/>
      <c r="C52" s="1261"/>
      <c r="D52" s="1261"/>
      <c r="E52" s="2456"/>
      <c r="F52" s="1261"/>
      <c r="G52" s="1261"/>
      <c r="H52" s="1261"/>
      <c r="I52" s="1261"/>
      <c r="J52" s="1261"/>
      <c r="K52" s="1261"/>
      <c r="L52" s="1264"/>
      <c r="M52" s="1239"/>
      <c r="N52" s="1239"/>
      <c r="O52" s="454"/>
      <c r="P52" s="316"/>
      <c r="Q52" s="1262"/>
      <c r="R52" s="316"/>
      <c r="S52" s="1240"/>
      <c r="T52" s="1243" t="s">
        <v>413</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3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55"/>
      <c r="U55" s="2455"/>
      <c r="V55" s="2455"/>
      <c r="W55" s="2455"/>
      <c r="X55" s="2455"/>
      <c r="Y55" s="2455"/>
      <c r="Z55" s="2455"/>
      <c r="AA55" s="2455"/>
      <c r="AB55" s="2455"/>
      <c r="AC55" s="2455"/>
      <c r="AD55" s="2455"/>
      <c r="AE55" s="2455"/>
      <c r="AF55" s="2455"/>
      <c r="AG55" s="2455"/>
      <c r="AH55" s="2455"/>
      <c r="AI55" s="2455"/>
      <c r="AJ55" s="2455"/>
      <c r="AK55" s="2455"/>
      <c r="AQ55" s="1073">
        <v>14</v>
      </c>
    </row>
    <row r="56" spans="1:43" ht="14.65" customHeight="1">
      <c r="O56" s="473"/>
      <c r="AQ56" s="1073">
        <v>14</v>
      </c>
    </row>
    <row r="57" spans="1:43" ht="14.65" customHeight="1">
      <c r="O57" s="473"/>
      <c r="S57" s="1171"/>
      <c r="T57" s="2455"/>
      <c r="U57" s="2455"/>
      <c r="V57" s="2455"/>
      <c r="W57" s="2455"/>
      <c r="X57" s="2455"/>
      <c r="Y57" s="2455"/>
      <c r="Z57" s="2455"/>
      <c r="AA57" s="2455"/>
      <c r="AB57" s="2455"/>
      <c r="AC57" s="2455"/>
      <c r="AD57" s="2455"/>
      <c r="AE57" s="2455"/>
      <c r="AF57" s="2455"/>
      <c r="AG57" s="2455"/>
      <c r="AH57" s="2455"/>
      <c r="AI57" s="2455"/>
      <c r="AJ57" s="2455"/>
      <c r="AK57" s="245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4" width="24.7109375" style="2062" hidden="1" customWidth="1"/>
    <col min="25" max="25" width="11.7109375" style="2062" hidden="1" customWidth="1"/>
    <col min="26" max="26" width="3.7109375" style="2062" hidden="1" customWidth="1"/>
    <col min="27" max="27" width="11.7109375" style="2062" hidden="1" customWidth="1"/>
    <col min="28" max="28" width="8.5703125" style="2062" hidden="1" customWidth="1"/>
    <col min="29" max="29" width="24.7109375" style="2062" customWidth="1"/>
    <col min="30" max="31" width="24" style="2062" customWidth="1"/>
    <col min="32" max="32" width="11" style="2062" customWidth="1"/>
    <col min="33" max="33" width="3.7109375" style="2062" customWidth="1"/>
    <col min="34" max="34" width="11" style="2062" customWidth="1"/>
    <col min="35" max="35" width="8.5703125" style="2062" hidden="1" customWidth="1"/>
    <col min="36" max="36" width="4" style="2062" customWidth="1"/>
    <col min="37" max="37" width="115" style="2062" customWidth="1"/>
    <col min="38" max="42" width="10" style="2034" customWidth="1"/>
    <col min="43" max="43" width="10.5703125" style="2062" hidden="1"/>
  </cols>
  <sheetData>
    <row r="1" spans="1:43" ht="22.5" hidden="1" customHeight="1">
      <c r="X1" s="264"/>
      <c r="Y1" s="264"/>
      <c r="AE1" s="264"/>
      <c r="AF1" s="264"/>
      <c r="AQ1" s="1073" t="s">
        <v>14</v>
      </c>
    </row>
    <row r="2" spans="1:43" ht="23.25" hidden="1" customHeight="1">
      <c r="A2" s="1281"/>
      <c r="B2" s="1281"/>
      <c r="C2" s="1281"/>
      <c r="D2" s="1281"/>
      <c r="E2" s="2456">
        <v>1</v>
      </c>
      <c r="F2" s="1281"/>
      <c r="G2" s="1281"/>
      <c r="H2" s="1281"/>
      <c r="I2" s="1281"/>
      <c r="J2" s="1281"/>
      <c r="K2" s="1281"/>
      <c r="L2" s="1282"/>
      <c r="M2" s="1283"/>
      <c r="N2" s="1283"/>
      <c r="O2" s="1283"/>
      <c r="P2" s="297"/>
      <c r="Q2" s="296"/>
      <c r="R2" s="291"/>
      <c r="S2" s="1411" t="e">
        <f>INDEX(PT_DIFFERENTIATION_NUM_NTAR,MATCH(A2,PT_DIFFERENTIATION_NTAR_ID,0))</f>
        <v>#N/A</v>
      </c>
      <c r="T2" s="235" t="s">
        <v>122</v>
      </c>
      <c r="U2" s="237"/>
      <c r="V2" s="2450"/>
      <c r="W2" s="2451"/>
      <c r="X2" s="2451"/>
      <c r="Y2" s="2451"/>
      <c r="Z2" s="2451"/>
      <c r="AA2" s="2451"/>
      <c r="AB2" s="2452"/>
      <c r="AC2" s="2450" t="e">
        <f>INDEX(PT_DIFFERENTIATION_NTAR,MATCH(A2,PT_DIFFERENTIATION_NTAR_ID,0))</f>
        <v>#N/A</v>
      </c>
      <c r="AD2" s="2451"/>
      <c r="AE2" s="2451"/>
      <c r="AF2" s="2451"/>
      <c r="AG2" s="2451"/>
      <c r="AH2" s="2451"/>
      <c r="AI2" s="2451"/>
      <c r="AJ2" s="24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457"/>
      <c r="F3" s="2456">
        <v>1</v>
      </c>
      <c r="G3" s="1281"/>
      <c r="H3" s="1281"/>
      <c r="I3" s="1281"/>
      <c r="J3" s="1281"/>
      <c r="K3" s="1281"/>
      <c r="L3" s="1282"/>
      <c r="M3" s="1283"/>
      <c r="N3" s="1283"/>
      <c r="O3" s="1283"/>
      <c r="P3" s="1405"/>
      <c r="Q3" s="288"/>
      <c r="R3" s="289"/>
      <c r="S3" s="1411" t="e">
        <f>INDEX(PT_DIFFERENTIATION_NUM_TER,MATCH(B3,PT_DIFFERENTIATION_TER_ID,0))</f>
        <v>#N/A</v>
      </c>
      <c r="T3" s="245" t="s">
        <v>394</v>
      </c>
      <c r="U3" s="237"/>
      <c r="V3" s="2450"/>
      <c r="W3" s="2451"/>
      <c r="X3" s="2451"/>
      <c r="Y3" s="2451"/>
      <c r="Z3" s="2451"/>
      <c r="AA3" s="2451"/>
      <c r="AB3" s="2452"/>
      <c r="AC3" s="2450" t="e">
        <f>INDEX(PT_DIFFERENTIATION_TER,MATCH(B3,PT_DIFFERENTIATION_TER_ID,0))</f>
        <v>#N/A</v>
      </c>
      <c r="AD3" s="2451"/>
      <c r="AE3" s="2451"/>
      <c r="AF3" s="2451"/>
      <c r="AG3" s="2451"/>
      <c r="AH3" s="2451"/>
      <c r="AI3" s="2451"/>
      <c r="AJ3" s="2452"/>
      <c r="AK3" s="1176" t="s">
        <v>395</v>
      </c>
      <c r="AM3" s="436"/>
      <c r="AN3" s="436" t="str">
        <f t="shared" si="0"/>
        <v>Территория действия тарифа</v>
      </c>
      <c r="AO3" s="436"/>
      <c r="AP3" s="436"/>
      <c r="AQ3" s="1073">
        <v>0</v>
      </c>
    </row>
    <row r="4" spans="1:43" ht="23.25" hidden="1" customHeight="1">
      <c r="A4" s="1281"/>
      <c r="B4" s="1281"/>
      <c r="C4" s="1281"/>
      <c r="D4" s="1281"/>
      <c r="E4" s="2457"/>
      <c r="F4" s="2457"/>
      <c r="G4" s="2456">
        <v>1</v>
      </c>
      <c r="H4" s="1281"/>
      <c r="I4" s="1281"/>
      <c r="J4" s="1281"/>
      <c r="K4" s="1281"/>
      <c r="L4" s="1282"/>
      <c r="M4" s="1283"/>
      <c r="N4" s="1283"/>
      <c r="O4" s="1283"/>
      <c r="P4" s="290"/>
      <c r="Q4" s="288"/>
      <c r="R4" s="289"/>
      <c r="S4" s="1411" t="e">
        <f>INDEX(PT_DIFFERENTIATION_NUM_CS,MATCH(C4,PT_DIFFERENTIATION_CS_ID,0))</f>
        <v>#N/A</v>
      </c>
      <c r="T4" s="246" t="s">
        <v>513</v>
      </c>
      <c r="U4" s="237"/>
      <c r="V4" s="2450"/>
      <c r="W4" s="2451"/>
      <c r="X4" s="2451"/>
      <c r="Y4" s="2451"/>
      <c r="Z4" s="2451"/>
      <c r="AA4" s="2451"/>
      <c r="AB4" s="2452"/>
      <c r="AC4" s="2450" t="e">
        <f>INDEX(PT_DIFFERENTIATION_CS,MATCH(C4,PT_DIFFERENTIATION_CS_ID,0))</f>
        <v>#N/A</v>
      </c>
      <c r="AD4" s="2451"/>
      <c r="AE4" s="2451"/>
      <c r="AF4" s="2451"/>
      <c r="AG4" s="2451"/>
      <c r="AH4" s="2451"/>
      <c r="AI4" s="2451"/>
      <c r="AJ4" s="2452"/>
      <c r="AK4" s="1176" t="s">
        <v>514</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457"/>
      <c r="F5" s="2457"/>
      <c r="G5" s="2457"/>
      <c r="H5" s="2457"/>
      <c r="I5" s="2458" t="e">
        <f>S4&amp;".1"</f>
        <v>#N/A</v>
      </c>
      <c r="J5" s="1281"/>
      <c r="K5" s="1281"/>
      <c r="L5" s="1282"/>
      <c r="P5" s="2460">
        <v>1</v>
      </c>
      <c r="Q5" s="1399"/>
      <c r="R5" s="292"/>
      <c r="S5" s="1411" t="e">
        <f>$I5</f>
        <v>#N/A</v>
      </c>
      <c r="T5" s="222" t="s">
        <v>480</v>
      </c>
      <c r="U5" s="237"/>
      <c r="V5" s="2524"/>
      <c r="W5" s="2525"/>
      <c r="X5" s="2525"/>
      <c r="Y5" s="2525"/>
      <c r="Z5" s="2525"/>
      <c r="AA5" s="2525"/>
      <c r="AB5" s="2526"/>
      <c r="AC5" s="2527"/>
      <c r="AD5" s="2528"/>
      <c r="AE5" s="2528"/>
      <c r="AF5" s="2528"/>
      <c r="AG5" s="2528"/>
      <c r="AH5" s="2528"/>
      <c r="AI5" s="2528"/>
      <c r="AJ5" s="2529"/>
      <c r="AK5" s="1176" t="s">
        <v>481</v>
      </c>
      <c r="AM5" s="436"/>
      <c r="AN5" s="436" t="str">
        <f t="shared" si="0"/>
        <v>Наименование признака дифференциации</v>
      </c>
      <c r="AO5" s="436"/>
      <c r="AP5" s="436"/>
      <c r="AQ5" s="1073">
        <v>0</v>
      </c>
    </row>
    <row r="6" spans="1:43" ht="23.25" hidden="1" customHeight="1">
      <c r="A6" s="1281"/>
      <c r="B6" s="1281"/>
      <c r="C6" s="1281"/>
      <c r="D6" s="1281"/>
      <c r="E6" s="2457"/>
      <c r="F6" s="2457"/>
      <c r="G6" s="2457"/>
      <c r="H6" s="2457"/>
      <c r="I6" s="2459"/>
      <c r="J6" s="2458" t="e">
        <f>I5&amp;".1"</f>
        <v>#N/A</v>
      </c>
      <c r="K6" s="1281"/>
      <c r="L6" s="1282" t="s">
        <v>403</v>
      </c>
      <c r="P6" s="2460"/>
      <c r="Q6" s="2460">
        <v>1</v>
      </c>
      <c r="R6" s="293"/>
      <c r="S6" s="1411" t="e">
        <f>$J6</f>
        <v>#N/A</v>
      </c>
      <c r="T6" s="223" t="s">
        <v>404</v>
      </c>
      <c r="U6" s="237"/>
      <c r="V6" s="2444"/>
      <c r="W6" s="2445"/>
      <c r="X6" s="2445"/>
      <c r="Y6" s="2445"/>
      <c r="Z6" s="2445"/>
      <c r="AA6" s="2445"/>
      <c r="AB6" s="2446"/>
      <c r="AC6" s="2444"/>
      <c r="AD6" s="2445"/>
      <c r="AE6" s="2445"/>
      <c r="AF6" s="2445"/>
      <c r="AG6" s="2445"/>
      <c r="AH6" s="2445"/>
      <c r="AI6" s="2445"/>
      <c r="AJ6" s="2446"/>
      <c r="AK6" s="1225" t="s">
        <v>482</v>
      </c>
      <c r="AM6" s="436"/>
      <c r="AN6" s="436" t="str">
        <f t="shared" si="0"/>
        <v>Группа потребителей</v>
      </c>
      <c r="AO6" s="436"/>
      <c r="AP6" s="436"/>
      <c r="AQ6" s="1073">
        <v>0</v>
      </c>
    </row>
    <row r="7" spans="1:43" ht="23.25" hidden="1" customHeight="1">
      <c r="A7" s="1281"/>
      <c r="B7" s="1281"/>
      <c r="C7" s="1281"/>
      <c r="D7" s="1281"/>
      <c r="E7" s="2457"/>
      <c r="F7" s="2457"/>
      <c r="G7" s="2457"/>
      <c r="H7" s="2457"/>
      <c r="I7" s="2459"/>
      <c r="J7" s="2459"/>
      <c r="K7" s="2458" t="e">
        <f>J6&amp;".1"</f>
        <v>#N/A</v>
      </c>
      <c r="L7" s="1282"/>
      <c r="P7" s="2460"/>
      <c r="Q7" s="2460"/>
      <c r="R7" s="293">
        <v>1</v>
      </c>
      <c r="S7" s="1411" t="e">
        <f>$K7</f>
        <v>#N/A</v>
      </c>
      <c r="T7" s="1355"/>
      <c r="U7" s="237"/>
      <c r="V7" s="687"/>
      <c r="W7" s="687"/>
      <c r="X7" s="1175"/>
      <c r="Y7" s="2461"/>
      <c r="Z7" s="2338" t="s">
        <v>67</v>
      </c>
      <c r="AA7" s="2461"/>
      <c r="AB7" s="2338" t="s">
        <v>67</v>
      </c>
      <c r="AC7" s="687"/>
      <c r="AD7" s="687"/>
      <c r="AE7" s="1175"/>
      <c r="AF7" s="2461"/>
      <c r="AG7" s="2338" t="s">
        <v>67</v>
      </c>
      <c r="AH7" s="2463"/>
      <c r="AI7" s="2338" t="s">
        <v>67</v>
      </c>
      <c r="AJ7" s="1356"/>
      <c r="AK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457"/>
      <c r="F8" s="2457"/>
      <c r="G8" s="2457"/>
      <c r="H8" s="2457"/>
      <c r="I8" s="2459"/>
      <c r="J8" s="2459"/>
      <c r="K8" s="2458"/>
      <c r="L8" s="1282"/>
      <c r="P8" s="2460"/>
      <c r="Q8" s="2460"/>
      <c r="R8" s="293"/>
      <c r="S8" s="1408"/>
      <c r="T8" s="237"/>
      <c r="U8" s="237"/>
      <c r="V8" s="262"/>
      <c r="W8" s="262"/>
      <c r="X8" s="265" t="str">
        <f>Y7&amp;"-"&amp;AA7</f>
        <v>-</v>
      </c>
      <c r="Y8" s="2462"/>
      <c r="Z8" s="2338"/>
      <c r="AA8" s="2462"/>
      <c r="AB8" s="2338"/>
      <c r="AC8" s="262"/>
      <c r="AD8" s="262"/>
      <c r="AE8" s="265" t="str">
        <f>AF7&amp;"-"&amp;AH7</f>
        <v>-</v>
      </c>
      <c r="AF8" s="2462"/>
      <c r="AG8" s="2338"/>
      <c r="AH8" s="2464"/>
      <c r="AI8" s="2338"/>
      <c r="AJ8" s="1357"/>
      <c r="AK8" s="2530"/>
      <c r="AM8" s="436"/>
      <c r="AN8" s="436" t="str">
        <f t="shared" si="0"/>
        <v/>
      </c>
      <c r="AO8" s="436"/>
      <c r="AP8" s="436"/>
      <c r="AQ8" s="1073">
        <v>0</v>
      </c>
    </row>
    <row r="9" spans="1:43" ht="21" hidden="1" customHeight="1">
      <c r="A9" s="1281"/>
      <c r="B9" s="1281"/>
      <c r="C9" s="1281"/>
      <c r="D9" s="1281"/>
      <c r="E9" s="2457"/>
      <c r="F9" s="2457"/>
      <c r="G9" s="2457"/>
      <c r="H9" s="2457"/>
      <c r="I9" s="2459"/>
      <c r="J9" s="2458"/>
      <c r="K9" s="1281"/>
      <c r="L9" s="1282"/>
      <c r="P9" s="2460"/>
      <c r="Q9" s="2460"/>
      <c r="R9" s="292"/>
      <c r="S9" s="1196"/>
      <c r="T9" s="224" t="s">
        <v>483</v>
      </c>
      <c r="U9" s="303"/>
      <c r="V9" s="303"/>
      <c r="W9" s="303"/>
      <c r="X9" s="303"/>
      <c r="Y9" s="303"/>
      <c r="Z9" s="303"/>
      <c r="AA9" s="303"/>
      <c r="AB9" s="303"/>
      <c r="AC9" s="303"/>
      <c r="AD9" s="303"/>
      <c r="AE9" s="303"/>
      <c r="AF9" s="303"/>
      <c r="AG9" s="303"/>
      <c r="AH9" s="303"/>
      <c r="AI9" s="303"/>
      <c r="AJ9" s="303"/>
      <c r="AK9" s="1176" t="s">
        <v>484</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457"/>
      <c r="F10" s="2457"/>
      <c r="G10" s="2457"/>
      <c r="H10" s="2457"/>
      <c r="I10" s="2458"/>
      <c r="J10" s="1281"/>
      <c r="K10" s="1281"/>
      <c r="L10" s="1282"/>
      <c r="P10" s="2460"/>
      <c r="Q10" s="1399"/>
      <c r="R10" s="292"/>
      <c r="S10" s="1196"/>
      <c r="T10" s="301" t="s">
        <v>409</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034" customFormat="1" ht="14.25" hidden="1" customHeight="1">
      <c r="A12" s="1261"/>
      <c r="B12" s="1261"/>
      <c r="C12" s="1232"/>
      <c r="D12" s="1232"/>
      <c r="E12" s="2457"/>
      <c r="F12" s="2456"/>
      <c r="G12" s="1232"/>
      <c r="H12" s="1232"/>
      <c r="I12" s="1232"/>
      <c r="J12" s="1232"/>
      <c r="K12" s="1232"/>
      <c r="L12" s="1412"/>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454"/>
      <c r="AG15" s="2453" t="s">
        <v>67</v>
      </c>
      <c r="AH15" s="2454"/>
      <c r="AI15" s="2453" t="s">
        <v>67</v>
      </c>
      <c r="AQ15" s="1073">
        <v>0</v>
      </c>
    </row>
    <row r="16" spans="1:43" ht="14.25" hidden="1" customHeight="1">
      <c r="AC16" s="1278"/>
      <c r="AD16" s="1278"/>
      <c r="AE16" s="265" t="str">
        <f>AF15&amp;"-"&amp;AH15</f>
        <v>-</v>
      </c>
      <c r="AF16" s="2453"/>
      <c r="AG16" s="2453"/>
      <c r="AH16" s="2453"/>
      <c r="AI16" s="2453"/>
      <c r="AQ16" s="1073">
        <v>0</v>
      </c>
    </row>
    <row r="17" spans="1:43" ht="14.25" hidden="1" customHeight="1">
      <c r="AI17" s="264"/>
      <c r="AQ17" s="1073">
        <v>0</v>
      </c>
    </row>
    <row r="18" spans="1:43" s="2056" customFormat="1" ht="22.5" hidden="1" customHeight="1">
      <c r="L18" s="1396"/>
      <c r="M18" s="1280"/>
      <c r="N18" s="1280"/>
      <c r="O18" s="1285" t="s">
        <v>414</v>
      </c>
      <c r="P18" s="1280"/>
      <c r="Q18" s="1289"/>
      <c r="R18" s="1289"/>
      <c r="S18" s="665"/>
      <c r="Y18" s="1285"/>
      <c r="AA18" s="1285"/>
      <c r="AB18" s="1284"/>
      <c r="AF18" s="1285"/>
      <c r="AH18" s="1285"/>
      <c r="AI18" s="1284"/>
      <c r="AL18" s="447"/>
      <c r="AM18" s="447"/>
      <c r="AN18" s="447"/>
      <c r="AO18" s="447"/>
      <c r="AP18" s="447"/>
      <c r="AQ18" s="1078">
        <v>0</v>
      </c>
    </row>
    <row r="19" spans="1:43" s="2056"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056" customFormat="1" ht="12" hidden="1" customHeight="1">
      <c r="L20" s="1396"/>
      <c r="M20" s="1280"/>
      <c r="N20" s="1280"/>
      <c r="O20" s="1282" t="s">
        <v>415</v>
      </c>
      <c r="P20" s="1280"/>
      <c r="Q20" s="1360"/>
      <c r="R20" s="1360"/>
      <c r="S20" s="665"/>
      <c r="T20" s="1078" t="s">
        <v>416</v>
      </c>
      <c r="Z20" s="123" t="s">
        <v>417</v>
      </c>
      <c r="AB20" s="123" t="s">
        <v>418</v>
      </c>
      <c r="AC20" s="1078" t="s">
        <v>416</v>
      </c>
      <c r="AG20" s="123" t="s">
        <v>419</v>
      </c>
      <c r="AI20" s="123" t="s">
        <v>418</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43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37"/>
      <c r="U24" s="2437"/>
      <c r="V24" s="2437"/>
      <c r="W24" s="2437"/>
      <c r="X24" s="2437"/>
      <c r="Y24" s="2437"/>
      <c r="Z24" s="2437"/>
      <c r="AA24" s="2437"/>
      <c r="AB24" s="2437"/>
      <c r="AC24" s="2437"/>
      <c r="AD24" s="2437"/>
      <c r="AE24" s="2437"/>
      <c r="AF24" s="2437"/>
      <c r="AG24" s="2437"/>
      <c r="AH24" s="2437"/>
      <c r="AI24" s="1161"/>
      <c r="AQ24" s="1073">
        <v>14</v>
      </c>
    </row>
    <row r="25" spans="1:43"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63"/>
      <c r="AC27" s="2449" t="str">
        <f>IF(TITLE_NAME_OR_PR_CHANGE="",IF(TITLE_NAME_OR_PR="","",TITLE_NAME_OR_PR),TITLE_NAME_OR_PR_CHANGE)</f>
        <v/>
      </c>
      <c r="AD27" s="2449"/>
      <c r="AE27" s="2449"/>
      <c r="AF27" s="2449"/>
      <c r="AG27" s="2449"/>
      <c r="AH27" s="2449"/>
      <c r="AI27" s="263"/>
      <c r="AJ27" s="263"/>
      <c r="AK27" s="217"/>
      <c r="AL27" s="304"/>
      <c r="AM27" s="304"/>
      <c r="AN27" s="304"/>
      <c r="AO27" s="304"/>
      <c r="AP27" s="304"/>
      <c r="AQ27" s="354">
        <v>0</v>
      </c>
    </row>
    <row r="28" spans="1:43"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63"/>
      <c r="AC28" s="2448" t="str">
        <f>IF(TITLE_DATE_PR_CHANGE="",IF(TITLE_DATE_PR="","",TITLE_DATE_PR),TITLE_DATE_PR_CHANGE)</f>
        <v/>
      </c>
      <c r="AD28" s="2448"/>
      <c r="AE28" s="2448"/>
      <c r="AF28" s="2448"/>
      <c r="AG28" s="2448"/>
      <c r="AH28" s="2448"/>
      <c r="AI28" s="263"/>
      <c r="AJ28" s="263"/>
      <c r="AK28" s="217"/>
      <c r="AL28" s="304"/>
      <c r="AM28" s="304"/>
      <c r="AN28" s="304"/>
      <c r="AO28" s="304"/>
      <c r="AP28" s="304"/>
      <c r="AQ28" s="354">
        <v>0</v>
      </c>
    </row>
    <row r="29" spans="1:43"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63"/>
      <c r="AC29" s="2449" t="str">
        <f>IF(TITLE_NUMBER_PR_CHANGE="",IF(TITLE_NUMBER_PR="","",TITLE_NUMBER_PR),TITLE_NUMBER_PR_CHANGE)</f>
        <v/>
      </c>
      <c r="AD29" s="2449"/>
      <c r="AE29" s="2449"/>
      <c r="AF29" s="2449"/>
      <c r="AG29" s="2449"/>
      <c r="AH29" s="2449"/>
      <c r="AI29" s="263"/>
      <c r="AJ29" s="263"/>
      <c r="AK29" s="217"/>
      <c r="AL29" s="304"/>
      <c r="AM29" s="304"/>
      <c r="AN29" s="304"/>
      <c r="AO29" s="304"/>
      <c r="AP29" s="304"/>
      <c r="AQ29" s="354">
        <v>0</v>
      </c>
    </row>
    <row r="30" spans="1:43"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63"/>
      <c r="AC30" s="2449" t="str">
        <f>IF(TITLE_IST_PUB_CHANGE="",IF(TITLE_IST_PUB="","",TITLE_IST_PUB),TITLE_IST_PUB_CHANGE)</f>
        <v/>
      </c>
      <c r="AD30" s="2449"/>
      <c r="AE30" s="2449"/>
      <c r="AF30" s="2449"/>
      <c r="AG30" s="2449"/>
      <c r="AH30" s="2449"/>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63"/>
      <c r="AC32" s="2448" t="str">
        <f>IF(TITLE_DATE_PR_CHANGE="",IF(TITLE_DATE_PR="","",TITLE_DATE_PR),TITLE_DATE_PR_CHANGE)</f>
        <v/>
      </c>
      <c r="AD32" s="2448"/>
      <c r="AE32" s="2448"/>
      <c r="AF32" s="2448"/>
      <c r="AG32" s="2448"/>
      <c r="AH32" s="2448"/>
      <c r="AI32" s="263"/>
      <c r="AJ32" s="263"/>
      <c r="AK32" s="217"/>
      <c r="AL32" s="304"/>
      <c r="AM32" s="304"/>
      <c r="AN32" s="304"/>
      <c r="AO32" s="304"/>
      <c r="AP32" s="304"/>
      <c r="AQ32" s="354">
        <v>0</v>
      </c>
    </row>
    <row r="33" spans="1:43"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63"/>
      <c r="AC33" s="2449" t="str">
        <f>IF(TITLE_NUMBER_PR_CHANGE="",IF(TITLE_NUMBER_PR="","",TITLE_NUMBER_PR),TITLE_NUMBER_PR_CHANGE)</f>
        <v/>
      </c>
      <c r="AD33" s="2449"/>
      <c r="AE33" s="2449"/>
      <c r="AF33" s="2449"/>
      <c r="AG33" s="2449"/>
      <c r="AH33" s="2449"/>
      <c r="AI33" s="263"/>
      <c r="AJ33" s="263"/>
      <c r="AK33" s="217"/>
      <c r="AL33" s="304"/>
      <c r="AM33" s="304"/>
      <c r="AN33" s="304"/>
      <c r="AO33" s="304"/>
      <c r="AP33" s="304"/>
      <c r="AQ33" s="354">
        <v>0</v>
      </c>
    </row>
    <row r="34" spans="1:43"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193"/>
      <c r="T35" s="299"/>
      <c r="U35" s="1162"/>
      <c r="V35" s="2468"/>
      <c r="W35" s="2468"/>
      <c r="X35" s="2468"/>
      <c r="Y35" s="2468"/>
      <c r="Z35" s="2468"/>
      <c r="AA35" s="2468"/>
      <c r="AB35" s="2468"/>
      <c r="AC35" s="2468"/>
      <c r="AD35" s="2468"/>
      <c r="AE35" s="2468"/>
      <c r="AF35" s="2468"/>
      <c r="AG35" s="2468"/>
      <c r="AH35" s="2468"/>
      <c r="AI35" s="2468"/>
      <c r="AQ35" s="1073">
        <v>14</v>
      </c>
    </row>
    <row r="36" spans="1:43"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t="s">
        <v>298</v>
      </c>
      <c r="AQ36" s="1073">
        <v>14</v>
      </c>
    </row>
    <row r="37" spans="1:43" ht="14.65" customHeight="1">
      <c r="Q37" s="312"/>
      <c r="R37" s="312"/>
      <c r="S37" s="2469" t="s">
        <v>90</v>
      </c>
      <c r="T37" s="2417" t="s">
        <v>425</v>
      </c>
      <c r="U37" s="238"/>
      <c r="V37" s="2470" t="s">
        <v>426</v>
      </c>
      <c r="W37" s="2471"/>
      <c r="X37" s="2471"/>
      <c r="Y37" s="2471"/>
      <c r="Z37" s="2471"/>
      <c r="AA37" s="2472"/>
      <c r="AB37" s="2473" t="s">
        <v>427</v>
      </c>
      <c r="AC37" s="2470" t="s">
        <v>426</v>
      </c>
      <c r="AD37" s="2471"/>
      <c r="AE37" s="2471"/>
      <c r="AF37" s="2471"/>
      <c r="AG37" s="2471"/>
      <c r="AH37" s="2472"/>
      <c r="AI37" s="2473" t="s">
        <v>428</v>
      </c>
      <c r="AJ37" s="2476" t="s">
        <v>429</v>
      </c>
      <c r="AK37" s="2328"/>
      <c r="AQ37" s="1073">
        <v>14</v>
      </c>
    </row>
    <row r="38" spans="1:43" ht="35.65" customHeight="1">
      <c r="Q38" s="312"/>
      <c r="R38" s="312"/>
      <c r="S38" s="2469"/>
      <c r="T38" s="2417"/>
      <c r="U38" s="954"/>
      <c r="V38" s="1401" t="s">
        <v>486</v>
      </c>
      <c r="W38" s="2310" t="s">
        <v>432</v>
      </c>
      <c r="X38" s="2309"/>
      <c r="Y38" s="2310" t="s">
        <v>433</v>
      </c>
      <c r="Z38" s="2315"/>
      <c r="AA38" s="2309"/>
      <c r="AB38" s="2474"/>
      <c r="AC38" s="1401" t="s">
        <v>486</v>
      </c>
      <c r="AD38" s="2310" t="s">
        <v>432</v>
      </c>
      <c r="AE38" s="2309"/>
      <c r="AF38" s="2310" t="s">
        <v>433</v>
      </c>
      <c r="AG38" s="2315"/>
      <c r="AH38" s="2309"/>
      <c r="AI38" s="2474"/>
      <c r="AJ38" s="2477"/>
      <c r="AK38" s="2328"/>
      <c r="AQ38" s="1073">
        <v>34</v>
      </c>
    </row>
    <row r="39" spans="1:43" ht="90.4" customHeight="1">
      <c r="A39" s="1288"/>
      <c r="B39" s="1288" t="s">
        <v>134</v>
      </c>
      <c r="C39" s="1288" t="s">
        <v>135</v>
      </c>
      <c r="D39" s="1288" t="s">
        <v>136</v>
      </c>
      <c r="E39" s="1282" t="s">
        <v>434</v>
      </c>
      <c r="F39" s="1282" t="s">
        <v>435</v>
      </c>
      <c r="G39" s="1282" t="s">
        <v>436</v>
      </c>
      <c r="H39" s="1282"/>
      <c r="I39" s="1282" t="s">
        <v>487</v>
      </c>
      <c r="J39" s="1282" t="s">
        <v>439</v>
      </c>
      <c r="K39" s="1282" t="s">
        <v>488</v>
      </c>
      <c r="L39" s="1282" t="s">
        <v>415</v>
      </c>
      <c r="Q39" s="312"/>
      <c r="R39" s="312"/>
      <c r="S39" s="2469"/>
      <c r="T39" s="2417"/>
      <c r="U39" s="239"/>
      <c r="V39" s="1401" t="s">
        <v>515</v>
      </c>
      <c r="W39" s="1140" t="s">
        <v>516</v>
      </c>
      <c r="X39" s="1140" t="s">
        <v>491</v>
      </c>
      <c r="Y39" s="1407" t="s">
        <v>443</v>
      </c>
      <c r="Z39" s="2422" t="s">
        <v>444</v>
      </c>
      <c r="AA39" s="2436"/>
      <c r="AB39" s="2475"/>
      <c r="AC39" s="1401" t="s">
        <v>515</v>
      </c>
      <c r="AD39" s="1140" t="s">
        <v>516</v>
      </c>
      <c r="AE39" s="1140" t="s">
        <v>491</v>
      </c>
      <c r="AF39" s="1407" t="s">
        <v>443</v>
      </c>
      <c r="AG39" s="2422" t="s">
        <v>444</v>
      </c>
      <c r="AH39" s="2436"/>
      <c r="AI39" s="2475"/>
      <c r="AJ39" s="2478"/>
      <c r="AK39" s="2328"/>
      <c r="AQ39" s="1073">
        <v>86</v>
      </c>
    </row>
    <row r="40" spans="1:43" s="202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108</v>
      </c>
      <c r="T40" s="1173" t="s">
        <v>109</v>
      </c>
      <c r="U40" s="1163" t="str">
        <f ca="1">OFFSET(U40,0,-1)</f>
        <v>2</v>
      </c>
      <c r="V40" s="1400">
        <f ca="1">OFFSET(V40,0,-1)+1</f>
        <v>3</v>
      </c>
      <c r="W40" s="1400">
        <f ca="1">OFFSET(W40,0,-1)+1</f>
        <v>4</v>
      </c>
      <c r="X40" s="1400">
        <f ca="1">OFFSET(X40,0,-1)+1</f>
        <v>5</v>
      </c>
      <c r="Y40" s="1400">
        <f ca="1">OFFSET(Y40,0,-1)+1</f>
        <v>6</v>
      </c>
      <c r="Z40" s="2467">
        <f ca="1">OFFSET(Z40,0,-1)+1</f>
        <v>7</v>
      </c>
      <c r="AA40" s="2467"/>
      <c r="AB40" s="1400">
        <f ca="1">OFFSET(AB40,0,-2)+1</f>
        <v>8</v>
      </c>
      <c r="AC40" s="1400">
        <f ca="1">OFFSET(AC40,0,-1)+1</f>
        <v>9</v>
      </c>
      <c r="AD40" s="1400">
        <f ca="1">OFFSET(AD40,0,-1)+1</f>
        <v>10</v>
      </c>
      <c r="AE40" s="1400">
        <f ca="1">OFFSET(AE40,0,-1)+1</f>
        <v>11</v>
      </c>
      <c r="AF40" s="1400">
        <f ca="1">OFFSET(AF40,0,-1)+1</f>
        <v>12</v>
      </c>
      <c r="AG40" s="2467">
        <f ca="1">OFFSET(AG40,0,-1)+1</f>
        <v>13</v>
      </c>
      <c r="AH40" s="2467"/>
      <c r="AI40" s="1400">
        <f ca="1">OFFSET(AI40,0,-2)+1</f>
        <v>14</v>
      </c>
      <c r="AJ40" s="1163">
        <f ca="1">OFFSET(AJ40,0,-1)</f>
        <v>14</v>
      </c>
      <c r="AK40" s="1400">
        <f ca="1">OFFSET(AK40,0,-1)+1</f>
        <v>15</v>
      </c>
      <c r="AL40" s="447"/>
      <c r="AM40" s="447"/>
      <c r="AN40" s="447"/>
      <c r="AO40" s="447"/>
      <c r="AP40" s="447"/>
      <c r="AQ40" s="432">
        <v>0</v>
      </c>
    </row>
    <row r="41" spans="1:43" ht="24" customHeight="1">
      <c r="A41" s="1281" t="s">
        <v>268</v>
      </c>
      <c r="B41" s="1281"/>
      <c r="C41" s="1281"/>
      <c r="D41" s="1281"/>
      <c r="E41" s="2456">
        <v>1</v>
      </c>
      <c r="F41" s="1281"/>
      <c r="G41" s="1281"/>
      <c r="H41" s="1281"/>
      <c r="I41" s="1281"/>
      <c r="J41" s="1281"/>
      <c r="K41" s="1281"/>
      <c r="L41" s="1282"/>
      <c r="M41" s="1283"/>
      <c r="N41" s="1283"/>
      <c r="O41" s="1283"/>
      <c r="P41" s="297"/>
      <c r="Q41" s="296"/>
      <c r="R41" s="291"/>
      <c r="S41" s="1411">
        <f>INDEX(PT_DIFFERENTIATION_NUM_NTAR,MATCH(A41,PT_DIFFERENTIATION_NTAR_ID,0))</f>
        <v>0</v>
      </c>
      <c r="T41" s="235" t="s">
        <v>122</v>
      </c>
      <c r="U41" s="237"/>
      <c r="V41" s="2450"/>
      <c r="W41" s="2451"/>
      <c r="X41" s="2451"/>
      <c r="Y41" s="2451"/>
      <c r="Z41" s="2451"/>
      <c r="AA41" s="2451"/>
      <c r="AB41" s="2452"/>
      <c r="AC41" s="2450" t="str">
        <f>INDEX(PT_DIFFERENTIATION_NTAR,MATCH(A41,PT_DIFFERENTIATION_NTAR_ID,0))</f>
        <v/>
      </c>
      <c r="AD41" s="2451"/>
      <c r="AE41" s="2451"/>
      <c r="AF41" s="2451"/>
      <c r="AG41" s="2451"/>
      <c r="AH41" s="2451"/>
      <c r="AI41" s="2451"/>
      <c r="AJ41" s="24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268</v>
      </c>
      <c r="B42" s="1281" t="s">
        <v>269</v>
      </c>
      <c r="C42" s="1281"/>
      <c r="D42" s="1281"/>
      <c r="E42" s="2457"/>
      <c r="F42" s="2456">
        <v>1</v>
      </c>
      <c r="G42" s="1281"/>
      <c r="H42" s="1281"/>
      <c r="I42" s="1281"/>
      <c r="J42" s="1281"/>
      <c r="K42" s="1281"/>
      <c r="L42" s="1282"/>
      <c r="M42" s="1283"/>
      <c r="N42" s="1283"/>
      <c r="O42" s="1283"/>
      <c r="P42" s="1405"/>
      <c r="Q42" s="288"/>
      <c r="R42" s="289"/>
      <c r="S42" s="1411" t="str">
        <f>INDEX(PT_DIFFERENTIATION_NUM_TER,MATCH(B42,PT_DIFFERENTIATION_TER_ID,0))</f>
        <v>.</v>
      </c>
      <c r="T42" s="245" t="s">
        <v>394</v>
      </c>
      <c r="U42" s="237"/>
      <c r="V42" s="2450"/>
      <c r="W42" s="2451"/>
      <c r="X42" s="2451"/>
      <c r="Y42" s="2451"/>
      <c r="Z42" s="2451"/>
      <c r="AA42" s="2451"/>
      <c r="AB42" s="2452"/>
      <c r="AC42" s="2450" t="str">
        <f>INDEX(PT_DIFFERENTIATION_TER,MATCH(B42,PT_DIFFERENTIATION_TER_ID,0))</f>
        <v/>
      </c>
      <c r="AD42" s="2451"/>
      <c r="AE42" s="2451"/>
      <c r="AF42" s="2451"/>
      <c r="AG42" s="2451"/>
      <c r="AH42" s="2451"/>
      <c r="AI42" s="2451"/>
      <c r="AJ42" s="2452"/>
      <c r="AK42" s="1176" t="s">
        <v>395</v>
      </c>
      <c r="AM42" s="436"/>
      <c r="AN42" s="436" t="str">
        <f t="shared" si="1"/>
        <v>Территория действия тарифа</v>
      </c>
      <c r="AO42" s="436"/>
      <c r="AP42" s="436"/>
      <c r="AQ42" s="1073">
        <v>23</v>
      </c>
    </row>
    <row r="43" spans="1:43" ht="24" customHeight="1">
      <c r="A43" s="1281" t="s">
        <v>268</v>
      </c>
      <c r="B43" s="1281" t="s">
        <v>269</v>
      </c>
      <c r="C43" s="1281" t="s">
        <v>270</v>
      </c>
      <c r="D43" s="1281"/>
      <c r="E43" s="2457"/>
      <c r="F43" s="2457"/>
      <c r="G43" s="2456">
        <v>1</v>
      </c>
      <c r="H43" s="1281"/>
      <c r="I43" s="1281"/>
      <c r="J43" s="1281"/>
      <c r="K43" s="1281"/>
      <c r="L43" s="1282"/>
      <c r="M43" s="1283"/>
      <c r="N43" s="1283"/>
      <c r="O43" s="1283"/>
      <c r="P43" s="290"/>
      <c r="Q43" s="288"/>
      <c r="R43" s="289"/>
      <c r="S43" s="1411" t="str">
        <f>INDEX(PT_DIFFERENTIATION_NUM_CS,MATCH(C43,PT_DIFFERENTIATION_CS_ID,0))</f>
        <v>..</v>
      </c>
      <c r="T43" s="246" t="s">
        <v>513</v>
      </c>
      <c r="U43" s="237"/>
      <c r="V43" s="2450"/>
      <c r="W43" s="2451"/>
      <c r="X43" s="2451"/>
      <c r="Y43" s="2451"/>
      <c r="Z43" s="2451"/>
      <c r="AA43" s="2451"/>
      <c r="AB43" s="2452"/>
      <c r="AC43" s="2450" t="str">
        <f>INDEX(PT_DIFFERENTIATION_CS,MATCH(C43,PT_DIFFERENTIATION_CS_ID,0))</f>
        <v/>
      </c>
      <c r="AD43" s="2451"/>
      <c r="AE43" s="2451"/>
      <c r="AF43" s="2451"/>
      <c r="AG43" s="2451"/>
      <c r="AH43" s="2451"/>
      <c r="AI43" s="2451"/>
      <c r="AJ43" s="2452"/>
      <c r="AK43" s="1176" t="s">
        <v>514</v>
      </c>
      <c r="AM43" s="436"/>
      <c r="AN43" s="436" t="str">
        <f t="shared" si="1"/>
        <v>Наименование централизованной системы водоотведения</v>
      </c>
      <c r="AO43" s="436"/>
      <c r="AP43" s="436"/>
      <c r="AQ43" s="1073">
        <v>23</v>
      </c>
    </row>
    <row r="44" spans="1:43" ht="24" customHeight="1">
      <c r="A44" s="1281" t="s">
        <v>268</v>
      </c>
      <c r="B44" s="1281" t="s">
        <v>269</v>
      </c>
      <c r="C44" s="1281" t="s">
        <v>270</v>
      </c>
      <c r="D44" s="1281" t="s">
        <v>518</v>
      </c>
      <c r="E44" s="2457"/>
      <c r="F44" s="2457"/>
      <c r="G44" s="2457"/>
      <c r="H44" s="2457"/>
      <c r="I44" s="2458" t="str">
        <f>S43&amp;".1"</f>
        <v>...1</v>
      </c>
      <c r="J44" s="1281"/>
      <c r="K44" s="1281"/>
      <c r="L44" s="1282"/>
      <c r="P44" s="2460">
        <v>1</v>
      </c>
      <c r="Q44" s="1399"/>
      <c r="R44" s="292"/>
      <c r="S44" s="1411" t="str">
        <f>$I44</f>
        <v>...1</v>
      </c>
      <c r="T44" s="222" t="s">
        <v>480</v>
      </c>
      <c r="U44" s="237"/>
      <c r="V44" s="2524"/>
      <c r="W44" s="2525"/>
      <c r="X44" s="2525"/>
      <c r="Y44" s="2525"/>
      <c r="Z44" s="2525"/>
      <c r="AA44" s="2525"/>
      <c r="AB44" s="2526"/>
      <c r="AC44" s="2527"/>
      <c r="AD44" s="2528"/>
      <c r="AE44" s="2528"/>
      <c r="AF44" s="2528"/>
      <c r="AG44" s="2528"/>
      <c r="AH44" s="2528"/>
      <c r="AI44" s="2528"/>
      <c r="AJ44" s="2529"/>
      <c r="AK44" s="1176" t="s">
        <v>481</v>
      </c>
      <c r="AM44" s="436"/>
      <c r="AN44" s="436" t="str">
        <f t="shared" si="1"/>
        <v>Наименование признака дифференциации</v>
      </c>
      <c r="AO44" s="436"/>
      <c r="AP44" s="436"/>
      <c r="AQ44" s="1073">
        <v>23</v>
      </c>
    </row>
    <row r="45" spans="1:43" ht="24" customHeight="1">
      <c r="A45" s="1281" t="s">
        <v>268</v>
      </c>
      <c r="B45" s="1281" t="s">
        <v>269</v>
      </c>
      <c r="C45" s="1281" t="s">
        <v>270</v>
      </c>
      <c r="D45" s="1281" t="s">
        <v>518</v>
      </c>
      <c r="E45" s="2457"/>
      <c r="F45" s="2457"/>
      <c r="G45" s="2457"/>
      <c r="H45" s="2457"/>
      <c r="I45" s="2459"/>
      <c r="J45" s="2458" t="str">
        <f>I44&amp;".1"</f>
        <v>...1.1</v>
      </c>
      <c r="K45" s="1281"/>
      <c r="L45" s="1282" t="s">
        <v>403</v>
      </c>
      <c r="P45" s="2460"/>
      <c r="Q45" s="2460">
        <v>1</v>
      </c>
      <c r="R45" s="293"/>
      <c r="S45" s="1411" t="str">
        <f>$J45</f>
        <v>...1.1</v>
      </c>
      <c r="T45" s="223" t="s">
        <v>404</v>
      </c>
      <c r="U45" s="237"/>
      <c r="V45" s="2444"/>
      <c r="W45" s="2445"/>
      <c r="X45" s="2445"/>
      <c r="Y45" s="2445"/>
      <c r="Z45" s="2445"/>
      <c r="AA45" s="2445"/>
      <c r="AB45" s="2446"/>
      <c r="AC45" s="2444"/>
      <c r="AD45" s="2445"/>
      <c r="AE45" s="2445"/>
      <c r="AF45" s="2445"/>
      <c r="AG45" s="2445"/>
      <c r="AH45" s="2445"/>
      <c r="AI45" s="2445"/>
      <c r="AJ45" s="2446"/>
      <c r="AK45" s="1225" t="s">
        <v>482</v>
      </c>
      <c r="AM45" s="436"/>
      <c r="AN45" s="436" t="str">
        <f t="shared" si="1"/>
        <v>Группа потребителей</v>
      </c>
      <c r="AO45" s="436"/>
      <c r="AP45" s="436"/>
      <c r="AQ45" s="1073">
        <v>23</v>
      </c>
    </row>
    <row r="46" spans="1:43" ht="24" customHeight="1">
      <c r="A46" s="1281" t="s">
        <v>268</v>
      </c>
      <c r="B46" s="1281" t="s">
        <v>269</v>
      </c>
      <c r="C46" s="1281" t="s">
        <v>270</v>
      </c>
      <c r="D46" s="1281" t="s">
        <v>518</v>
      </c>
      <c r="E46" s="2457"/>
      <c r="F46" s="2457"/>
      <c r="G46" s="2457"/>
      <c r="H46" s="2457"/>
      <c r="I46" s="2459"/>
      <c r="J46" s="2459"/>
      <c r="K46" s="2458" t="str">
        <f>J45&amp;".1"</f>
        <v>...1.1.1</v>
      </c>
      <c r="L46" s="1282"/>
      <c r="P46" s="2460"/>
      <c r="Q46" s="2460"/>
      <c r="R46" s="293">
        <v>1</v>
      </c>
      <c r="S46" s="1411" t="str">
        <f>$K46</f>
        <v>...1.1.1</v>
      </c>
      <c r="T46" s="1355"/>
      <c r="U46" s="237"/>
      <c r="V46" s="1278"/>
      <c r="W46" s="1278"/>
      <c r="X46" s="1279"/>
      <c r="Y46" s="2454"/>
      <c r="Z46" s="2453" t="s">
        <v>67</v>
      </c>
      <c r="AA46" s="2454"/>
      <c r="AB46" s="2453" t="s">
        <v>67</v>
      </c>
      <c r="AC46" s="687"/>
      <c r="AD46" s="687"/>
      <c r="AE46" s="1175"/>
      <c r="AF46" s="2461"/>
      <c r="AG46" s="2338" t="s">
        <v>67</v>
      </c>
      <c r="AH46" s="2463"/>
      <c r="AI46" s="2338" t="s">
        <v>19</v>
      </c>
      <c r="AJ46" s="1356"/>
      <c r="AK46"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268</v>
      </c>
      <c r="B47" s="1281" t="s">
        <v>269</v>
      </c>
      <c r="C47" s="1281" t="s">
        <v>270</v>
      </c>
      <c r="D47" s="1281" t="s">
        <v>518</v>
      </c>
      <c r="E47" s="2457"/>
      <c r="F47" s="2457"/>
      <c r="G47" s="2457"/>
      <c r="H47" s="2457"/>
      <c r="I47" s="2459"/>
      <c r="J47" s="2459"/>
      <c r="K47" s="2458"/>
      <c r="L47" s="1282"/>
      <c r="P47" s="2460"/>
      <c r="Q47" s="2460"/>
      <c r="R47" s="293"/>
      <c r="S47" s="1408"/>
      <c r="T47" s="237"/>
      <c r="U47" s="237"/>
      <c r="V47" s="1278"/>
      <c r="W47" s="1278"/>
      <c r="X47" s="265" t="str">
        <f>Y46&amp;"-"&amp;AA46</f>
        <v>-</v>
      </c>
      <c r="Y47" s="2453"/>
      <c r="Z47" s="2453"/>
      <c r="AA47" s="2453"/>
      <c r="AB47" s="2453"/>
      <c r="AC47" s="262"/>
      <c r="AD47" s="262"/>
      <c r="AE47" s="265" t="str">
        <f>AF46&amp;"-"&amp;AH46</f>
        <v>-</v>
      </c>
      <c r="AF47" s="2462"/>
      <c r="AG47" s="2338"/>
      <c r="AH47" s="2464"/>
      <c r="AI47" s="2338"/>
      <c r="AJ47" s="1357"/>
      <c r="AK47" s="2530"/>
      <c r="AM47" s="436"/>
      <c r="AN47" s="436" t="str">
        <f t="shared" si="1"/>
        <v/>
      </c>
      <c r="AO47" s="436"/>
      <c r="AP47" s="436"/>
      <c r="AQ47" s="1073">
        <v>0</v>
      </c>
    </row>
    <row r="48" spans="1:43" ht="21" customHeight="1">
      <c r="A48" s="1281" t="s">
        <v>268</v>
      </c>
      <c r="B48" s="1281" t="s">
        <v>269</v>
      </c>
      <c r="C48" s="1281" t="s">
        <v>270</v>
      </c>
      <c r="D48" s="1281" t="s">
        <v>518</v>
      </c>
      <c r="E48" s="2457"/>
      <c r="F48" s="2457"/>
      <c r="G48" s="2457"/>
      <c r="H48" s="2457"/>
      <c r="I48" s="2459"/>
      <c r="J48" s="2458"/>
      <c r="K48" s="1281"/>
      <c r="L48" s="1282"/>
      <c r="P48" s="2460"/>
      <c r="Q48" s="2460"/>
      <c r="R48" s="292"/>
      <c r="S48" s="1196"/>
      <c r="T48" s="224" t="s">
        <v>483</v>
      </c>
      <c r="U48" s="303"/>
      <c r="V48" s="303"/>
      <c r="W48" s="303"/>
      <c r="X48" s="303"/>
      <c r="Y48" s="303"/>
      <c r="Z48" s="303"/>
      <c r="AA48" s="303"/>
      <c r="AB48" s="303"/>
      <c r="AC48" s="303"/>
      <c r="AD48" s="303"/>
      <c r="AE48" s="303"/>
      <c r="AF48" s="303"/>
      <c r="AG48" s="303"/>
      <c r="AH48" s="303"/>
      <c r="AI48" s="303"/>
      <c r="AJ48" s="303"/>
      <c r="AK48" s="1176" t="s">
        <v>484</v>
      </c>
      <c r="AM48" s="436"/>
      <c r="AN48" s="436" t="str">
        <f t="shared" si="1"/>
        <v>Добавить значение признака дифференциации</v>
      </c>
      <c r="AO48" s="436"/>
      <c r="AP48" s="436"/>
      <c r="AQ48" s="1073">
        <v>20</v>
      </c>
    </row>
    <row r="49" spans="1:43" ht="21.95" customHeight="1">
      <c r="A49" s="1281" t="s">
        <v>268</v>
      </c>
      <c r="B49" s="1281" t="s">
        <v>269</v>
      </c>
      <c r="C49" s="1281" t="s">
        <v>270</v>
      </c>
      <c r="D49" s="1281" t="s">
        <v>518</v>
      </c>
      <c r="E49" s="2457"/>
      <c r="F49" s="2457"/>
      <c r="G49" s="2457"/>
      <c r="H49" s="2457"/>
      <c r="I49" s="2458"/>
      <c r="J49" s="1281"/>
      <c r="K49" s="1281"/>
      <c r="L49" s="1282"/>
      <c r="P49" s="2460"/>
      <c r="Q49" s="1399"/>
      <c r="R49" s="292"/>
      <c r="S49" s="1196"/>
      <c r="T49" s="301" t="s">
        <v>409</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268</v>
      </c>
      <c r="B50" s="1281" t="s">
        <v>269</v>
      </c>
      <c r="C50" s="1281" t="s">
        <v>270</v>
      </c>
      <c r="D50" s="1281" t="s">
        <v>518</v>
      </c>
      <c r="E50" s="2457"/>
      <c r="F50" s="2457"/>
      <c r="G50" s="2457"/>
      <c r="H50" s="2456"/>
      <c r="I50" s="1281"/>
      <c r="J50" s="1281"/>
      <c r="K50" s="1281"/>
      <c r="L50" s="1282"/>
      <c r="M50" s="1283"/>
      <c r="N50" s="1283"/>
      <c r="O50" s="473"/>
      <c r="P50" s="296"/>
      <c r="Q50" s="311"/>
      <c r="R50" s="291"/>
      <c r="S50" s="1196"/>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034" customFormat="1" ht="0" hidden="1" customHeight="1">
      <c r="A51" s="1261" t="s">
        <v>268</v>
      </c>
      <c r="B51" s="1261" t="s">
        <v>269</v>
      </c>
      <c r="C51" s="1232"/>
      <c r="D51" s="1232"/>
      <c r="E51" s="2457"/>
      <c r="F51" s="2456"/>
      <c r="G51" s="1232"/>
      <c r="H51" s="1232"/>
      <c r="I51" s="1232"/>
      <c r="J51" s="1232"/>
      <c r="K51" s="1232"/>
      <c r="L51" s="1412"/>
      <c r="M51" s="1239"/>
      <c r="N51" s="1239"/>
      <c r="P51" s="1234"/>
      <c r="Q51" s="1235"/>
      <c r="R51" s="1234"/>
      <c r="S51" s="1240"/>
      <c r="T51" s="1243" t="s">
        <v>412</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34" customFormat="1" ht="0" hidden="1" customHeight="1">
      <c r="A52" s="1261" t="s">
        <v>268</v>
      </c>
      <c r="B52" s="1261"/>
      <c r="C52" s="1261"/>
      <c r="D52" s="1261"/>
      <c r="E52" s="2456"/>
      <c r="F52" s="1261"/>
      <c r="G52" s="1261"/>
      <c r="H52" s="1261"/>
      <c r="I52" s="1261"/>
      <c r="J52" s="1261"/>
      <c r="K52" s="1261"/>
      <c r="L52" s="1264"/>
      <c r="M52" s="1239"/>
      <c r="N52" s="1239"/>
      <c r="O52" s="454"/>
      <c r="P52" s="316"/>
      <c r="Q52" s="1262"/>
      <c r="R52" s="316"/>
      <c r="S52" s="1240"/>
      <c r="T52" s="1243" t="s">
        <v>413</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3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455"/>
      <c r="U55" s="2455"/>
      <c r="V55" s="2455"/>
      <c r="W55" s="2455"/>
      <c r="X55" s="2455"/>
      <c r="Y55" s="2455"/>
      <c r="Z55" s="2455"/>
      <c r="AA55" s="2455"/>
      <c r="AB55" s="2455"/>
      <c r="AC55" s="2455"/>
      <c r="AD55" s="2455"/>
      <c r="AE55" s="2455"/>
      <c r="AF55" s="2455"/>
      <c r="AG55" s="2455"/>
      <c r="AH55" s="2455"/>
      <c r="AI55" s="2455"/>
      <c r="AJ55" s="2455"/>
      <c r="AK55" s="2455"/>
      <c r="AQ55" s="1073">
        <v>14</v>
      </c>
    </row>
    <row r="56" spans="1:43" ht="14.65" customHeight="1">
      <c r="O56" s="473"/>
      <c r="AQ56" s="1073">
        <v>14</v>
      </c>
    </row>
    <row r="57" spans="1:43" ht="14.65" customHeight="1">
      <c r="O57" s="473"/>
      <c r="S57" s="1171"/>
      <c r="T57" s="2455"/>
      <c r="U57" s="2455"/>
      <c r="V57" s="2455"/>
      <c r="W57" s="2455"/>
      <c r="X57" s="2455"/>
      <c r="Y57" s="2455"/>
      <c r="Z57" s="2455"/>
      <c r="AA57" s="2455"/>
      <c r="AB57" s="2455"/>
      <c r="AC57" s="2455"/>
      <c r="AD57" s="2455"/>
      <c r="AE57" s="2455"/>
      <c r="AF57" s="2455"/>
      <c r="AG57" s="2455"/>
      <c r="AH57" s="2455"/>
      <c r="AI57" s="2455"/>
      <c r="AJ57" s="2455"/>
      <c r="AK57" s="245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6" hidden="1" customWidth="1"/>
    <col min="2" max="2" width="11" style="2056" hidden="1" customWidth="1"/>
    <col min="3" max="3" width="10.5703125" style="2056" hidden="1"/>
    <col min="4" max="4" width="12.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7109375" style="2029" hidden="1" customWidth="1"/>
    <col min="17" max="17" width="3.7109375" style="2023" hidden="1" customWidth="1"/>
    <col min="18" max="18" width="3" style="2059" customWidth="1"/>
    <col min="19" max="19" width="12" style="2106" customWidth="1"/>
    <col min="20" max="20" width="31" style="2062" customWidth="1"/>
    <col min="21" max="21" width="0.140625" style="2062" customWidth="1"/>
    <col min="22" max="25" width="21.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3.7109375" style="2062" customWidth="1"/>
    <col min="31" max="32" width="3" style="2062" customWidth="1"/>
    <col min="33" max="33" width="24" style="2062" customWidth="1"/>
    <col min="34" max="34" width="3.7109375" style="2062" customWidth="1"/>
    <col min="35" max="36" width="3" style="2062" customWidth="1"/>
    <col min="37" max="37" width="24" style="2062" customWidth="1"/>
    <col min="38" max="38" width="3.7109375" style="2062" customWidth="1"/>
    <col min="39" max="40" width="3" style="2062" customWidth="1"/>
    <col min="41" max="41" width="18" style="2062" customWidth="1"/>
    <col min="42" max="42" width="3.7109375" style="2062" customWidth="1"/>
    <col min="43" max="44" width="3" style="2062" customWidth="1"/>
    <col min="45" max="45" width="18" style="2062" customWidth="1"/>
    <col min="46" max="49" width="21" style="2062" customWidth="1"/>
    <col min="50" max="50" width="11" style="2062" customWidth="1"/>
    <col min="51" max="51" width="3.7109375" style="2062" customWidth="1"/>
    <col min="52" max="52" width="11" style="2062" customWidth="1"/>
    <col min="53" max="53" width="8.5703125" style="2062" hidden="1" customWidth="1"/>
    <col min="54" max="54" width="4" style="2062" customWidth="1"/>
    <col min="55" max="55" width="115" style="2062" customWidth="1"/>
    <col min="56" max="60" width="10" style="2034" customWidth="1"/>
    <col min="61" max="61" width="10.5703125" style="2062" hidden="1"/>
  </cols>
  <sheetData>
    <row r="1" spans="1:61" ht="22.5" hidden="1" customHeight="1">
      <c r="W1" s="264"/>
      <c r="Y1" s="264"/>
      <c r="Z1" s="264"/>
      <c r="AW1" s="264"/>
      <c r="AX1" s="264"/>
      <c r="BI1" s="1073" t="s">
        <v>14</v>
      </c>
    </row>
    <row r="2" spans="1:61" ht="21" hidden="1" customHeight="1">
      <c r="A2" s="1281"/>
      <c r="B2" s="1281"/>
      <c r="C2" s="1281"/>
      <c r="D2" s="1281"/>
      <c r="E2" s="2456">
        <v>1</v>
      </c>
      <c r="F2" s="1281"/>
      <c r="G2" s="1281"/>
      <c r="H2" s="1281"/>
      <c r="I2" s="1281"/>
      <c r="J2" s="1281"/>
      <c r="K2" s="1281"/>
      <c r="L2" s="1282"/>
      <c r="M2" s="1283"/>
      <c r="N2" s="1283"/>
      <c r="O2" s="1283"/>
      <c r="P2" s="1327"/>
      <c r="Q2" s="799"/>
      <c r="R2" s="291"/>
      <c r="S2" s="1411" t="e">
        <f>INDEX(PT_DIFFERENTIATION_NUM_NTAR,MATCH(A2,PT_DIFFERENTIATION_NTAR_ID,0))</f>
        <v>#N/A</v>
      </c>
      <c r="T2" s="235" t="s">
        <v>122</v>
      </c>
      <c r="U2" s="237"/>
      <c r="V2" s="2451"/>
      <c r="W2" s="2451"/>
      <c r="X2" s="2451"/>
      <c r="Y2" s="2451"/>
      <c r="Z2" s="2451"/>
      <c r="AA2" s="2451"/>
      <c r="AB2" s="2451"/>
      <c r="AC2" s="2452"/>
      <c r="AD2" s="2450" t="e">
        <f>INDEX(PT_DIFFERENTIATION_NTAR,MATCH(A2,PT_DIFFERENTIATION_NTAR_ID,0))</f>
        <v>#N/A</v>
      </c>
      <c r="AE2" s="2451"/>
      <c r="AF2" s="2451"/>
      <c r="AG2" s="2451"/>
      <c r="AH2" s="2451"/>
      <c r="AI2" s="2451"/>
      <c r="AJ2" s="2451"/>
      <c r="AK2" s="2451"/>
      <c r="AL2" s="2451"/>
      <c r="AM2" s="2451"/>
      <c r="AN2" s="2451"/>
      <c r="AO2" s="2451"/>
      <c r="AP2" s="2451"/>
      <c r="AQ2" s="2451"/>
      <c r="AR2" s="2451"/>
      <c r="AS2" s="2451"/>
      <c r="AT2" s="2451"/>
      <c r="AU2" s="2451"/>
      <c r="AV2" s="2451"/>
      <c r="AW2" s="2451"/>
      <c r="AX2" s="2451"/>
      <c r="AY2" s="2451"/>
      <c r="AZ2" s="2451"/>
      <c r="BA2" s="2451"/>
      <c r="BB2" s="245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57"/>
      <c r="F3" s="2456">
        <v>1</v>
      </c>
      <c r="G3" s="1281"/>
      <c r="H3" s="1281"/>
      <c r="I3" s="1281"/>
      <c r="J3" s="1281"/>
      <c r="K3" s="1281"/>
      <c r="L3" s="1282"/>
      <c r="M3" s="1283"/>
      <c r="N3" s="1283"/>
      <c r="O3" s="1283"/>
      <c r="P3" s="1328"/>
      <c r="Q3" s="1329"/>
      <c r="R3" s="289"/>
      <c r="S3" s="1411" t="e">
        <f>INDEX(PT_DIFFERENTIATION_NUM_TER,MATCH(B3,PT_DIFFERENTIATION_TER_ID,0))</f>
        <v>#N/A</v>
      </c>
      <c r="T3" s="245" t="s">
        <v>394</v>
      </c>
      <c r="U3" s="237"/>
      <c r="V3" s="2451"/>
      <c r="W3" s="2451"/>
      <c r="X3" s="2451"/>
      <c r="Y3" s="2451"/>
      <c r="Z3" s="2451"/>
      <c r="AA3" s="2451"/>
      <c r="AB3" s="2451"/>
      <c r="AC3" s="2452"/>
      <c r="AD3" s="2450" t="e">
        <f>INDEX(PT_DIFFERENTIATION_TER,MATCH(B3,PT_DIFFERENTIATION_TER_ID,0))</f>
        <v>#N/A</v>
      </c>
      <c r="AE3" s="2451"/>
      <c r="AF3" s="2451"/>
      <c r="AG3" s="2451"/>
      <c r="AH3" s="2451"/>
      <c r="AI3" s="2451"/>
      <c r="AJ3" s="2451"/>
      <c r="AK3" s="2451"/>
      <c r="AL3" s="2451"/>
      <c r="AM3" s="2451"/>
      <c r="AN3" s="2451"/>
      <c r="AO3" s="2451"/>
      <c r="AP3" s="2451"/>
      <c r="AQ3" s="2451"/>
      <c r="AR3" s="2451"/>
      <c r="AS3" s="2451"/>
      <c r="AT3" s="2451"/>
      <c r="AU3" s="2451"/>
      <c r="AV3" s="2451"/>
      <c r="AW3" s="2451"/>
      <c r="AX3" s="2451"/>
      <c r="AY3" s="2451"/>
      <c r="AZ3" s="2451"/>
      <c r="BA3" s="2451"/>
      <c r="BB3" s="2452"/>
      <c r="BC3" s="1176" t="s">
        <v>395</v>
      </c>
      <c r="BE3" s="436"/>
      <c r="BF3" s="436" t="str">
        <f t="shared" si="0"/>
        <v>Территория действия тарифа</v>
      </c>
      <c r="BG3" s="436"/>
      <c r="BH3" s="436"/>
      <c r="BI3" s="1073">
        <v>0</v>
      </c>
    </row>
    <row r="4" spans="1:61" ht="33.75" hidden="1" customHeight="1">
      <c r="A4" s="1281"/>
      <c r="B4" s="1281"/>
      <c r="C4" s="1281"/>
      <c r="D4" s="1281"/>
      <c r="E4" s="2457"/>
      <c r="F4" s="2457"/>
      <c r="G4" s="2456">
        <v>1</v>
      </c>
      <c r="H4" s="1281"/>
      <c r="I4" s="1281"/>
      <c r="J4" s="1281"/>
      <c r="K4" s="1281"/>
      <c r="L4" s="1282"/>
      <c r="M4" s="1283"/>
      <c r="N4" s="1283"/>
      <c r="O4" s="1283"/>
      <c r="P4" s="1330"/>
      <c r="Q4" s="1329"/>
      <c r="R4" s="289"/>
      <c r="S4" s="1411" t="e">
        <f>INDEX(PT_DIFFERENTIATION_NUM_CS,MATCH(C4,PT_DIFFERENTIATION_CS_ID,0))</f>
        <v>#N/A</v>
      </c>
      <c r="T4" s="246" t="s">
        <v>513</v>
      </c>
      <c r="U4" s="237"/>
      <c r="V4" s="2451"/>
      <c r="W4" s="2451"/>
      <c r="X4" s="2451"/>
      <c r="Y4" s="2451"/>
      <c r="Z4" s="2451"/>
      <c r="AA4" s="2451"/>
      <c r="AB4" s="2451"/>
      <c r="AC4" s="2452"/>
      <c r="AD4" s="2450" t="e">
        <f>INDEX(PT_DIFFERENTIATION_CS,MATCH(C4,PT_DIFFERENTIATION_CS_ID,0))</f>
        <v>#N/A</v>
      </c>
      <c r="AE4" s="2451"/>
      <c r="AF4" s="2451"/>
      <c r="AG4" s="2451"/>
      <c r="AH4" s="2451"/>
      <c r="AI4" s="2451"/>
      <c r="AJ4" s="2451"/>
      <c r="AK4" s="2451"/>
      <c r="AL4" s="2451"/>
      <c r="AM4" s="2451"/>
      <c r="AN4" s="2451"/>
      <c r="AO4" s="2451"/>
      <c r="AP4" s="2451"/>
      <c r="AQ4" s="2451"/>
      <c r="AR4" s="2451"/>
      <c r="AS4" s="2451"/>
      <c r="AT4" s="2451"/>
      <c r="AU4" s="2451"/>
      <c r="AV4" s="2451"/>
      <c r="AW4" s="2451"/>
      <c r="AX4" s="2451"/>
      <c r="AY4" s="2451"/>
      <c r="AZ4" s="2451"/>
      <c r="BA4" s="2451"/>
      <c r="BB4" s="2452"/>
      <c r="BC4" s="1176" t="s">
        <v>514</v>
      </c>
      <c r="BE4" s="436"/>
      <c r="BF4" s="436" t="str">
        <f t="shared" si="0"/>
        <v>Наименование централизованной системы водоотведения</v>
      </c>
      <c r="BG4" s="436"/>
      <c r="BH4" s="436"/>
      <c r="BI4" s="1073">
        <v>0</v>
      </c>
    </row>
    <row r="5" spans="1:61" s="2034" customFormat="1" ht="14.25" hidden="1" customHeight="1">
      <c r="A5" s="1261"/>
      <c r="B5" s="1261"/>
      <c r="C5" s="1261"/>
      <c r="D5" s="1261"/>
      <c r="E5" s="2457"/>
      <c r="F5" s="2457"/>
      <c r="G5" s="2457"/>
      <c r="H5" s="2456">
        <v>1</v>
      </c>
      <c r="I5" s="1261"/>
      <c r="J5" s="1261"/>
      <c r="K5" s="1261"/>
      <c r="L5" s="1264"/>
      <c r="M5" s="1233"/>
      <c r="N5" s="1233"/>
      <c r="O5" s="1233"/>
      <c r="P5" s="1415"/>
      <c r="Q5" s="1416"/>
      <c r="R5" s="293"/>
      <c r="S5" s="965"/>
      <c r="T5" s="1417"/>
      <c r="U5" s="1302"/>
      <c r="V5" s="2488"/>
      <c r="W5" s="2488"/>
      <c r="X5" s="2488"/>
      <c r="Y5" s="2488"/>
      <c r="Z5" s="2488"/>
      <c r="AA5" s="2488"/>
      <c r="AB5" s="2488"/>
      <c r="AC5" s="2489"/>
      <c r="AD5" s="2487"/>
      <c r="AE5" s="2488"/>
      <c r="AF5" s="2488"/>
      <c r="AG5" s="2488"/>
      <c r="AH5" s="2488"/>
      <c r="AI5" s="2488"/>
      <c r="AJ5" s="2488"/>
      <c r="AK5" s="2488"/>
      <c r="AL5" s="2488"/>
      <c r="AM5" s="2488"/>
      <c r="AN5" s="2488"/>
      <c r="AO5" s="2488"/>
      <c r="AP5" s="2488"/>
      <c r="AQ5" s="2488"/>
      <c r="AR5" s="2488"/>
      <c r="AS5" s="2488"/>
      <c r="AT5" s="2488"/>
      <c r="AU5" s="2488"/>
      <c r="AV5" s="2488"/>
      <c r="AW5" s="2488"/>
      <c r="AX5" s="2488"/>
      <c r="AY5" s="2488"/>
      <c r="AZ5" s="2488"/>
      <c r="BA5" s="2488"/>
      <c r="BB5" s="2489"/>
      <c r="BC5" s="1303" t="s">
        <v>399</v>
      </c>
      <c r="BE5" s="436"/>
      <c r="BF5" s="436" t="str">
        <f t="shared" si="0"/>
        <v/>
      </c>
      <c r="BG5" s="436"/>
      <c r="BH5" s="436"/>
      <c r="BI5" s="447">
        <v>0</v>
      </c>
    </row>
    <row r="6" spans="1:61" s="2034" customFormat="1" ht="14.25" hidden="1" customHeight="1">
      <c r="A6" s="1261"/>
      <c r="B6" s="1261"/>
      <c r="C6" s="1261"/>
      <c r="D6" s="1261"/>
      <c r="E6" s="2457"/>
      <c r="F6" s="2457"/>
      <c r="G6" s="2457"/>
      <c r="H6" s="2457"/>
      <c r="I6" s="2458" t="str">
        <f>S5&amp;".1"</f>
        <v>.1</v>
      </c>
      <c r="J6" s="1261"/>
      <c r="K6" s="1261"/>
      <c r="L6" s="1264" t="s">
        <v>400</v>
      </c>
      <c r="M6" s="446"/>
      <c r="N6" s="446"/>
      <c r="O6" s="446"/>
      <c r="P6" s="2460">
        <v>1</v>
      </c>
      <c r="Q6" s="1399"/>
      <c r="R6" s="292"/>
      <c r="S6" s="965"/>
      <c r="T6" s="1301"/>
      <c r="U6" s="1302"/>
      <c r="V6" s="2488"/>
      <c r="W6" s="2488"/>
      <c r="X6" s="2488"/>
      <c r="Y6" s="2488"/>
      <c r="Z6" s="2488"/>
      <c r="AA6" s="2488"/>
      <c r="AB6" s="2488"/>
      <c r="AC6" s="2489"/>
      <c r="AD6" s="2487"/>
      <c r="AE6" s="2488"/>
      <c r="AF6" s="2488"/>
      <c r="AG6" s="2488"/>
      <c r="AH6" s="2488"/>
      <c r="AI6" s="2488"/>
      <c r="AJ6" s="2488"/>
      <c r="AK6" s="2488"/>
      <c r="AL6" s="2488"/>
      <c r="AM6" s="2488"/>
      <c r="AN6" s="2488"/>
      <c r="AO6" s="2488"/>
      <c r="AP6" s="2488"/>
      <c r="AQ6" s="2488"/>
      <c r="AR6" s="2488"/>
      <c r="AS6" s="2488"/>
      <c r="AT6" s="2488"/>
      <c r="AU6" s="2488"/>
      <c r="AV6" s="2488"/>
      <c r="AW6" s="2488"/>
      <c r="AX6" s="2488"/>
      <c r="AY6" s="2488"/>
      <c r="AZ6" s="2488"/>
      <c r="BA6" s="2488"/>
      <c r="BB6" s="2489"/>
      <c r="BC6" s="1303"/>
      <c r="BE6" s="436"/>
      <c r="BF6" s="436" t="str">
        <f t="shared" si="0"/>
        <v/>
      </c>
      <c r="BG6" s="436"/>
      <c r="BH6" s="436"/>
      <c r="BI6" s="447">
        <v>0</v>
      </c>
    </row>
    <row r="7" spans="1:61" s="2034" customFormat="1" ht="14.25" hidden="1" customHeight="1">
      <c r="A7" s="1261"/>
      <c r="B7" s="1261"/>
      <c r="C7" s="1261"/>
      <c r="D7" s="1261"/>
      <c r="E7" s="2457"/>
      <c r="F7" s="2457"/>
      <c r="G7" s="2457"/>
      <c r="H7" s="2457"/>
      <c r="I7" s="2459"/>
      <c r="J7" s="2458" t="str">
        <f>S5&amp;".1"</f>
        <v>.1</v>
      </c>
      <c r="K7" s="1261"/>
      <c r="L7" s="1264"/>
      <c r="M7" s="446"/>
      <c r="N7" s="446"/>
      <c r="O7" s="446"/>
      <c r="P7" s="2460"/>
      <c r="Q7" s="2460">
        <v>1</v>
      </c>
      <c r="R7" s="293"/>
      <c r="S7" s="965"/>
      <c r="T7" s="1317"/>
      <c r="U7" s="1302"/>
      <c r="V7" s="2488"/>
      <c r="W7" s="2488"/>
      <c r="X7" s="2488"/>
      <c r="Y7" s="2488"/>
      <c r="Z7" s="2488"/>
      <c r="AA7" s="2488"/>
      <c r="AB7" s="2488"/>
      <c r="AC7" s="2489"/>
      <c r="AD7" s="2487"/>
      <c r="AE7" s="2488"/>
      <c r="AF7" s="2488"/>
      <c r="AG7" s="2488"/>
      <c r="AH7" s="2488"/>
      <c r="AI7" s="2488"/>
      <c r="AJ7" s="2488"/>
      <c r="AK7" s="2488"/>
      <c r="AL7" s="2488"/>
      <c r="AM7" s="2488"/>
      <c r="AN7" s="2488"/>
      <c r="AO7" s="2488"/>
      <c r="AP7" s="2488"/>
      <c r="AQ7" s="2488"/>
      <c r="AR7" s="2488"/>
      <c r="AS7" s="2488"/>
      <c r="AT7" s="2488"/>
      <c r="AU7" s="2488"/>
      <c r="AV7" s="2488"/>
      <c r="AW7" s="2488"/>
      <c r="AX7" s="2488"/>
      <c r="AY7" s="2488"/>
      <c r="AZ7" s="2488"/>
      <c r="BA7" s="2488"/>
      <c r="BB7" s="2489"/>
      <c r="BC7" s="1303"/>
      <c r="BE7" s="436"/>
      <c r="BF7" s="436" t="str">
        <f t="shared" si="0"/>
        <v/>
      </c>
      <c r="BG7" s="436"/>
      <c r="BH7" s="436"/>
      <c r="BI7" s="447">
        <v>0</v>
      </c>
    </row>
    <row r="8" spans="1:61" ht="11.25" hidden="1" customHeight="1">
      <c r="A8" s="1281"/>
      <c r="B8" s="1281"/>
      <c r="C8" s="1281"/>
      <c r="D8" s="1281"/>
      <c r="E8" s="2457"/>
      <c r="F8" s="2457"/>
      <c r="G8" s="2457"/>
      <c r="H8" s="2457"/>
      <c r="I8" s="2459"/>
      <c r="J8" s="2459"/>
      <c r="K8" s="2458" t="e">
        <f>S4&amp;".1"</f>
        <v>#N/A</v>
      </c>
      <c r="L8" s="1282"/>
      <c r="P8" s="2460"/>
      <c r="Q8" s="2460"/>
      <c r="R8" s="2516">
        <v>1</v>
      </c>
      <c r="S8" s="2513" t="e">
        <f>$K8</f>
        <v>#N/A</v>
      </c>
      <c r="T8" s="2533"/>
      <c r="U8" s="237"/>
      <c r="V8" s="687"/>
      <c r="W8" s="1175"/>
      <c r="X8" s="687"/>
      <c r="Y8" s="1175"/>
      <c r="Z8" s="1651"/>
      <c r="AA8" s="1387" t="s">
        <v>67</v>
      </c>
      <c r="AB8" s="1651"/>
      <c r="AC8" s="1387" t="s">
        <v>67</v>
      </c>
      <c r="AD8" s="2400" t="s">
        <v>67</v>
      </c>
      <c r="AE8" s="2509"/>
      <c r="AF8" s="2413">
        <v>1</v>
      </c>
      <c r="AG8" s="2532"/>
      <c r="AH8" s="2338" t="s">
        <v>67</v>
      </c>
      <c r="AI8" s="2509"/>
      <c r="AJ8" s="2413">
        <v>1</v>
      </c>
      <c r="AK8" s="2523" t="s">
        <v>22</v>
      </c>
      <c r="AL8" s="2338" t="s">
        <v>67</v>
      </c>
      <c r="AM8" s="2388"/>
      <c r="AN8" s="2413">
        <v>1</v>
      </c>
      <c r="AO8" s="2536"/>
      <c r="AP8" s="2537" t="s">
        <v>67</v>
      </c>
      <c r="AQ8" s="248"/>
      <c r="AR8" s="1404">
        <v>1</v>
      </c>
      <c r="AS8" s="1410" t="s">
        <v>22</v>
      </c>
      <c r="AT8" s="687"/>
      <c r="AU8" s="1175"/>
      <c r="AV8" s="687"/>
      <c r="AW8" s="1175"/>
      <c r="AX8" s="1651"/>
      <c r="AY8" s="1387" t="s">
        <v>67</v>
      </c>
      <c r="AZ8" s="1651"/>
      <c r="BA8" s="1387" t="s">
        <v>67</v>
      </c>
      <c r="BB8" s="1266"/>
      <c r="BC8" s="2479" t="s">
        <v>498</v>
      </c>
      <c r="BE8" s="436"/>
      <c r="BF8" s="436" t="str">
        <f t="shared" si="0"/>
        <v/>
      </c>
      <c r="BG8" s="436"/>
      <c r="BH8" s="436"/>
      <c r="BI8" s="1073">
        <v>0</v>
      </c>
    </row>
    <row r="9" spans="1:61" ht="11.25" hidden="1" customHeight="1">
      <c r="A9" s="1281"/>
      <c r="B9" s="1281"/>
      <c r="C9" s="1281"/>
      <c r="D9" s="1281"/>
      <c r="E9" s="2457"/>
      <c r="F9" s="2457"/>
      <c r="G9" s="2457"/>
      <c r="H9" s="2457"/>
      <c r="I9" s="2459"/>
      <c r="J9" s="2459"/>
      <c r="K9" s="2458"/>
      <c r="L9" s="1282"/>
      <c r="P9" s="2460"/>
      <c r="Q9" s="2460"/>
      <c r="R9" s="2516"/>
      <c r="S9" s="2514"/>
      <c r="T9" s="2534"/>
      <c r="U9" s="237"/>
      <c r="V9" s="1311"/>
      <c r="W9" s="1414"/>
      <c r="X9" s="1311"/>
      <c r="Y9" s="1414"/>
      <c r="Z9" s="1311"/>
      <c r="AA9" s="1311"/>
      <c r="AB9" s="1311"/>
      <c r="AC9" s="1311"/>
      <c r="AD9" s="2401"/>
      <c r="AE9" s="2509"/>
      <c r="AF9" s="2413"/>
      <c r="AG9" s="2532"/>
      <c r="AH9" s="2338"/>
      <c r="AI9" s="2509"/>
      <c r="AJ9" s="2413"/>
      <c r="AK9" s="2523"/>
      <c r="AL9" s="2338"/>
      <c r="AM9" s="2393"/>
      <c r="AN9" s="2413"/>
      <c r="AO9" s="2536"/>
      <c r="AP9" s="2538"/>
      <c r="AQ9" s="253"/>
      <c r="AR9" s="352"/>
      <c r="AS9" s="352" t="s">
        <v>499</v>
      </c>
      <c r="AT9" s="1311"/>
      <c r="AU9" s="1414"/>
      <c r="AV9" s="1311"/>
      <c r="AW9" s="1414"/>
      <c r="AX9" s="1311"/>
      <c r="AY9" s="1311"/>
      <c r="AZ9" s="1311"/>
      <c r="BA9" s="1311"/>
      <c r="BB9" s="1315"/>
      <c r="BC9" s="2480"/>
      <c r="BE9" s="436"/>
      <c r="BF9" s="436"/>
      <c r="BG9" s="436"/>
      <c r="BH9" s="436"/>
      <c r="BI9" s="1073">
        <v>0</v>
      </c>
    </row>
    <row r="10" spans="1:61" ht="11.25" hidden="1" customHeight="1">
      <c r="A10" s="1281"/>
      <c r="B10" s="1281"/>
      <c r="C10" s="1281"/>
      <c r="D10" s="1281"/>
      <c r="E10" s="2457"/>
      <c r="F10" s="2457"/>
      <c r="G10" s="2457"/>
      <c r="H10" s="2457"/>
      <c r="I10" s="2459"/>
      <c r="J10" s="2459"/>
      <c r="K10" s="2458"/>
      <c r="L10" s="1282"/>
      <c r="P10" s="2460"/>
      <c r="Q10" s="2460"/>
      <c r="R10" s="2516"/>
      <c r="S10" s="2514"/>
      <c r="T10" s="2534"/>
      <c r="U10" s="237"/>
      <c r="V10" s="1311"/>
      <c r="W10" s="1414"/>
      <c r="X10" s="1311"/>
      <c r="Y10" s="1414"/>
      <c r="Z10" s="1311"/>
      <c r="AA10" s="1311"/>
      <c r="AB10" s="1311"/>
      <c r="AC10" s="1311"/>
      <c r="AD10" s="2401"/>
      <c r="AE10" s="2509"/>
      <c r="AF10" s="2413"/>
      <c r="AG10" s="2532"/>
      <c r="AH10" s="2338"/>
      <c r="AI10" s="2509"/>
      <c r="AJ10" s="2413"/>
      <c r="AK10" s="2523"/>
      <c r="AL10" s="2338"/>
      <c r="AM10" s="253"/>
      <c r="AN10" s="1418"/>
      <c r="AO10" s="1418" t="s">
        <v>519</v>
      </c>
      <c r="AP10" s="352"/>
      <c r="AQ10" s="352"/>
      <c r="AR10" s="352"/>
      <c r="AS10" s="1311"/>
      <c r="AT10" s="1311"/>
      <c r="AU10" s="1414"/>
      <c r="AV10" s="1311"/>
      <c r="AW10" s="1414"/>
      <c r="AX10" s="1311"/>
      <c r="AY10" s="1311"/>
      <c r="AZ10" s="1311"/>
      <c r="BA10" s="1311"/>
      <c r="BB10" s="1315"/>
      <c r="BC10" s="2480"/>
      <c r="BE10" s="436"/>
      <c r="BF10" s="436"/>
      <c r="BG10" s="436"/>
      <c r="BH10" s="436"/>
      <c r="BI10" s="1073">
        <v>0</v>
      </c>
    </row>
    <row r="11" spans="1:61" ht="11.25" hidden="1" customHeight="1">
      <c r="A11" s="1281"/>
      <c r="B11" s="1281"/>
      <c r="C11" s="1281"/>
      <c r="D11" s="1281"/>
      <c r="E11" s="2457"/>
      <c r="F11" s="2457"/>
      <c r="G11" s="2457"/>
      <c r="H11" s="2457"/>
      <c r="I11" s="2459"/>
      <c r="J11" s="2459"/>
      <c r="K11" s="2458"/>
      <c r="L11" s="1282"/>
      <c r="P11" s="2460"/>
      <c r="Q11" s="2460"/>
      <c r="R11" s="2516"/>
      <c r="S11" s="2514"/>
      <c r="T11" s="2534"/>
      <c r="U11" s="237"/>
      <c r="V11" s="1311"/>
      <c r="W11" s="1414"/>
      <c r="X11" s="1311"/>
      <c r="Y11" s="1414"/>
      <c r="Z11" s="1311"/>
      <c r="AA11" s="1311"/>
      <c r="AB11" s="1311"/>
      <c r="AC11" s="1311"/>
      <c r="AD11" s="2401"/>
      <c r="AE11" s="2509"/>
      <c r="AF11" s="2413"/>
      <c r="AG11" s="2532"/>
      <c r="AH11" s="2338"/>
      <c r="AI11" s="231"/>
      <c r="AJ11" s="351"/>
      <c r="AK11" s="250" t="s">
        <v>520</v>
      </c>
      <c r="AL11" s="1311"/>
      <c r="AM11" s="1311"/>
      <c r="AN11" s="1311"/>
      <c r="AO11" s="1311"/>
      <c r="AP11" s="1311"/>
      <c r="AQ11" s="1311"/>
      <c r="AR11" s="1311"/>
      <c r="AS11" s="1311"/>
      <c r="AT11" s="1311"/>
      <c r="AU11" s="1414"/>
      <c r="AV11" s="1311"/>
      <c r="AW11" s="1414"/>
      <c r="AX11" s="1311"/>
      <c r="AY11" s="1311"/>
      <c r="AZ11" s="1311"/>
      <c r="BA11" s="1311"/>
      <c r="BB11" s="1315"/>
      <c r="BC11" s="2480"/>
      <c r="BE11" s="436"/>
      <c r="BF11" s="436"/>
      <c r="BG11" s="436"/>
      <c r="BH11" s="436"/>
      <c r="BI11" s="1073">
        <v>0</v>
      </c>
    </row>
    <row r="12" spans="1:61" ht="11.25" hidden="1" customHeight="1">
      <c r="A12" s="1281"/>
      <c r="B12" s="1281"/>
      <c r="C12" s="1281"/>
      <c r="D12" s="1281"/>
      <c r="E12" s="2457"/>
      <c r="F12" s="2457"/>
      <c r="G12" s="2457"/>
      <c r="H12" s="2457"/>
      <c r="I12" s="2459"/>
      <c r="J12" s="2459"/>
      <c r="K12" s="2458"/>
      <c r="L12" s="1282"/>
      <c r="P12" s="2460"/>
      <c r="Q12" s="2460"/>
      <c r="R12" s="2516"/>
      <c r="S12" s="2515"/>
      <c r="T12" s="2535"/>
      <c r="U12" s="237"/>
      <c r="V12" s="1311"/>
      <c r="W12" s="1312" t="str">
        <f>Z8&amp;"-"&amp;AB8</f>
        <v>-</v>
      </c>
      <c r="X12" s="1311"/>
      <c r="Y12" s="1312" t="str">
        <f>AB8&amp;"-"&amp;AD8</f>
        <v>-да</v>
      </c>
      <c r="Z12" s="1311"/>
      <c r="AA12" s="1311"/>
      <c r="AB12" s="1311"/>
      <c r="AC12" s="1311"/>
      <c r="AD12" s="2343"/>
      <c r="AE12" s="249"/>
      <c r="AF12" s="251"/>
      <c r="AG12" s="352" t="s">
        <v>502</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0"/>
      <c r="BE12" s="436"/>
      <c r="BF12" s="436" t="str">
        <f t="shared" ref="BF12:BF18" si="1">IF(T12="","",T12)</f>
        <v/>
      </c>
      <c r="BG12" s="436"/>
      <c r="BH12" s="436"/>
      <c r="BI12" s="1073">
        <v>0</v>
      </c>
    </row>
    <row r="13" spans="1:61" ht="11.25" hidden="1" customHeight="1">
      <c r="A13" s="1281"/>
      <c r="B13" s="1281"/>
      <c r="C13" s="1281"/>
      <c r="D13" s="1281"/>
      <c r="E13" s="2457"/>
      <c r="F13" s="2457"/>
      <c r="G13" s="2457"/>
      <c r="H13" s="2457"/>
      <c r="I13" s="2459"/>
      <c r="J13" s="2458"/>
      <c r="K13" s="1281"/>
      <c r="L13" s="1282"/>
      <c r="P13" s="2460"/>
      <c r="Q13" s="2460"/>
      <c r="R13" s="292"/>
      <c r="S13" s="1196"/>
      <c r="T13" s="224" t="s">
        <v>465</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1"/>
      <c r="BE13" s="436"/>
      <c r="BF13" s="436" t="str">
        <f t="shared" si="1"/>
        <v>Добавить строку</v>
      </c>
      <c r="BG13" s="436"/>
      <c r="BH13" s="436"/>
      <c r="BI13" s="1073">
        <v>0</v>
      </c>
    </row>
    <row r="14" spans="1:61" s="2034" customFormat="1" ht="14.25" hidden="1" customHeight="1">
      <c r="A14" s="1261"/>
      <c r="B14" s="1261"/>
      <c r="C14" s="1261"/>
      <c r="D14" s="1261"/>
      <c r="E14" s="2457"/>
      <c r="F14" s="2457"/>
      <c r="G14" s="2457"/>
      <c r="H14" s="2457"/>
      <c r="I14" s="2458"/>
      <c r="J14" s="1261"/>
      <c r="K14" s="1261"/>
      <c r="L14" s="1264"/>
      <c r="M14" s="446"/>
      <c r="N14" s="446"/>
      <c r="O14" s="446"/>
      <c r="P14" s="2460"/>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034" customFormat="1" ht="14.25" hidden="1" customHeight="1">
      <c r="A15" s="1261"/>
      <c r="B15" s="1261"/>
      <c r="C15" s="1261"/>
      <c r="D15" s="1261"/>
      <c r="E15" s="2457"/>
      <c r="F15" s="2457"/>
      <c r="G15" s="2457"/>
      <c r="H15" s="2456"/>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034" customFormat="1" ht="14.25" hidden="1" customHeight="1">
      <c r="A16" s="1261"/>
      <c r="B16" s="1261"/>
      <c r="C16" s="1261"/>
      <c r="D16" s="1232"/>
      <c r="E16" s="2457"/>
      <c r="F16" s="2457"/>
      <c r="G16" s="245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034" customFormat="1" ht="14.25" hidden="1" customHeight="1">
      <c r="A17" s="1261"/>
      <c r="B17" s="1261"/>
      <c r="C17" s="1232"/>
      <c r="D17" s="1232"/>
      <c r="E17" s="2457"/>
      <c r="F17" s="2456"/>
      <c r="G17" s="1232"/>
      <c r="H17" s="1232"/>
      <c r="I17" s="1232"/>
      <c r="J17" s="1232"/>
      <c r="K17" s="1232"/>
      <c r="L17" s="1412"/>
      <c r="M17" s="1239"/>
      <c r="N17" s="1239"/>
      <c r="P17" s="1234"/>
      <c r="Q17" s="1235"/>
      <c r="R17" s="1234"/>
      <c r="S17" s="1240"/>
      <c r="T17" s="1243" t="s">
        <v>412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034" customFormat="1" ht="14.25" hidden="1" customHeight="1">
      <c r="A18" s="1261"/>
      <c r="B18" s="1261"/>
      <c r="C18" s="1261"/>
      <c r="D18" s="1261"/>
      <c r="E18" s="2456"/>
      <c r="F18" s="1261"/>
      <c r="G18" s="1261"/>
      <c r="H18" s="1261"/>
      <c r="I18" s="1261"/>
      <c r="J18" s="1261"/>
      <c r="K18" s="1261"/>
      <c r="L18" s="1264"/>
      <c r="M18" s="1239"/>
      <c r="N18" s="1239"/>
      <c r="O18" s="454"/>
      <c r="P18" s="316"/>
      <c r="Q18" s="1262"/>
      <c r="R18" s="316"/>
      <c r="S18" s="1240"/>
      <c r="T18" s="1243" t="s">
        <v>413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67</v>
      </c>
      <c r="AZ20" s="1653"/>
      <c r="BA20" s="1403" t="s">
        <v>67</v>
      </c>
      <c r="BI20" s="1073">
        <v>0</v>
      </c>
    </row>
    <row r="21" spans="1:61" ht="14.25" hidden="1" customHeight="1">
      <c r="BD21" s="432"/>
      <c r="BE21" s="432"/>
      <c r="BF21" s="432"/>
      <c r="BG21" s="432"/>
      <c r="BH21" s="432"/>
      <c r="BI21" s="1073">
        <v>0</v>
      </c>
    </row>
    <row r="22" spans="1:61" ht="14.25" hidden="1" customHeight="1">
      <c r="O22" s="1285" t="s">
        <v>414</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030" customFormat="1" ht="14.25" hidden="1" customHeight="1">
      <c r="M24" s="1426"/>
      <c r="N24" s="1426"/>
      <c r="O24" s="1427" t="s">
        <v>415</v>
      </c>
      <c r="P24" s="1426"/>
      <c r="Q24" s="1428"/>
      <c r="R24" s="1428"/>
      <c r="AA24" s="1425" t="s">
        <v>417</v>
      </c>
      <c r="AC24" s="1425" t="s">
        <v>418</v>
      </c>
      <c r="AD24" s="1425" t="s">
        <v>466</v>
      </c>
      <c r="AH24" s="1425" t="s">
        <v>466</v>
      </c>
      <c r="AK24" s="1425" t="s">
        <v>503</v>
      </c>
      <c r="AL24" s="1425" t="s">
        <v>466</v>
      </c>
      <c r="AP24" s="1425" t="s">
        <v>466</v>
      </c>
      <c r="AY24" s="1425" t="s">
        <v>417</v>
      </c>
      <c r="BA24" s="1425" t="s">
        <v>418</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3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2437"/>
      <c r="AT28" s="2437"/>
      <c r="AU28" s="2437"/>
      <c r="AV28" s="2437"/>
      <c r="AW28" s="2437"/>
      <c r="AX28" s="2437"/>
      <c r="AY28" s="2437"/>
      <c r="AZ28" s="2437"/>
      <c r="BA28" s="1161"/>
      <c r="BI28" s="1073">
        <v>14</v>
      </c>
    </row>
    <row r="29" spans="1:61" ht="14.65" customHeight="1">
      <c r="Q29" s="228"/>
      <c r="R29" s="312"/>
      <c r="S29" s="2409" t="str">
        <f>IF(org=0,"Не определено",org)</f>
        <v>ПАО "ТГК-1" филиал "Невский"</v>
      </c>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409"/>
      <c r="AT29" s="2409"/>
      <c r="AU29" s="2409"/>
      <c r="AV29" s="2409"/>
      <c r="AW29" s="2409"/>
      <c r="AX29" s="2409"/>
      <c r="AY29" s="2409"/>
      <c r="AZ29" s="2409"/>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098" customFormat="1" ht="25.5" hidden="1" customHeight="1">
      <c r="A31" s="1286"/>
      <c r="B31" s="1286"/>
      <c r="C31" s="1286"/>
      <c r="D31" s="1286"/>
      <c r="E31" s="1286"/>
      <c r="F31" s="1286"/>
      <c r="G31" s="1286"/>
      <c r="H31" s="1286"/>
      <c r="I31" s="1286"/>
      <c r="J31" s="1286"/>
      <c r="K31" s="1286"/>
      <c r="L31" s="1287"/>
      <c r="M31" s="1286"/>
      <c r="N31" s="1286"/>
      <c r="O31" s="1286"/>
      <c r="P31" s="1286"/>
      <c r="Q31" s="1286"/>
      <c r="S31" s="2447" t="s">
        <v>43</v>
      </c>
      <c r="T31" s="2447"/>
      <c r="U31" s="1290"/>
      <c r="V31" s="2449" t="str">
        <f>IF(TITLE_NAME_OR_PR_CHANGE="",IF(TITLE_NAME_OR_PR="","",TITLE_NAME_OR_PR),TITLE_NAME_OR_PR_CHANGE)</f>
        <v/>
      </c>
      <c r="W31" s="2449"/>
      <c r="X31" s="2449"/>
      <c r="Y31" s="2449"/>
      <c r="Z31" s="2449"/>
      <c r="AA31" s="2449"/>
      <c r="AB31" s="2449"/>
      <c r="AC31" s="263"/>
      <c r="AD31" s="2449" t="str">
        <f>IF(TITLE_NAME_OR_PR_CHANGE="",IF(TITLE_NAME_OR_PR="","",TITLE_NAME_OR_PR),TITLE_NAME_OR_PR_CHANGE)</f>
        <v/>
      </c>
      <c r="AE31" s="2449"/>
      <c r="AF31" s="2449"/>
      <c r="AG31" s="2449"/>
      <c r="AH31" s="2449"/>
      <c r="AI31" s="2449"/>
      <c r="AJ31" s="2449"/>
      <c r="AK31" s="2449"/>
      <c r="AL31" s="2449"/>
      <c r="AM31" s="2449"/>
      <c r="AN31" s="2449"/>
      <c r="AO31" s="2449"/>
      <c r="AP31" s="2449"/>
      <c r="AQ31" s="2449"/>
      <c r="AR31" s="2449"/>
      <c r="AS31" s="2449"/>
      <c r="AT31" s="2449"/>
      <c r="AU31" s="2449"/>
      <c r="AV31" s="2449"/>
      <c r="AW31" s="2449"/>
      <c r="AX31" s="2449"/>
      <c r="AY31" s="2449"/>
      <c r="AZ31" s="2449"/>
      <c r="BA31" s="263"/>
      <c r="BB31" s="263"/>
      <c r="BC31" s="217"/>
      <c r="BD31" s="304"/>
      <c r="BE31" s="304"/>
      <c r="BF31" s="304"/>
      <c r="BG31" s="304"/>
      <c r="BH31" s="304"/>
      <c r="BI31" s="354">
        <v>0</v>
      </c>
    </row>
    <row r="32" spans="1:61" s="2098" customFormat="1" ht="18.75" hidden="1" customHeight="1">
      <c r="A32" s="1286"/>
      <c r="B32" s="1286"/>
      <c r="C32" s="1286"/>
      <c r="D32" s="1286"/>
      <c r="E32" s="1286"/>
      <c r="F32" s="1286"/>
      <c r="G32" s="1286"/>
      <c r="H32" s="1286"/>
      <c r="I32" s="1286"/>
      <c r="J32" s="1286"/>
      <c r="K32" s="1286"/>
      <c r="L32" s="1287"/>
      <c r="M32" s="1286"/>
      <c r="N32" s="1286"/>
      <c r="O32" s="1286"/>
      <c r="P32" s="1286"/>
      <c r="Q32" s="1286"/>
      <c r="S32" s="2447" t="s">
        <v>420</v>
      </c>
      <c r="T32" s="2447"/>
      <c r="U32" s="1290"/>
      <c r="V32" s="2448" t="str">
        <f>IF(TITLE_DATE_PR_CHANGE="",IF(TITLE_DATE_PR="","",TITLE_DATE_PR),TITLE_DATE_PR_CHANGE)</f>
        <v/>
      </c>
      <c r="W32" s="2448"/>
      <c r="X32" s="2448"/>
      <c r="Y32" s="2448"/>
      <c r="Z32" s="2448"/>
      <c r="AA32" s="2448"/>
      <c r="AB32" s="2448"/>
      <c r="AC32" s="263"/>
      <c r="AD32" s="2448" t="str">
        <f>IF(TITLE_DATE_PR_CHANGE="",IF(TITLE_DATE_PR="","",TITLE_DATE_PR),TITLE_DATE_PR_CHANGE)</f>
        <v/>
      </c>
      <c r="AE32" s="2448"/>
      <c r="AF32" s="2448"/>
      <c r="AG32" s="2448"/>
      <c r="AH32" s="2448"/>
      <c r="AI32" s="2448"/>
      <c r="AJ32" s="2448"/>
      <c r="AK32" s="2448"/>
      <c r="AL32" s="2448"/>
      <c r="AM32" s="2448"/>
      <c r="AN32" s="2448"/>
      <c r="AO32" s="2448"/>
      <c r="AP32" s="2448"/>
      <c r="AQ32" s="2448"/>
      <c r="AR32" s="2448"/>
      <c r="AS32" s="2448"/>
      <c r="AT32" s="2448"/>
      <c r="AU32" s="2448"/>
      <c r="AV32" s="2448"/>
      <c r="AW32" s="2448"/>
      <c r="AX32" s="2448"/>
      <c r="AY32" s="2448"/>
      <c r="AZ32" s="2448"/>
      <c r="BA32" s="263"/>
      <c r="BB32" s="263"/>
      <c r="BC32" s="217"/>
      <c r="BD32" s="304"/>
      <c r="BE32" s="304"/>
      <c r="BF32" s="304"/>
      <c r="BG32" s="304"/>
      <c r="BH32" s="304"/>
      <c r="BI32" s="354">
        <v>0</v>
      </c>
    </row>
    <row r="33" spans="1:61" s="2098" customFormat="1" ht="18.75" hidden="1" customHeight="1">
      <c r="A33" s="1286"/>
      <c r="B33" s="1286"/>
      <c r="C33" s="1286"/>
      <c r="D33" s="1286"/>
      <c r="E33" s="1286"/>
      <c r="F33" s="1286"/>
      <c r="G33" s="1286"/>
      <c r="H33" s="1286"/>
      <c r="I33" s="1286"/>
      <c r="J33" s="1286"/>
      <c r="K33" s="1286"/>
      <c r="L33" s="1287"/>
      <c r="M33" s="1286"/>
      <c r="N33" s="1286"/>
      <c r="O33" s="1286"/>
      <c r="P33" s="1286"/>
      <c r="Q33" s="1286"/>
      <c r="S33" s="2447" t="s">
        <v>421</v>
      </c>
      <c r="T33" s="2447"/>
      <c r="U33" s="1290"/>
      <c r="V33" s="2449" t="str">
        <f>IF(TITLE_NUMBER_PR_CHANGE="",IF(TITLE_NUMBER_PR="","",TITLE_NUMBER_PR),TITLE_NUMBER_PR_CHANGE)</f>
        <v/>
      </c>
      <c r="W33" s="2449"/>
      <c r="X33" s="2449"/>
      <c r="Y33" s="2449"/>
      <c r="Z33" s="2449"/>
      <c r="AA33" s="2449"/>
      <c r="AB33" s="2449"/>
      <c r="AC33" s="263"/>
      <c r="AD33" s="2449" t="str">
        <f>IF(TITLE_NUMBER_PR_CHANGE="",IF(TITLE_NUMBER_PR="","",TITLE_NUMBER_PR),TITLE_NUMBER_PR_CHANGE)</f>
        <v/>
      </c>
      <c r="AE33" s="2449"/>
      <c r="AF33" s="2449"/>
      <c r="AG33" s="2449"/>
      <c r="AH33" s="2449"/>
      <c r="AI33" s="2449"/>
      <c r="AJ33" s="2449"/>
      <c r="AK33" s="2449"/>
      <c r="AL33" s="2449"/>
      <c r="AM33" s="2449"/>
      <c r="AN33" s="2449"/>
      <c r="AO33" s="2449"/>
      <c r="AP33" s="2449"/>
      <c r="AQ33" s="2449"/>
      <c r="AR33" s="2449"/>
      <c r="AS33" s="2449"/>
      <c r="AT33" s="2449"/>
      <c r="AU33" s="2449"/>
      <c r="AV33" s="2449"/>
      <c r="AW33" s="2449"/>
      <c r="AX33" s="2449"/>
      <c r="AY33" s="2449"/>
      <c r="AZ33" s="2449"/>
      <c r="BA33" s="263"/>
      <c r="BB33" s="263"/>
      <c r="BC33" s="217"/>
      <c r="BD33" s="304"/>
      <c r="BE33" s="304"/>
      <c r="BF33" s="304"/>
      <c r="BG33" s="304"/>
      <c r="BH33" s="304"/>
      <c r="BI33" s="354">
        <v>0</v>
      </c>
    </row>
    <row r="34" spans="1:61" s="2098" customFormat="1" ht="18.75" hidden="1" customHeight="1">
      <c r="A34" s="1286"/>
      <c r="B34" s="1286"/>
      <c r="C34" s="1286"/>
      <c r="D34" s="1286"/>
      <c r="E34" s="1286"/>
      <c r="F34" s="1286"/>
      <c r="G34" s="1286"/>
      <c r="H34" s="1286"/>
      <c r="I34" s="1286"/>
      <c r="J34" s="1286"/>
      <c r="K34" s="1286"/>
      <c r="L34" s="1287"/>
      <c r="M34" s="1286"/>
      <c r="N34" s="1286"/>
      <c r="O34" s="1286"/>
      <c r="P34" s="1286"/>
      <c r="Q34" s="1286"/>
      <c r="S34" s="2447" t="s">
        <v>44</v>
      </c>
      <c r="T34" s="2447"/>
      <c r="U34" s="1290"/>
      <c r="V34" s="2449" t="str">
        <f>IF(TITLE_IST_PUB_CHANGE="",IF(TITLE_IST_PUB="","",TITLE_IST_PUB),TITLE_IST_PUB_CHANGE)</f>
        <v/>
      </c>
      <c r="W34" s="2449"/>
      <c r="X34" s="2449"/>
      <c r="Y34" s="2449"/>
      <c r="Z34" s="2449"/>
      <c r="AA34" s="2449"/>
      <c r="AB34" s="2449"/>
      <c r="AC34" s="263"/>
      <c r="AD34" s="2449" t="str">
        <f>IF(TITLE_IST_PUB_CHANGE="",IF(TITLE_IST_PUB="","",TITLE_IST_PUB),TITLE_IST_PUB_CHANGE)</f>
        <v/>
      </c>
      <c r="AE34" s="2449"/>
      <c r="AF34" s="2449"/>
      <c r="AG34" s="2449"/>
      <c r="AH34" s="2449"/>
      <c r="AI34" s="2449"/>
      <c r="AJ34" s="2449"/>
      <c r="AK34" s="2449"/>
      <c r="AL34" s="2449"/>
      <c r="AM34" s="2449"/>
      <c r="AN34" s="2449"/>
      <c r="AO34" s="2449"/>
      <c r="AP34" s="2449"/>
      <c r="AQ34" s="2449"/>
      <c r="AR34" s="2449"/>
      <c r="AS34" s="2449"/>
      <c r="AT34" s="2449"/>
      <c r="AU34" s="2449"/>
      <c r="AV34" s="2449"/>
      <c r="AW34" s="2449"/>
      <c r="AX34" s="2449"/>
      <c r="AY34" s="2449"/>
      <c r="AZ34" s="2449"/>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098" customFormat="1" ht="18.75" hidden="1" customHeight="1">
      <c r="A36" s="1286"/>
      <c r="B36" s="1286"/>
      <c r="C36" s="1286"/>
      <c r="D36" s="1286"/>
      <c r="E36" s="1286"/>
      <c r="F36" s="1286"/>
      <c r="G36" s="1286"/>
      <c r="H36" s="1286"/>
      <c r="I36" s="1286"/>
      <c r="J36" s="1286"/>
      <c r="K36" s="1286"/>
      <c r="L36" s="1287"/>
      <c r="M36" s="1286"/>
      <c r="N36" s="1286"/>
      <c r="O36" s="1286"/>
      <c r="P36" s="1286"/>
      <c r="Q36" s="1286"/>
      <c r="S36" s="2447" t="s">
        <v>420</v>
      </c>
      <c r="T36" s="2447"/>
      <c r="U36" s="1290"/>
      <c r="V36" s="2448" t="str">
        <f>IF(TITLE_DATE_PR_CHANGE="",IF(TITLE_DATE_PR="","",TITLE_DATE_PR),TITLE_DATE_PR_CHANGE)</f>
        <v/>
      </c>
      <c r="W36" s="2448"/>
      <c r="X36" s="2448"/>
      <c r="Y36" s="2448"/>
      <c r="Z36" s="2448"/>
      <c r="AA36" s="2448"/>
      <c r="AB36" s="2448"/>
      <c r="AC36" s="263"/>
      <c r="AD36" s="2448" t="str">
        <f>IF(TITLE_DATE_PR_CHANGE="",IF(TITLE_DATE_PR="","",TITLE_DATE_PR),TITLE_DATE_PR_CHANGE)</f>
        <v/>
      </c>
      <c r="AE36" s="2448"/>
      <c r="AF36" s="2448"/>
      <c r="AG36" s="2448"/>
      <c r="AH36" s="2448"/>
      <c r="AI36" s="2448"/>
      <c r="AJ36" s="2448"/>
      <c r="AK36" s="2448"/>
      <c r="AL36" s="2448"/>
      <c r="AM36" s="2448"/>
      <c r="AN36" s="2448"/>
      <c r="AO36" s="2448"/>
      <c r="AP36" s="2448"/>
      <c r="AQ36" s="2448"/>
      <c r="AR36" s="2448"/>
      <c r="AS36" s="2448"/>
      <c r="AT36" s="2448"/>
      <c r="AU36" s="2448"/>
      <c r="AV36" s="2448"/>
      <c r="AW36" s="2448"/>
      <c r="AX36" s="2448"/>
      <c r="AY36" s="2448"/>
      <c r="AZ36" s="2448"/>
      <c r="BA36" s="263"/>
      <c r="BB36" s="263"/>
      <c r="BC36" s="217"/>
      <c r="BD36" s="304"/>
      <c r="BE36" s="304"/>
      <c r="BF36" s="304"/>
      <c r="BG36" s="304"/>
      <c r="BH36" s="304"/>
      <c r="BI36" s="354">
        <v>0</v>
      </c>
    </row>
    <row r="37" spans="1:61" s="2098" customFormat="1" ht="18.75" hidden="1" customHeight="1">
      <c r="A37" s="1286"/>
      <c r="B37" s="1286"/>
      <c r="C37" s="1286"/>
      <c r="D37" s="1286"/>
      <c r="E37" s="1286"/>
      <c r="F37" s="1286"/>
      <c r="G37" s="1286"/>
      <c r="H37" s="1286"/>
      <c r="I37" s="1286"/>
      <c r="J37" s="1286"/>
      <c r="K37" s="1286"/>
      <c r="L37" s="1287"/>
      <c r="M37" s="1286"/>
      <c r="N37" s="1286"/>
      <c r="O37" s="1286"/>
      <c r="P37" s="1286"/>
      <c r="Q37" s="1286"/>
      <c r="S37" s="2447" t="s">
        <v>421</v>
      </c>
      <c r="T37" s="2447"/>
      <c r="U37" s="1290"/>
      <c r="V37" s="2449" t="str">
        <f>IF(TITLE_NUMBER_PR_CHANGE="",IF(TITLE_NUMBER_PR="","",TITLE_NUMBER_PR),TITLE_NUMBER_PR_CHANGE)</f>
        <v/>
      </c>
      <c r="W37" s="2449"/>
      <c r="X37" s="2449"/>
      <c r="Y37" s="2449"/>
      <c r="Z37" s="2449"/>
      <c r="AA37" s="2449"/>
      <c r="AB37" s="2449"/>
      <c r="AC37" s="263"/>
      <c r="AD37" s="2449" t="str">
        <f>IF(TITLE_NUMBER_PR_CHANGE="",IF(TITLE_NUMBER_PR="","",TITLE_NUMBER_PR),TITLE_NUMBER_PR_CHANGE)</f>
        <v/>
      </c>
      <c r="AE37" s="2449"/>
      <c r="AF37" s="2449"/>
      <c r="AG37" s="2449"/>
      <c r="AH37" s="2449"/>
      <c r="AI37" s="2449"/>
      <c r="AJ37" s="2449"/>
      <c r="AK37" s="2449"/>
      <c r="AL37" s="2449"/>
      <c r="AM37" s="2449"/>
      <c r="AN37" s="2449"/>
      <c r="AO37" s="2449"/>
      <c r="AP37" s="2449"/>
      <c r="AQ37" s="2449"/>
      <c r="AR37" s="2449"/>
      <c r="AS37" s="2449"/>
      <c r="AT37" s="2449"/>
      <c r="AU37" s="2449"/>
      <c r="AV37" s="2449"/>
      <c r="AW37" s="2449"/>
      <c r="AX37" s="2449"/>
      <c r="AY37" s="2449"/>
      <c r="AZ37" s="2449"/>
      <c r="BA37" s="263"/>
      <c r="BB37" s="263"/>
      <c r="BC37" s="217"/>
      <c r="BD37" s="304"/>
      <c r="BE37" s="304"/>
      <c r="BF37" s="304"/>
      <c r="BG37" s="304"/>
      <c r="BH37" s="304"/>
      <c r="BI37" s="354">
        <v>0</v>
      </c>
    </row>
    <row r="38" spans="1:61" s="2098"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193"/>
      <c r="T39" s="299"/>
      <c r="U39" s="1162"/>
      <c r="V39" s="2468"/>
      <c r="W39" s="2468"/>
      <c r="X39" s="2468"/>
      <c r="Y39" s="2468"/>
      <c r="Z39" s="2468"/>
      <c r="AA39" s="2468"/>
      <c r="AB39" s="2468"/>
      <c r="AC39" s="2468"/>
      <c r="AD39" s="2468"/>
      <c r="AE39" s="2468"/>
      <c r="AF39" s="2468"/>
      <c r="AG39" s="2468"/>
      <c r="AH39" s="2468"/>
      <c r="AI39" s="2468"/>
      <c r="AJ39" s="2468"/>
      <c r="AK39" s="2468"/>
      <c r="AL39" s="2468"/>
      <c r="AM39" s="2468"/>
      <c r="AN39" s="2468"/>
      <c r="AO39" s="2468"/>
      <c r="AP39" s="2468"/>
      <c r="AQ39" s="2468"/>
      <c r="AR39" s="2468"/>
      <c r="AS39" s="2468"/>
      <c r="AT39" s="2468"/>
      <c r="AU39" s="2468"/>
      <c r="AV39" s="2468"/>
      <c r="AW39" s="2468"/>
      <c r="AX39" s="2468"/>
      <c r="AY39" s="2468"/>
      <c r="AZ39" s="2468"/>
      <c r="BA39" s="2468"/>
      <c r="BI39" s="1073">
        <v>14</v>
      </c>
    </row>
    <row r="40" spans="1:61" ht="14.65" customHeight="1">
      <c r="Q40" s="228"/>
      <c r="R40" s="312"/>
      <c r="S40" s="2328" t="s">
        <v>297</v>
      </c>
      <c r="T40" s="2328"/>
      <c r="U40" s="2328"/>
      <c r="V40" s="2328"/>
      <c r="W40" s="2328"/>
      <c r="X40" s="2328"/>
      <c r="Y40" s="2328"/>
      <c r="Z40" s="2328"/>
      <c r="AA40" s="2328"/>
      <c r="AB40" s="2328"/>
      <c r="AC40" s="2328"/>
      <c r="AD40" s="2328"/>
      <c r="AE40" s="2328"/>
      <c r="AF40" s="2328"/>
      <c r="AG40" s="2328"/>
      <c r="AH40" s="2328"/>
      <c r="AI40" s="2328"/>
      <c r="AJ40" s="2328"/>
      <c r="AK40" s="2328"/>
      <c r="AL40" s="2328"/>
      <c r="AM40" s="2328"/>
      <c r="AN40" s="2328"/>
      <c r="AO40" s="2328"/>
      <c r="AP40" s="2328"/>
      <c r="AQ40" s="2328"/>
      <c r="AR40" s="2328"/>
      <c r="AS40" s="2328"/>
      <c r="AT40" s="2328"/>
      <c r="AU40" s="2328"/>
      <c r="AV40" s="2328"/>
      <c r="AW40" s="2328"/>
      <c r="AX40" s="2328"/>
      <c r="AY40" s="2328"/>
      <c r="AZ40" s="2328"/>
      <c r="BA40" s="2328"/>
      <c r="BB40" s="2328"/>
      <c r="BC40" s="2328" t="s">
        <v>298</v>
      </c>
      <c r="BI40" s="1073">
        <v>14</v>
      </c>
    </row>
    <row r="41" spans="1:61" ht="14.65" customHeight="1">
      <c r="Q41" s="228"/>
      <c r="R41" s="312"/>
      <c r="S41" s="2469" t="s">
        <v>90</v>
      </c>
      <c r="T41" s="2417" t="s">
        <v>504</v>
      </c>
      <c r="U41" s="238"/>
      <c r="V41" s="2470" t="s">
        <v>426</v>
      </c>
      <c r="W41" s="2471"/>
      <c r="X41" s="2471"/>
      <c r="Y41" s="2471"/>
      <c r="Z41" s="2471"/>
      <c r="AA41" s="2471"/>
      <c r="AB41" s="2472"/>
      <c r="AC41" s="2473" t="s">
        <v>427</v>
      </c>
      <c r="AD41" s="2502" t="s">
        <v>521</v>
      </c>
      <c r="AE41" s="2486"/>
      <c r="AF41" s="2486"/>
      <c r="AG41" s="2503"/>
      <c r="AH41" s="2502" t="s">
        <v>522</v>
      </c>
      <c r="AI41" s="2486"/>
      <c r="AJ41" s="2486"/>
      <c r="AK41" s="2503"/>
      <c r="AL41" s="2502" t="s">
        <v>523</v>
      </c>
      <c r="AM41" s="2486"/>
      <c r="AN41" s="2486"/>
      <c r="AO41" s="2503"/>
      <c r="AP41" s="2502" t="s">
        <v>508</v>
      </c>
      <c r="AQ41" s="2486"/>
      <c r="AR41" s="2486"/>
      <c r="AS41" s="2503"/>
      <c r="AT41" s="2470" t="s">
        <v>426</v>
      </c>
      <c r="AU41" s="2471"/>
      <c r="AV41" s="2471"/>
      <c r="AW41" s="2471"/>
      <c r="AX41" s="2471"/>
      <c r="AY41" s="2471"/>
      <c r="AZ41" s="2472"/>
      <c r="BA41" s="2473" t="s">
        <v>427</v>
      </c>
      <c r="BB41" s="2476" t="s">
        <v>429</v>
      </c>
      <c r="BC41" s="2328"/>
      <c r="BI41" s="1073">
        <v>14</v>
      </c>
    </row>
    <row r="42" spans="1:61" ht="35.65" customHeight="1">
      <c r="Q42" s="228"/>
      <c r="R42" s="312"/>
      <c r="S42" s="2469"/>
      <c r="T42" s="2417"/>
      <c r="U42" s="954"/>
      <c r="V42" s="2388" t="s">
        <v>509</v>
      </c>
      <c r="W42" s="2389"/>
      <c r="X42" s="2388" t="s">
        <v>510</v>
      </c>
      <c r="Y42" s="2389"/>
      <c r="Z42" s="2388" t="s">
        <v>511</v>
      </c>
      <c r="AA42" s="2498"/>
      <c r="AB42" s="2389"/>
      <c r="AC42" s="2474"/>
      <c r="AD42" s="2504"/>
      <c r="AE42" s="2505"/>
      <c r="AF42" s="2505"/>
      <c r="AG42" s="2517"/>
      <c r="AH42" s="2504"/>
      <c r="AI42" s="2505"/>
      <c r="AJ42" s="2505"/>
      <c r="AK42" s="2517"/>
      <c r="AL42" s="2504"/>
      <c r="AM42" s="2505"/>
      <c r="AN42" s="2505"/>
      <c r="AO42" s="2517"/>
      <c r="AP42" s="2504"/>
      <c r="AQ42" s="2505"/>
      <c r="AR42" s="2505"/>
      <c r="AS42" s="2517"/>
      <c r="AT42" s="2388" t="s">
        <v>524</v>
      </c>
      <c r="AU42" s="2389"/>
      <c r="AV42" s="2388" t="s">
        <v>525</v>
      </c>
      <c r="AW42" s="2389"/>
      <c r="AX42" s="2388" t="s">
        <v>511</v>
      </c>
      <c r="AY42" s="2498"/>
      <c r="AZ42" s="2389"/>
      <c r="BA42" s="2474"/>
      <c r="BB42" s="2477"/>
      <c r="BC42" s="2328"/>
      <c r="BI42" s="1073">
        <v>34</v>
      </c>
    </row>
    <row r="43" spans="1:61" ht="14.65" customHeight="1">
      <c r="Q43" s="228"/>
      <c r="R43" s="312"/>
      <c r="S43" s="2469"/>
      <c r="T43" s="2417"/>
      <c r="U43" s="954"/>
      <c r="V43" s="2393"/>
      <c r="W43" s="2394"/>
      <c r="X43" s="2393"/>
      <c r="Y43" s="2394"/>
      <c r="Z43" s="2393"/>
      <c r="AA43" s="2499"/>
      <c r="AB43" s="2394"/>
      <c r="AC43" s="2474"/>
      <c r="AD43" s="2504"/>
      <c r="AE43" s="2505"/>
      <c r="AF43" s="2505"/>
      <c r="AG43" s="2517"/>
      <c r="AH43" s="2504"/>
      <c r="AI43" s="2505"/>
      <c r="AJ43" s="2505"/>
      <c r="AK43" s="2517"/>
      <c r="AL43" s="2504"/>
      <c r="AM43" s="2505"/>
      <c r="AN43" s="2505"/>
      <c r="AO43" s="2517"/>
      <c r="AP43" s="2504"/>
      <c r="AQ43" s="2505"/>
      <c r="AR43" s="2505"/>
      <c r="AS43" s="2517"/>
      <c r="AT43" s="2393"/>
      <c r="AU43" s="2394"/>
      <c r="AV43" s="2393"/>
      <c r="AW43" s="2394"/>
      <c r="AX43" s="2393"/>
      <c r="AY43" s="2499"/>
      <c r="AZ43" s="2394"/>
      <c r="BA43" s="2474"/>
      <c r="BB43" s="2477"/>
      <c r="BC43" s="2328"/>
      <c r="BI43" s="1073">
        <v>14</v>
      </c>
    </row>
    <row r="44" spans="1:61" ht="14.65" customHeight="1">
      <c r="A44" s="1288"/>
      <c r="B44" s="1288" t="s">
        <v>134</v>
      </c>
      <c r="C44" s="1288" t="s">
        <v>135</v>
      </c>
      <c r="D44" s="1288" t="s">
        <v>136</v>
      </c>
      <c r="E44" s="1282" t="s">
        <v>434</v>
      </c>
      <c r="F44" s="1282" t="s">
        <v>435</v>
      </c>
      <c r="G44" s="1282" t="s">
        <v>436</v>
      </c>
      <c r="H44" s="1282" t="s">
        <v>437</v>
      </c>
      <c r="I44" s="1282" t="s">
        <v>438</v>
      </c>
      <c r="J44" s="1282" t="s">
        <v>439</v>
      </c>
      <c r="K44" s="1282" t="s">
        <v>440</v>
      </c>
      <c r="L44" s="1282" t="s">
        <v>415</v>
      </c>
      <c r="Q44" s="228"/>
      <c r="R44" s="312"/>
      <c r="S44" s="2469"/>
      <c r="T44" s="2417"/>
      <c r="U44" s="239"/>
      <c r="V44" s="1397" t="s">
        <v>475</v>
      </c>
      <c r="W44" s="1397" t="s">
        <v>476</v>
      </c>
      <c r="X44" s="1397" t="s">
        <v>475</v>
      </c>
      <c r="Y44" s="1397" t="s">
        <v>476</v>
      </c>
      <c r="Z44" s="1407" t="s">
        <v>443</v>
      </c>
      <c r="AA44" s="2422" t="s">
        <v>444</v>
      </c>
      <c r="AB44" s="2436"/>
      <c r="AC44" s="2475"/>
      <c r="AD44" s="2506"/>
      <c r="AE44" s="2507"/>
      <c r="AF44" s="2507"/>
      <c r="AG44" s="2508"/>
      <c r="AH44" s="2506"/>
      <c r="AI44" s="2507"/>
      <c r="AJ44" s="2507"/>
      <c r="AK44" s="2508"/>
      <c r="AL44" s="2506"/>
      <c r="AM44" s="2507"/>
      <c r="AN44" s="2507"/>
      <c r="AO44" s="2508"/>
      <c r="AP44" s="2506"/>
      <c r="AQ44" s="2507"/>
      <c r="AR44" s="2507"/>
      <c r="AS44" s="2508"/>
      <c r="AT44" s="1397" t="s">
        <v>475</v>
      </c>
      <c r="AU44" s="1397" t="s">
        <v>476</v>
      </c>
      <c r="AV44" s="1397" t="s">
        <v>475</v>
      </c>
      <c r="AW44" s="1397" t="s">
        <v>476</v>
      </c>
      <c r="AX44" s="1407" t="s">
        <v>443</v>
      </c>
      <c r="AY44" s="2422" t="s">
        <v>444</v>
      </c>
      <c r="AZ44" s="2436"/>
      <c r="BA44" s="2475"/>
      <c r="BB44" s="2478"/>
      <c r="BC44" s="2328"/>
      <c r="BI44" s="1073">
        <v>14</v>
      </c>
    </row>
    <row r="45" spans="1:61" s="2028"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108</v>
      </c>
      <c r="T45" s="1173" t="s">
        <v>109</v>
      </c>
      <c r="U45" s="1163" t="str">
        <f ca="1">OFFSET(U45,0,-1)</f>
        <v>2</v>
      </c>
      <c r="V45" s="1400">
        <f t="shared" ref="V45:AA45" ca="1" si="2">OFFSET(V45,0,-1)+1</f>
        <v>3</v>
      </c>
      <c r="W45" s="1400">
        <f t="shared" ca="1" si="2"/>
        <v>4</v>
      </c>
      <c r="X45" s="1400">
        <f t="shared" ca="1" si="2"/>
        <v>5</v>
      </c>
      <c r="Y45" s="1400">
        <f t="shared" ca="1" si="2"/>
        <v>6</v>
      </c>
      <c r="Z45" s="1400">
        <f t="shared" ca="1" si="2"/>
        <v>7</v>
      </c>
      <c r="AA45" s="2467">
        <f t="shared" ca="1" si="2"/>
        <v>8</v>
      </c>
      <c r="AB45" s="246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67">
        <f ca="1">OFFSET(AY45,0,-1)+1</f>
        <v>3</v>
      </c>
      <c r="AZ45" s="2467"/>
      <c r="BA45" s="1400">
        <f ca="1">OFFSET(BA45,0,-2)+1</f>
        <v>4</v>
      </c>
      <c r="BB45" s="1163">
        <f ca="1">OFFSET(BB45,0,-1)</f>
        <v>4</v>
      </c>
      <c r="BC45" s="1400">
        <f ca="1">OFFSET(BC45,0,-1)+1</f>
        <v>5</v>
      </c>
      <c r="BD45" s="447"/>
      <c r="BE45" s="447"/>
      <c r="BF45" s="447"/>
      <c r="BG45" s="447"/>
      <c r="BH45" s="447"/>
      <c r="BI45" s="432">
        <v>0</v>
      </c>
    </row>
    <row r="46" spans="1:61" ht="21.95" customHeight="1">
      <c r="A46" s="1281" t="s">
        <v>273</v>
      </c>
      <c r="B46" s="1281"/>
      <c r="C46" s="1281"/>
      <c r="D46" s="1281"/>
      <c r="E46" s="2456">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122</v>
      </c>
      <c r="U46" s="237"/>
      <c r="V46" s="2451"/>
      <c r="W46" s="2451"/>
      <c r="X46" s="2451"/>
      <c r="Y46" s="2451"/>
      <c r="Z46" s="2451"/>
      <c r="AA46" s="2451"/>
      <c r="AB46" s="2451"/>
      <c r="AC46" s="2452"/>
      <c r="AD46" s="2450" t="str">
        <f>INDEX(PT_DIFFERENTIATION_NTAR,MATCH(A46,PT_DIFFERENTIATION_NTAR_ID,0))</f>
        <v/>
      </c>
      <c r="AE46" s="2451"/>
      <c r="AF46" s="2451"/>
      <c r="AG46" s="2451"/>
      <c r="AH46" s="2451"/>
      <c r="AI46" s="2451"/>
      <c r="AJ46" s="2451"/>
      <c r="AK46" s="2451"/>
      <c r="AL46" s="2451"/>
      <c r="AM46" s="2451"/>
      <c r="AN46" s="2451"/>
      <c r="AO46" s="2451"/>
      <c r="AP46" s="2451"/>
      <c r="AQ46" s="2451"/>
      <c r="AR46" s="2451"/>
      <c r="AS46" s="2451"/>
      <c r="AT46" s="2451"/>
      <c r="AU46" s="2451"/>
      <c r="AV46" s="2451"/>
      <c r="AW46" s="2451"/>
      <c r="AX46" s="2451"/>
      <c r="AY46" s="2451"/>
      <c r="AZ46" s="2451"/>
      <c r="BA46" s="2451"/>
      <c r="BB46" s="245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273</v>
      </c>
      <c r="B47" s="1281" t="s">
        <v>274</v>
      </c>
      <c r="C47" s="1281"/>
      <c r="D47" s="1281"/>
      <c r="E47" s="2457"/>
      <c r="F47" s="2456">
        <v>1</v>
      </c>
      <c r="G47" s="1281"/>
      <c r="H47" s="1281"/>
      <c r="I47" s="1281"/>
      <c r="J47" s="1281"/>
      <c r="K47" s="1281"/>
      <c r="L47" s="1282"/>
      <c r="M47" s="1283"/>
      <c r="N47" s="1283"/>
      <c r="O47" s="1283"/>
      <c r="P47" s="1328"/>
      <c r="Q47" s="1329"/>
      <c r="R47" s="289"/>
      <c r="S47" s="1411" t="str">
        <f>INDEX(PT_DIFFERENTIATION_NUM_TER,MATCH(B47,PT_DIFFERENTIATION_TER_ID,0))</f>
        <v>.</v>
      </c>
      <c r="T47" s="245" t="s">
        <v>394</v>
      </c>
      <c r="U47" s="237"/>
      <c r="V47" s="2451"/>
      <c r="W47" s="2451"/>
      <c r="X47" s="2451"/>
      <c r="Y47" s="2451"/>
      <c r="Z47" s="2451"/>
      <c r="AA47" s="2451"/>
      <c r="AB47" s="2451"/>
      <c r="AC47" s="2452"/>
      <c r="AD47" s="2450" t="str">
        <f>INDEX(PT_DIFFERENTIATION_TER,MATCH(B47,PT_DIFFERENTIATION_TER_ID,0))</f>
        <v/>
      </c>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c r="BA47" s="2451"/>
      <c r="BB47" s="2452"/>
      <c r="BC47" s="1176" t="s">
        <v>395</v>
      </c>
      <c r="BE47" s="436"/>
      <c r="BF47" s="436" t="str">
        <f t="shared" si="3"/>
        <v>Территория действия тарифа</v>
      </c>
      <c r="BG47" s="436"/>
      <c r="BH47" s="436"/>
      <c r="BI47" s="1073">
        <v>21</v>
      </c>
    </row>
    <row r="48" spans="1:61" ht="35.65" customHeight="1">
      <c r="A48" s="1281" t="s">
        <v>273</v>
      </c>
      <c r="B48" s="1281" t="s">
        <v>274</v>
      </c>
      <c r="C48" s="1281" t="s">
        <v>275</v>
      </c>
      <c r="D48" s="1281"/>
      <c r="E48" s="2457"/>
      <c r="F48" s="2457"/>
      <c r="G48" s="2456">
        <v>1</v>
      </c>
      <c r="H48" s="1281"/>
      <c r="I48" s="1281"/>
      <c r="J48" s="1281"/>
      <c r="K48" s="1281"/>
      <c r="L48" s="1282"/>
      <c r="M48" s="1283"/>
      <c r="N48" s="1283"/>
      <c r="O48" s="1283"/>
      <c r="P48" s="1330"/>
      <c r="Q48" s="1329"/>
      <c r="R48" s="289"/>
      <c r="S48" s="1411" t="str">
        <f>INDEX(PT_DIFFERENTIATION_NUM_CS,MATCH(C48,PT_DIFFERENTIATION_CS_ID,0))</f>
        <v>..</v>
      </c>
      <c r="T48" s="246" t="s">
        <v>513</v>
      </c>
      <c r="U48" s="237"/>
      <c r="V48" s="2451"/>
      <c r="W48" s="2451"/>
      <c r="X48" s="2451"/>
      <c r="Y48" s="2451"/>
      <c r="Z48" s="2451"/>
      <c r="AA48" s="2451"/>
      <c r="AB48" s="2451"/>
      <c r="AC48" s="2452"/>
      <c r="AD48" s="2450" t="str">
        <f>INDEX(PT_DIFFERENTIATION_CS,MATCH(C48,PT_DIFFERENTIATION_CS_ID,0))</f>
        <v/>
      </c>
      <c r="AE48" s="2451"/>
      <c r="AF48" s="2451"/>
      <c r="AG48" s="2451"/>
      <c r="AH48" s="2451"/>
      <c r="AI48" s="2451"/>
      <c r="AJ48" s="2451"/>
      <c r="AK48" s="2451"/>
      <c r="AL48" s="2451"/>
      <c r="AM48" s="2451"/>
      <c r="AN48" s="2451"/>
      <c r="AO48" s="2451"/>
      <c r="AP48" s="2451"/>
      <c r="AQ48" s="2451"/>
      <c r="AR48" s="2451"/>
      <c r="AS48" s="2451"/>
      <c r="AT48" s="2451"/>
      <c r="AU48" s="2451"/>
      <c r="AV48" s="2451"/>
      <c r="AW48" s="2451"/>
      <c r="AX48" s="2451"/>
      <c r="AY48" s="2451"/>
      <c r="AZ48" s="2451"/>
      <c r="BA48" s="2451"/>
      <c r="BB48" s="2452"/>
      <c r="BC48" s="1176" t="s">
        <v>514</v>
      </c>
      <c r="BE48" s="436"/>
      <c r="BF48" s="436" t="str">
        <f t="shared" si="3"/>
        <v>Наименование централизованной системы водоотведения</v>
      </c>
      <c r="BG48" s="436"/>
      <c r="BH48" s="436"/>
      <c r="BI48" s="1073">
        <v>34</v>
      </c>
    </row>
    <row r="49" spans="1:61" s="2034" customFormat="1" ht="0" hidden="1" customHeight="1">
      <c r="A49" s="1261" t="s">
        <v>273</v>
      </c>
      <c r="B49" s="1261" t="s">
        <v>274</v>
      </c>
      <c r="C49" s="1261" t="s">
        <v>275</v>
      </c>
      <c r="D49" s="1261" t="s">
        <v>526</v>
      </c>
      <c r="E49" s="2457"/>
      <c r="F49" s="2457"/>
      <c r="G49" s="2457"/>
      <c r="H49" s="2456">
        <v>1</v>
      </c>
      <c r="I49" s="1261"/>
      <c r="J49" s="1261"/>
      <c r="K49" s="1261"/>
      <c r="L49" s="1264"/>
      <c r="M49" s="1233"/>
      <c r="N49" s="1233"/>
      <c r="O49" s="1233"/>
      <c r="P49" s="1415"/>
      <c r="Q49" s="1416"/>
      <c r="R49" s="293"/>
      <c r="S49" s="965"/>
      <c r="T49" s="1417"/>
      <c r="U49" s="1302"/>
      <c r="V49" s="2488"/>
      <c r="W49" s="2488"/>
      <c r="X49" s="2488"/>
      <c r="Y49" s="2488"/>
      <c r="Z49" s="2488"/>
      <c r="AA49" s="2488"/>
      <c r="AB49" s="2488"/>
      <c r="AC49" s="2489"/>
      <c r="AD49" s="2487"/>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9"/>
      <c r="BC49" s="1303" t="s">
        <v>399</v>
      </c>
      <c r="BE49" s="436"/>
      <c r="BF49" s="436" t="str">
        <f t="shared" si="3"/>
        <v/>
      </c>
      <c r="BG49" s="436"/>
      <c r="BH49" s="436"/>
      <c r="BI49" s="447">
        <v>0</v>
      </c>
    </row>
    <row r="50" spans="1:61" s="2034" customFormat="1" ht="0" hidden="1" customHeight="1">
      <c r="A50" s="1261" t="s">
        <v>273</v>
      </c>
      <c r="B50" s="1261" t="s">
        <v>274</v>
      </c>
      <c r="C50" s="1261" t="s">
        <v>275</v>
      </c>
      <c r="D50" s="1261" t="s">
        <v>526</v>
      </c>
      <c r="E50" s="2457"/>
      <c r="F50" s="2457"/>
      <c r="G50" s="2457"/>
      <c r="H50" s="2457"/>
      <c r="I50" s="2458" t="str">
        <f>S49&amp;".1"</f>
        <v>.1</v>
      </c>
      <c r="J50" s="1261"/>
      <c r="K50" s="1261"/>
      <c r="L50" s="1264" t="s">
        <v>400</v>
      </c>
      <c r="M50" s="446"/>
      <c r="N50" s="446"/>
      <c r="O50" s="446"/>
      <c r="P50" s="2460">
        <v>1</v>
      </c>
      <c r="Q50" s="1399"/>
      <c r="R50" s="292"/>
      <c r="S50" s="965"/>
      <c r="T50" s="1301"/>
      <c r="U50" s="1302"/>
      <c r="V50" s="2488"/>
      <c r="W50" s="2488"/>
      <c r="X50" s="2488"/>
      <c r="Y50" s="2488"/>
      <c r="Z50" s="2488"/>
      <c r="AA50" s="2488"/>
      <c r="AB50" s="2488"/>
      <c r="AC50" s="2489"/>
      <c r="AD50" s="2487"/>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9"/>
      <c r="BC50" s="1303"/>
      <c r="BE50" s="436"/>
      <c r="BF50" s="436" t="str">
        <f t="shared" si="3"/>
        <v/>
      </c>
      <c r="BG50" s="436"/>
      <c r="BH50" s="436"/>
      <c r="BI50" s="447">
        <v>0</v>
      </c>
    </row>
    <row r="51" spans="1:61" s="2034" customFormat="1" ht="0" hidden="1" customHeight="1">
      <c r="A51" s="1261" t="s">
        <v>273</v>
      </c>
      <c r="B51" s="1261" t="s">
        <v>274</v>
      </c>
      <c r="C51" s="1261" t="s">
        <v>275</v>
      </c>
      <c r="D51" s="1261" t="s">
        <v>526</v>
      </c>
      <c r="E51" s="2457"/>
      <c r="F51" s="2457"/>
      <c r="G51" s="2457"/>
      <c r="H51" s="2457"/>
      <c r="I51" s="2459"/>
      <c r="J51" s="2458" t="str">
        <f>S49&amp;".1"</f>
        <v>.1</v>
      </c>
      <c r="K51" s="1261"/>
      <c r="L51" s="1264"/>
      <c r="M51" s="446"/>
      <c r="N51" s="446"/>
      <c r="O51" s="446"/>
      <c r="P51" s="2460"/>
      <c r="Q51" s="2460">
        <v>1</v>
      </c>
      <c r="R51" s="293"/>
      <c r="S51" s="965"/>
      <c r="T51" s="1317"/>
      <c r="U51" s="1302"/>
      <c r="V51" s="2488"/>
      <c r="W51" s="2488"/>
      <c r="X51" s="2488"/>
      <c r="Y51" s="2488"/>
      <c r="Z51" s="2488"/>
      <c r="AA51" s="2488"/>
      <c r="AB51" s="2488"/>
      <c r="AC51" s="2489"/>
      <c r="AD51" s="2487"/>
      <c r="AE51" s="2488"/>
      <c r="AF51" s="2488"/>
      <c r="AG51" s="2488"/>
      <c r="AH51" s="2488"/>
      <c r="AI51" s="2488"/>
      <c r="AJ51" s="2488"/>
      <c r="AK51" s="2488"/>
      <c r="AL51" s="2488"/>
      <c r="AM51" s="2488"/>
      <c r="AN51" s="2539"/>
      <c r="AO51" s="2539"/>
      <c r="AP51" s="2488"/>
      <c r="AQ51" s="2488"/>
      <c r="AR51" s="2488"/>
      <c r="AS51" s="2488"/>
      <c r="AT51" s="2488"/>
      <c r="AU51" s="2488"/>
      <c r="AV51" s="2488"/>
      <c r="AW51" s="2488"/>
      <c r="AX51" s="2488"/>
      <c r="AY51" s="2488"/>
      <c r="AZ51" s="2488"/>
      <c r="BA51" s="2488"/>
      <c r="BB51" s="2489"/>
      <c r="BC51" s="1303"/>
      <c r="BE51" s="436"/>
      <c r="BF51" s="436" t="str">
        <f t="shared" si="3"/>
        <v/>
      </c>
      <c r="BG51" s="436"/>
      <c r="BH51" s="436"/>
      <c r="BI51" s="447">
        <v>0</v>
      </c>
    </row>
    <row r="52" spans="1:61" ht="11.45" customHeight="1">
      <c r="A52" s="1281" t="s">
        <v>273</v>
      </c>
      <c r="B52" s="1281" t="s">
        <v>274</v>
      </c>
      <c r="C52" s="1281" t="s">
        <v>275</v>
      </c>
      <c r="D52" s="1281" t="s">
        <v>526</v>
      </c>
      <c r="E52" s="2457"/>
      <c r="F52" s="2457"/>
      <c r="G52" s="2457"/>
      <c r="H52" s="2457"/>
      <c r="I52" s="2459"/>
      <c r="J52" s="2459"/>
      <c r="K52" s="2458" t="str">
        <f>S48&amp;".1"</f>
        <v>...1</v>
      </c>
      <c r="L52" s="1282"/>
      <c r="P52" s="2460"/>
      <c r="Q52" s="2460"/>
      <c r="R52" s="293">
        <v>1</v>
      </c>
      <c r="S52" s="2513" t="str">
        <f>$K52</f>
        <v>...1</v>
      </c>
      <c r="T52" s="2533"/>
      <c r="U52" s="237"/>
      <c r="V52" s="687"/>
      <c r="W52" s="1175"/>
      <c r="X52" s="687"/>
      <c r="Y52" s="1175"/>
      <c r="Z52" s="1651"/>
      <c r="AA52" s="1387" t="s">
        <v>67</v>
      </c>
      <c r="AB52" s="1651"/>
      <c r="AC52" s="1387" t="s">
        <v>67</v>
      </c>
      <c r="AD52" s="2400" t="s">
        <v>67</v>
      </c>
      <c r="AE52" s="2509"/>
      <c r="AF52" s="2413">
        <v>1</v>
      </c>
      <c r="AG52" s="2532"/>
      <c r="AH52" s="2338" t="s">
        <v>67</v>
      </c>
      <c r="AI52" s="2509"/>
      <c r="AJ52" s="2413">
        <v>1</v>
      </c>
      <c r="AK52" s="2523" t="s">
        <v>22</v>
      </c>
      <c r="AL52" s="2338" t="s">
        <v>67</v>
      </c>
      <c r="AM52" s="2388"/>
      <c r="AN52" s="2413">
        <v>1</v>
      </c>
      <c r="AO52" s="2536"/>
      <c r="AP52" s="2537" t="s">
        <v>67</v>
      </c>
      <c r="AQ52" s="248"/>
      <c r="AR52" s="1404">
        <v>1</v>
      </c>
      <c r="AS52" s="1410" t="s">
        <v>22</v>
      </c>
      <c r="AT52" s="687"/>
      <c r="AU52" s="1175"/>
      <c r="AV52" s="687"/>
      <c r="AW52" s="1175"/>
      <c r="AX52" s="1651"/>
      <c r="AY52" s="1387" t="s">
        <v>67</v>
      </c>
      <c r="AZ52" s="1651"/>
      <c r="BA52" s="1387" t="s">
        <v>67</v>
      </c>
      <c r="BB52" s="1266"/>
      <c r="BC52" s="2479" t="s">
        <v>498</v>
      </c>
      <c r="BE52" s="436"/>
      <c r="BF52" s="436" t="str">
        <f t="shared" si="3"/>
        <v/>
      </c>
      <c r="BG52" s="436"/>
      <c r="BH52" s="436"/>
      <c r="BI52" s="1073">
        <v>11</v>
      </c>
    </row>
    <row r="53" spans="1:61" ht="11.45" customHeight="1">
      <c r="A53" s="1281"/>
      <c r="B53" s="1281"/>
      <c r="C53" s="1281"/>
      <c r="D53" s="1281"/>
      <c r="E53" s="2457"/>
      <c r="F53" s="2457"/>
      <c r="G53" s="2457"/>
      <c r="H53" s="2457"/>
      <c r="I53" s="2459"/>
      <c r="J53" s="2459"/>
      <c r="K53" s="2458"/>
      <c r="L53" s="1282"/>
      <c r="P53" s="2460"/>
      <c r="Q53" s="2460"/>
      <c r="R53" s="293"/>
      <c r="S53" s="2514"/>
      <c r="T53" s="2534"/>
      <c r="U53" s="237"/>
      <c r="V53" s="1311"/>
      <c r="W53" s="1414"/>
      <c r="X53" s="1311"/>
      <c r="Y53" s="1414"/>
      <c r="Z53" s="1311"/>
      <c r="AA53" s="1311"/>
      <c r="AB53" s="1311"/>
      <c r="AC53" s="1311"/>
      <c r="AD53" s="2401"/>
      <c r="AE53" s="2509"/>
      <c r="AF53" s="2413"/>
      <c r="AG53" s="2532"/>
      <c r="AH53" s="2338"/>
      <c r="AI53" s="2509"/>
      <c r="AJ53" s="2413"/>
      <c r="AK53" s="2523"/>
      <c r="AL53" s="2338"/>
      <c r="AM53" s="2393"/>
      <c r="AN53" s="2413"/>
      <c r="AO53" s="2536"/>
      <c r="AP53" s="2538"/>
      <c r="AQ53" s="253"/>
      <c r="AR53" s="352"/>
      <c r="AS53" s="352" t="s">
        <v>499</v>
      </c>
      <c r="AT53" s="1311"/>
      <c r="AU53" s="1414"/>
      <c r="AV53" s="1311"/>
      <c r="AW53" s="1414"/>
      <c r="AX53" s="1311"/>
      <c r="AY53" s="1311"/>
      <c r="AZ53" s="1311"/>
      <c r="BA53" s="1311"/>
      <c r="BB53" s="1315"/>
      <c r="BC53" s="2480"/>
      <c r="BE53" s="436"/>
      <c r="BF53" s="436"/>
      <c r="BG53" s="436"/>
      <c r="BH53" s="436"/>
      <c r="BI53" s="1073">
        <v>11</v>
      </c>
    </row>
    <row r="54" spans="1:61" ht="11.45" customHeight="1">
      <c r="A54" s="1281" t="s">
        <v>273</v>
      </c>
      <c r="B54" s="1281"/>
      <c r="C54" s="1281"/>
      <c r="D54" s="1281"/>
      <c r="E54" s="2457"/>
      <c r="F54" s="2457"/>
      <c r="G54" s="2457"/>
      <c r="H54" s="2457"/>
      <c r="I54" s="2459"/>
      <c r="J54" s="2459"/>
      <c r="K54" s="2458"/>
      <c r="L54" s="1282"/>
      <c r="P54" s="2460"/>
      <c r="Q54" s="2460"/>
      <c r="R54" s="293"/>
      <c r="S54" s="2514"/>
      <c r="T54" s="2534"/>
      <c r="U54" s="237"/>
      <c r="V54" s="1311"/>
      <c r="W54" s="1414"/>
      <c r="X54" s="1311"/>
      <c r="Y54" s="1414"/>
      <c r="Z54" s="1311"/>
      <c r="AA54" s="1311"/>
      <c r="AB54" s="1311"/>
      <c r="AC54" s="1311"/>
      <c r="AD54" s="2401"/>
      <c r="AE54" s="2509"/>
      <c r="AF54" s="2413"/>
      <c r="AG54" s="2532"/>
      <c r="AH54" s="2338"/>
      <c r="AI54" s="2509"/>
      <c r="AJ54" s="2413"/>
      <c r="AK54" s="2523"/>
      <c r="AL54" s="2338"/>
      <c r="AM54" s="253"/>
      <c r="AN54" s="1418"/>
      <c r="AO54" s="1418" t="s">
        <v>519</v>
      </c>
      <c r="AP54" s="352"/>
      <c r="AQ54" s="352"/>
      <c r="AR54" s="352"/>
      <c r="AS54" s="1311"/>
      <c r="AT54" s="1311"/>
      <c r="AU54" s="1414"/>
      <c r="AV54" s="1311"/>
      <c r="AW54" s="1414"/>
      <c r="AX54" s="1311"/>
      <c r="AY54" s="1311"/>
      <c r="AZ54" s="1311"/>
      <c r="BA54" s="1311"/>
      <c r="BB54" s="1315"/>
      <c r="BC54" s="2480"/>
      <c r="BE54" s="436"/>
      <c r="BF54" s="436"/>
      <c r="BG54" s="436"/>
      <c r="BH54" s="436"/>
      <c r="BI54" s="1073">
        <v>11</v>
      </c>
    </row>
    <row r="55" spans="1:61" ht="11.45" customHeight="1">
      <c r="A55" s="1281" t="s">
        <v>273</v>
      </c>
      <c r="B55" s="1281"/>
      <c r="C55" s="1281"/>
      <c r="D55" s="1281"/>
      <c r="E55" s="2457"/>
      <c r="F55" s="2457"/>
      <c r="G55" s="2457"/>
      <c r="H55" s="2457"/>
      <c r="I55" s="2459"/>
      <c r="J55" s="2459"/>
      <c r="K55" s="2458"/>
      <c r="L55" s="1282"/>
      <c r="P55" s="2460"/>
      <c r="Q55" s="2460"/>
      <c r="R55" s="293"/>
      <c r="S55" s="2514"/>
      <c r="T55" s="2534"/>
      <c r="U55" s="237"/>
      <c r="V55" s="1311"/>
      <c r="W55" s="1414"/>
      <c r="X55" s="1311"/>
      <c r="Y55" s="1414"/>
      <c r="Z55" s="1311"/>
      <c r="AA55" s="1311"/>
      <c r="AB55" s="1311"/>
      <c r="AC55" s="1311"/>
      <c r="AD55" s="2401"/>
      <c r="AE55" s="2509"/>
      <c r="AF55" s="2413"/>
      <c r="AG55" s="2532"/>
      <c r="AH55" s="2338"/>
      <c r="AI55" s="231"/>
      <c r="AJ55" s="351"/>
      <c r="AK55" s="250" t="s">
        <v>520</v>
      </c>
      <c r="AL55" s="1311"/>
      <c r="AM55" s="1311"/>
      <c r="AN55" s="1311"/>
      <c r="AO55" s="1311"/>
      <c r="AP55" s="1311"/>
      <c r="AQ55" s="1311"/>
      <c r="AR55" s="1311"/>
      <c r="AS55" s="1311"/>
      <c r="AT55" s="1311"/>
      <c r="AU55" s="1414"/>
      <c r="AV55" s="1311"/>
      <c r="AW55" s="1414"/>
      <c r="AX55" s="1311"/>
      <c r="AY55" s="1311"/>
      <c r="AZ55" s="1311"/>
      <c r="BA55" s="1311"/>
      <c r="BB55" s="1315"/>
      <c r="BC55" s="2480"/>
      <c r="BE55" s="436"/>
      <c r="BF55" s="436"/>
      <c r="BG55" s="436"/>
      <c r="BH55" s="436"/>
      <c r="BI55" s="1073">
        <v>11</v>
      </c>
    </row>
    <row r="56" spans="1:61" ht="11.45" customHeight="1">
      <c r="A56" s="1281" t="s">
        <v>273</v>
      </c>
      <c r="B56" s="1281" t="s">
        <v>274</v>
      </c>
      <c r="C56" s="1281" t="s">
        <v>275</v>
      </c>
      <c r="D56" s="1281" t="s">
        <v>526</v>
      </c>
      <c r="E56" s="2457"/>
      <c r="F56" s="2457"/>
      <c r="G56" s="2457"/>
      <c r="H56" s="2457"/>
      <c r="I56" s="2459"/>
      <c r="J56" s="2459"/>
      <c r="K56" s="2458"/>
      <c r="L56" s="1282"/>
      <c r="P56" s="2460"/>
      <c r="Q56" s="2460"/>
      <c r="R56" s="293"/>
      <c r="S56" s="2515"/>
      <c r="T56" s="2535"/>
      <c r="U56" s="237"/>
      <c r="V56" s="1311"/>
      <c r="W56" s="1312" t="str">
        <f>Z52&amp;"-"&amp;AB52</f>
        <v>-</v>
      </c>
      <c r="X56" s="1311"/>
      <c r="Y56" s="1312" t="str">
        <f>AB52&amp;"-"&amp;AD52</f>
        <v>-да</v>
      </c>
      <c r="Z56" s="1311"/>
      <c r="AA56" s="1311"/>
      <c r="AB56" s="1311"/>
      <c r="AC56" s="1311"/>
      <c r="AD56" s="2343"/>
      <c r="AE56" s="249"/>
      <c r="AF56" s="251"/>
      <c r="AG56" s="352" t="s">
        <v>502</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0"/>
      <c r="BE56" s="436"/>
      <c r="BF56" s="436" t="str">
        <f t="shared" ref="BF56:BF63" si="4">IF(T56="","",T56)</f>
        <v/>
      </c>
      <c r="BG56" s="436"/>
      <c r="BH56" s="436"/>
      <c r="BI56" s="1073">
        <v>11</v>
      </c>
    </row>
    <row r="57" spans="1:61" ht="11.45" customHeight="1">
      <c r="A57" s="1281" t="s">
        <v>273</v>
      </c>
      <c r="B57" s="1281" t="s">
        <v>274</v>
      </c>
      <c r="C57" s="1281" t="s">
        <v>275</v>
      </c>
      <c r="D57" s="1281" t="s">
        <v>526</v>
      </c>
      <c r="E57" s="2457"/>
      <c r="F57" s="2457"/>
      <c r="G57" s="2457"/>
      <c r="H57" s="2457"/>
      <c r="I57" s="2459"/>
      <c r="J57" s="2458"/>
      <c r="K57" s="1281"/>
      <c r="L57" s="1282"/>
      <c r="P57" s="2460"/>
      <c r="Q57" s="2460"/>
      <c r="R57" s="292"/>
      <c r="S57" s="1196"/>
      <c r="T57" s="224" t="s">
        <v>465</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1"/>
      <c r="BE57" s="436"/>
      <c r="BF57" s="436" t="str">
        <f t="shared" si="4"/>
        <v>Добавить строку</v>
      </c>
      <c r="BG57" s="436"/>
      <c r="BH57" s="436"/>
      <c r="BI57" s="1073">
        <v>11</v>
      </c>
    </row>
    <row r="58" spans="1:61" s="2034" customFormat="1" ht="0" hidden="1" customHeight="1">
      <c r="A58" s="1261" t="s">
        <v>273</v>
      </c>
      <c r="B58" s="1261" t="s">
        <v>274</v>
      </c>
      <c r="C58" s="1261" t="s">
        <v>275</v>
      </c>
      <c r="D58" s="1261" t="s">
        <v>526</v>
      </c>
      <c r="E58" s="2457"/>
      <c r="F58" s="2457"/>
      <c r="G58" s="2457"/>
      <c r="H58" s="2457"/>
      <c r="I58" s="2458"/>
      <c r="J58" s="1261"/>
      <c r="K58" s="1261"/>
      <c r="L58" s="1264"/>
      <c r="M58" s="446"/>
      <c r="N58" s="446"/>
      <c r="O58" s="446"/>
      <c r="P58" s="2460"/>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034" customFormat="1" ht="0" hidden="1" customHeight="1">
      <c r="A59" s="1261" t="s">
        <v>273</v>
      </c>
      <c r="B59" s="1261" t="s">
        <v>274</v>
      </c>
      <c r="C59" s="1261" t="s">
        <v>275</v>
      </c>
      <c r="D59" s="1261" t="s">
        <v>526</v>
      </c>
      <c r="E59" s="2457"/>
      <c r="F59" s="2457"/>
      <c r="G59" s="2457"/>
      <c r="H59" s="2456"/>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034" customFormat="1" ht="0" hidden="1" customHeight="1">
      <c r="A60" s="1261" t="s">
        <v>273</v>
      </c>
      <c r="B60" s="1261" t="s">
        <v>274</v>
      </c>
      <c r="C60" s="1261" t="s">
        <v>275</v>
      </c>
      <c r="D60" s="1232"/>
      <c r="E60" s="2457"/>
      <c r="F60" s="2457"/>
      <c r="G60" s="245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034" customFormat="1" ht="0" hidden="1" customHeight="1">
      <c r="A61" s="1261" t="s">
        <v>273</v>
      </c>
      <c r="B61" s="1261" t="s">
        <v>274</v>
      </c>
      <c r="C61" s="1232"/>
      <c r="D61" s="1232"/>
      <c r="E61" s="2457"/>
      <c r="F61" s="2456"/>
      <c r="G61" s="1232"/>
      <c r="H61" s="1232"/>
      <c r="I61" s="1232"/>
      <c r="J61" s="1232"/>
      <c r="K61" s="1232"/>
      <c r="L61" s="1412"/>
      <c r="M61" s="1239"/>
      <c r="N61" s="1239"/>
      <c r="P61" s="1234"/>
      <c r="Q61" s="1235"/>
      <c r="R61" s="1234"/>
      <c r="S61" s="1240"/>
      <c r="T61" s="1243" t="s">
        <v>412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034" customFormat="1" ht="0" hidden="1" customHeight="1">
      <c r="A62" s="1261" t="s">
        <v>273</v>
      </c>
      <c r="B62" s="1261"/>
      <c r="C62" s="1261"/>
      <c r="D62" s="1261"/>
      <c r="E62" s="2456"/>
      <c r="F62" s="1261"/>
      <c r="G62" s="1261"/>
      <c r="H62" s="1261"/>
      <c r="I62" s="1261"/>
      <c r="J62" s="1261"/>
      <c r="K62" s="1261"/>
      <c r="L62" s="1264"/>
      <c r="M62" s="1239"/>
      <c r="N62" s="1239"/>
      <c r="O62" s="454"/>
      <c r="P62" s="316"/>
      <c r="Q62" s="1262"/>
      <c r="R62" s="316"/>
      <c r="S62" s="1240"/>
      <c r="T62" s="1243" t="s">
        <v>413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03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445</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2455"/>
      <c r="U65" s="2455"/>
      <c r="V65" s="2455"/>
      <c r="W65" s="2455"/>
      <c r="X65" s="2455"/>
      <c r="Y65" s="2455"/>
      <c r="Z65" s="2455"/>
      <c r="AA65" s="2455"/>
      <c r="AB65" s="2455"/>
      <c r="AC65" s="2455"/>
      <c r="AD65" s="2455"/>
      <c r="AE65" s="2455"/>
      <c r="AF65" s="2455"/>
      <c r="AG65" s="2455"/>
      <c r="AH65" s="2455"/>
      <c r="AI65" s="2455"/>
      <c r="AJ65" s="2455"/>
      <c r="AK65" s="2455"/>
      <c r="AL65" s="2455"/>
      <c r="AM65" s="2455"/>
      <c r="AN65" s="2455"/>
      <c r="AO65" s="2455"/>
      <c r="AP65" s="2455"/>
      <c r="AQ65" s="2455"/>
      <c r="AR65" s="2455"/>
      <c r="AS65" s="2455"/>
      <c r="AT65" s="2455"/>
      <c r="AU65" s="2455"/>
      <c r="AV65" s="2455"/>
      <c r="AW65" s="2455"/>
      <c r="AX65" s="2455"/>
      <c r="AY65" s="2455"/>
      <c r="AZ65" s="2455"/>
      <c r="BA65" s="2455"/>
      <c r="BB65" s="2455"/>
      <c r="BC65" s="2455"/>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2455"/>
      <c r="U67" s="2455"/>
      <c r="V67" s="2455"/>
      <c r="W67" s="2455"/>
      <c r="X67" s="2455"/>
      <c r="Y67" s="2455"/>
      <c r="Z67" s="2455"/>
      <c r="AA67" s="2455"/>
      <c r="AB67" s="2455"/>
      <c r="AC67" s="2455"/>
      <c r="AD67" s="2455"/>
      <c r="AE67" s="2455"/>
      <c r="AF67" s="2455"/>
      <c r="AG67" s="2455"/>
      <c r="AH67" s="2455"/>
      <c r="AI67" s="2455"/>
      <c r="AJ67" s="2455"/>
      <c r="AK67" s="2455"/>
      <c r="AL67" s="2455"/>
      <c r="AM67" s="2455"/>
      <c r="AN67" s="2455"/>
      <c r="AO67" s="2455"/>
      <c r="AP67" s="2455"/>
      <c r="AQ67" s="2455"/>
      <c r="AR67" s="2455"/>
      <c r="AS67" s="2455"/>
      <c r="AT67" s="2455"/>
      <c r="AU67" s="2455"/>
      <c r="AV67" s="2455"/>
      <c r="AW67" s="2455"/>
      <c r="AX67" s="2455"/>
      <c r="AY67" s="2455"/>
      <c r="AZ67" s="2455"/>
      <c r="BA67" s="2455"/>
      <c r="BB67" s="2455"/>
      <c r="BC67" s="2455"/>
      <c r="BI67" s="1073">
        <v>14</v>
      </c>
    </row>
    <row r="68" spans="1:61" ht="14.65" customHeight="1">
      <c r="O68" s="473"/>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062" hidden="1" customWidth="1"/>
    <col min="2" max="2" width="6" style="2056" hidden="1" customWidth="1"/>
    <col min="3" max="3" width="3" style="2062" customWidth="1"/>
    <col min="4" max="4" width="3" style="2079" customWidth="1"/>
    <col min="5" max="5" width="6" style="2062" customWidth="1"/>
    <col min="6" max="6" width="2.7109375" style="2062" hidden="1" customWidth="1"/>
    <col min="7" max="7" width="46.7109375" style="2062" customWidth="1"/>
    <col min="8" max="8" width="42" style="2062" customWidth="1"/>
    <col min="9" max="9" width="14" style="2062" customWidth="1"/>
    <col min="10" max="10" width="3" style="2057" customWidth="1"/>
    <col min="11" max="13" width="9.140625" style="2057" hidden="1"/>
    <col min="14" max="14" width="25.7109375" style="2057" hidden="1" customWidth="1"/>
    <col min="15" max="15" width="14.42578125" style="2057" hidden="1" customWidth="1"/>
    <col min="16" max="19" width="9.140625" style="2009" hidden="1"/>
    <col min="20" max="27" width="9.140625" style="2062" hidden="1"/>
    <col min="28" max="28" width="8" style="2062" customWidth="1"/>
    <col min="29" max="29" width="9.140625" style="2062" hidden="1"/>
  </cols>
  <sheetData>
    <row r="1" spans="1:29" s="2034"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00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2" customFormat="1" ht="3" customHeight="1">
      <c r="A3" s="692"/>
      <c r="B3" s="353"/>
      <c r="C3" s="692"/>
      <c r="D3" s="101"/>
      <c r="E3" s="43"/>
      <c r="F3" s="445"/>
      <c r="G3" s="43"/>
      <c r="H3" s="43"/>
      <c r="I3" s="103"/>
      <c r="J3" s="184"/>
      <c r="K3" s="93"/>
      <c r="L3" s="93"/>
      <c r="M3" s="93"/>
      <c r="N3" s="163"/>
      <c r="O3" s="93"/>
      <c r="P3" s="162"/>
      <c r="Q3" s="162"/>
      <c r="R3" s="162"/>
      <c r="S3" s="162"/>
      <c r="AC3" s="56">
        <v>3</v>
      </c>
    </row>
    <row r="4" spans="1:29" s="2022" customFormat="1" ht="27.4" customHeight="1">
      <c r="A4" s="692"/>
      <c r="B4" s="353"/>
      <c r="C4" s="692"/>
      <c r="D4" s="101"/>
      <c r="E4" s="2314" t="str">
        <f>NameTemplatesInListMO</f>
        <v>Перечень муниципальных районов и муниципальных образований (территорий оказания услуг)</v>
      </c>
      <c r="F4" s="2314"/>
      <c r="G4" s="2314"/>
      <c r="H4" s="2314"/>
      <c r="I4" s="2314"/>
      <c r="J4" s="184"/>
      <c r="K4" s="93"/>
      <c r="L4" s="93"/>
      <c r="M4" s="93"/>
      <c r="N4" s="163"/>
      <c r="O4" s="93"/>
      <c r="P4" s="162"/>
      <c r="Q4" s="162"/>
      <c r="R4" s="162"/>
      <c r="S4" s="162"/>
      <c r="AC4" s="56">
        <v>26</v>
      </c>
    </row>
    <row r="5" spans="1:29" s="2022" customFormat="1" ht="3" customHeight="1">
      <c r="A5" s="692"/>
      <c r="B5" s="353"/>
      <c r="C5" s="692"/>
      <c r="D5" s="101"/>
      <c r="E5" s="43"/>
      <c r="F5" s="445"/>
      <c r="G5" s="104"/>
      <c r="H5" s="104"/>
      <c r="I5" s="105"/>
      <c r="J5" s="93"/>
      <c r="K5" s="93"/>
      <c r="L5" s="93"/>
      <c r="M5" s="93"/>
      <c r="N5" s="163"/>
      <c r="O5" s="93"/>
      <c r="P5" s="162"/>
      <c r="Q5" s="162"/>
      <c r="R5" s="162"/>
      <c r="S5" s="162"/>
      <c r="AC5" s="56">
        <v>3</v>
      </c>
    </row>
    <row r="6" spans="1:29" s="202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2" customFormat="1" ht="14.65" customHeight="1">
      <c r="A8" s="692"/>
      <c r="B8" s="353"/>
      <c r="C8" s="692"/>
      <c r="D8" s="101"/>
      <c r="E8" s="2310" t="s">
        <v>88</v>
      </c>
      <c r="F8" s="2315"/>
      <c r="G8" s="2309"/>
      <c r="H8" s="2316" t="s">
        <v>89</v>
      </c>
      <c r="I8" s="2316"/>
      <c r="J8" s="93"/>
      <c r="K8" s="93"/>
      <c r="L8" s="93"/>
      <c r="M8" s="93"/>
      <c r="N8" s="163"/>
      <c r="O8" s="93"/>
      <c r="P8" s="162"/>
      <c r="Q8" s="162"/>
      <c r="R8" s="162"/>
      <c r="S8" s="162"/>
      <c r="AC8" s="56">
        <v>14</v>
      </c>
    </row>
    <row r="9" spans="1:29" s="2022" customFormat="1" ht="21" customHeight="1">
      <c r="A9" s="692"/>
      <c r="B9" s="353"/>
      <c r="C9" s="692"/>
      <c r="D9" s="101"/>
      <c r="E9" s="708" t="s">
        <v>90</v>
      </c>
      <c r="F9" s="708"/>
      <c r="G9" s="109" t="s">
        <v>91</v>
      </c>
      <c r="H9" s="109" t="s">
        <v>91</v>
      </c>
      <c r="I9" s="109" t="s">
        <v>87</v>
      </c>
      <c r="J9" s="93"/>
      <c r="K9" s="93"/>
      <c r="L9" s="93"/>
      <c r="M9" s="93"/>
      <c r="N9" s="163"/>
      <c r="O9" s="93"/>
      <c r="P9" s="162"/>
      <c r="Q9" s="162"/>
      <c r="R9" s="162"/>
      <c r="S9" s="162"/>
      <c r="AC9" s="56">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3">
        <v>11</v>
      </c>
    </row>
    <row r="11" spans="1:29" s="2022" customFormat="1" ht="1.1499999999999999" customHeight="1">
      <c r="A11" s="692"/>
      <c r="B11" s="353"/>
      <c r="C11" s="692"/>
      <c r="D11" s="101"/>
      <c r="E11" s="720"/>
      <c r="F11" s="720"/>
      <c r="G11" s="110"/>
      <c r="H11" s="110"/>
      <c r="I11" s="112"/>
      <c r="J11" s="186" t="s">
        <v>96</v>
      </c>
      <c r="K11" s="93"/>
      <c r="L11" s="93"/>
      <c r="M11" s="93" t="s">
        <v>97</v>
      </c>
      <c r="N11" s="163" t="s">
        <v>98</v>
      </c>
      <c r="O11" s="93" t="s">
        <v>99</v>
      </c>
      <c r="P11" s="162"/>
      <c r="Q11" s="162"/>
      <c r="R11" s="162"/>
      <c r="S11" s="162"/>
      <c r="AC11" s="56">
        <v>1</v>
      </c>
    </row>
    <row r="12" spans="1:29" s="2022" customFormat="1" ht="15" customHeight="1">
      <c r="A12" s="2313">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2114" customFormat="1" ht="15.75" customHeight="1">
      <c r="A13" s="2313"/>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2114" customFormat="1" ht="15.75" customHeight="1">
      <c r="A14" s="2313"/>
      <c r="B14" s="353"/>
      <c r="C14" s="348"/>
      <c r="D14" s="731"/>
      <c r="E14" s="357"/>
      <c r="F14" s="114"/>
      <c r="G14" s="351" t="s">
        <v>101</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2" customFormat="1" ht="14.65" customHeight="1">
      <c r="A15" s="692"/>
      <c r="B15" s="353"/>
      <c r="C15" s="692"/>
      <c r="D15" s="712"/>
      <c r="E15" s="724"/>
      <c r="F15" s="115"/>
      <c r="G15" s="352" t="s">
        <v>102</v>
      </c>
      <c r="H15" s="115"/>
      <c r="I15" s="116"/>
      <c r="J15" s="186"/>
      <c r="K15" s="93"/>
      <c r="L15" s="93"/>
      <c r="M15" s="93"/>
      <c r="N15" s="163" t="s">
        <v>103</v>
      </c>
      <c r="O15" s="93"/>
      <c r="P15" s="162"/>
      <c r="Q15" s="162"/>
      <c r="R15" s="162"/>
      <c r="S15" s="162"/>
      <c r="AC15" s="56">
        <v>14</v>
      </c>
    </row>
    <row r="16" spans="1:29" s="2022"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2"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2"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18" customFormat="1" ht="10.5" customHeight="1">
      <c r="B19" s="764"/>
      <c r="D19" s="119"/>
      <c r="J19" s="93"/>
      <c r="K19" s="93"/>
      <c r="L19" s="93"/>
      <c r="M19" s="93"/>
      <c r="N19" s="163"/>
      <c r="O19" s="93"/>
      <c r="P19" s="162"/>
      <c r="Q19" s="162"/>
      <c r="R19" s="162"/>
      <c r="S19" s="162"/>
      <c r="AC19" s="118">
        <v>10</v>
      </c>
    </row>
    <row r="20" spans="1:29" s="2018"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8" width="19.7109375" style="2062" hidden="1" customWidth="1"/>
    <col min="29" max="29" width="11.7109375" style="2062" hidden="1" customWidth="1"/>
    <col min="30" max="30" width="3.7109375" style="2062" hidden="1" customWidth="1"/>
    <col min="31" max="31" width="11.7109375" style="2062" hidden="1" customWidth="1"/>
    <col min="32" max="32" width="8.5703125" style="2062" hidden="1" customWidth="1"/>
    <col min="33" max="33" width="19.7109375" style="2062" customWidth="1"/>
    <col min="34" max="39" width="19" style="2062" customWidth="1"/>
    <col min="40" max="40" width="11" style="2062" customWidth="1"/>
    <col min="41" max="41" width="3.7109375" style="2062" customWidth="1"/>
    <col min="42" max="42" width="11" style="2062" customWidth="1"/>
    <col min="43" max="43" width="8.5703125" style="2062" hidden="1" customWidth="1"/>
    <col min="44" max="44" width="4" style="2062" customWidth="1"/>
    <col min="45" max="45" width="115" style="2062" customWidth="1"/>
    <col min="46" max="50" width="10" style="2034" customWidth="1"/>
    <col min="51" max="51" width="10.5703125" style="2062" hidden="1"/>
  </cols>
  <sheetData>
    <row r="1" spans="1:51" ht="22.5" hidden="1" customHeight="1">
      <c r="AC1" s="264"/>
      <c r="AN1" s="264"/>
      <c r="AY1" s="1073" t="s">
        <v>14</v>
      </c>
    </row>
    <row r="2" spans="1:51" ht="23.25" hidden="1" customHeight="1">
      <c r="A2" s="1281"/>
      <c r="B2" s="1281"/>
      <c r="C2" s="1281"/>
      <c r="D2" s="1281"/>
      <c r="E2" s="2456">
        <v>1</v>
      </c>
      <c r="F2" s="1281"/>
      <c r="G2" s="1281"/>
      <c r="H2" s="1281"/>
      <c r="I2" s="1281"/>
      <c r="J2" s="1281"/>
      <c r="K2" s="1281"/>
      <c r="L2" s="1282"/>
      <c r="M2" s="1283"/>
      <c r="N2" s="1283"/>
      <c r="O2" s="1283"/>
      <c r="P2" s="297"/>
      <c r="Q2" s="296"/>
      <c r="R2" s="291"/>
      <c r="S2" s="1411" t="e">
        <f>INDEX(PT_DIFFERENTIATION_NUM_NTAR,MATCH(A2,PT_DIFFERENTIATION_NTAR_ID,0))</f>
        <v>#N/A</v>
      </c>
      <c r="T2" s="235" t="s">
        <v>122</v>
      </c>
      <c r="U2" s="237"/>
      <c r="V2" s="2450"/>
      <c r="W2" s="2451"/>
      <c r="X2" s="2451"/>
      <c r="Y2" s="2451"/>
      <c r="Z2" s="2451"/>
      <c r="AA2" s="2451"/>
      <c r="AB2" s="2451"/>
      <c r="AC2" s="2451"/>
      <c r="AD2" s="2451"/>
      <c r="AE2" s="2451"/>
      <c r="AF2" s="2452"/>
      <c r="AG2" s="2450" t="e">
        <f>INDEX(PT_DIFFERENTIATION_NTAR,MATCH(A2,PT_DIFFERENTIATION_NTAR_ID,0))</f>
        <v>#N/A</v>
      </c>
      <c r="AH2" s="2451"/>
      <c r="AI2" s="2451"/>
      <c r="AJ2" s="2451"/>
      <c r="AK2" s="2451"/>
      <c r="AL2" s="2451"/>
      <c r="AM2" s="2451"/>
      <c r="AN2" s="2451"/>
      <c r="AO2" s="2451"/>
      <c r="AP2" s="2451"/>
      <c r="AQ2" s="2451"/>
      <c r="AR2" s="245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457"/>
      <c r="F3" s="2456">
        <v>1</v>
      </c>
      <c r="G3" s="1281"/>
      <c r="H3" s="1281"/>
      <c r="I3" s="1281"/>
      <c r="J3" s="1281"/>
      <c r="K3" s="1281"/>
      <c r="L3" s="1282"/>
      <c r="M3" s="1283"/>
      <c r="N3" s="1283"/>
      <c r="O3" s="1283"/>
      <c r="P3" s="1405"/>
      <c r="Q3" s="288"/>
      <c r="R3" s="289"/>
      <c r="S3" s="1411" t="e">
        <f>INDEX(PT_DIFFERENTIATION_NUM_TER,MATCH(B3,PT_DIFFERENTIATION_TER_ID,0))</f>
        <v>#N/A</v>
      </c>
      <c r="T3" s="245" t="s">
        <v>394</v>
      </c>
      <c r="U3" s="237"/>
      <c r="V3" s="2450"/>
      <c r="W3" s="2451"/>
      <c r="X3" s="2451"/>
      <c r="Y3" s="2451"/>
      <c r="Z3" s="2451"/>
      <c r="AA3" s="2451"/>
      <c r="AB3" s="2451"/>
      <c r="AC3" s="2451"/>
      <c r="AD3" s="2451"/>
      <c r="AE3" s="2451"/>
      <c r="AF3" s="2452"/>
      <c r="AG3" s="2450" t="e">
        <f>INDEX(PT_DIFFERENTIATION_TER,MATCH(B3,PT_DIFFERENTIATION_TER_ID,0))</f>
        <v>#N/A</v>
      </c>
      <c r="AH3" s="2451"/>
      <c r="AI3" s="2451"/>
      <c r="AJ3" s="2451"/>
      <c r="AK3" s="2451"/>
      <c r="AL3" s="2451"/>
      <c r="AM3" s="2451"/>
      <c r="AN3" s="2451"/>
      <c r="AO3" s="2451"/>
      <c r="AP3" s="2451"/>
      <c r="AQ3" s="2451"/>
      <c r="AR3" s="2452"/>
      <c r="AS3" s="1176" t="s">
        <v>395</v>
      </c>
      <c r="AU3" s="436"/>
      <c r="AV3" s="436" t="str">
        <f t="shared" si="0"/>
        <v>Территория действия тарифа</v>
      </c>
      <c r="AW3" s="436"/>
      <c r="AX3" s="436"/>
      <c r="AY3" s="1073">
        <v>0</v>
      </c>
    </row>
    <row r="4" spans="1:51" ht="23.25" hidden="1" customHeight="1">
      <c r="A4" s="1281"/>
      <c r="B4" s="1281"/>
      <c r="C4" s="1281"/>
      <c r="D4" s="1281"/>
      <c r="E4" s="2457"/>
      <c r="F4" s="2457"/>
      <c r="G4" s="2456">
        <v>1</v>
      </c>
      <c r="H4" s="1281"/>
      <c r="I4" s="1281"/>
      <c r="J4" s="1281"/>
      <c r="K4" s="1281"/>
      <c r="L4" s="1282"/>
      <c r="M4" s="1283"/>
      <c r="N4" s="1283"/>
      <c r="O4" s="1283"/>
      <c r="P4" s="290"/>
      <c r="Q4" s="288"/>
      <c r="R4" s="289"/>
      <c r="S4" s="1411" t="e">
        <f>INDEX(PT_DIFFERENTIATION_NUM_CS,MATCH(C4,PT_DIFFERENTIATION_CS_ID,0))</f>
        <v>#N/A</v>
      </c>
      <c r="T4" s="246" t="s">
        <v>527</v>
      </c>
      <c r="U4" s="237"/>
      <c r="V4" s="2450"/>
      <c r="W4" s="2451"/>
      <c r="X4" s="2451"/>
      <c r="Y4" s="2451"/>
      <c r="Z4" s="2451"/>
      <c r="AA4" s="2451"/>
      <c r="AB4" s="2451"/>
      <c r="AC4" s="2451"/>
      <c r="AD4" s="2451"/>
      <c r="AE4" s="2451"/>
      <c r="AF4" s="2452"/>
      <c r="AG4" s="2450" t="e">
        <f>INDEX(PT_DIFFERENTIATION_CS,MATCH(C4,PT_DIFFERENTIATION_CS_ID,0))</f>
        <v>#N/A</v>
      </c>
      <c r="AH4" s="2451"/>
      <c r="AI4" s="2451"/>
      <c r="AJ4" s="2451"/>
      <c r="AK4" s="2451"/>
      <c r="AL4" s="2451"/>
      <c r="AM4" s="2451"/>
      <c r="AN4" s="2451"/>
      <c r="AO4" s="2451"/>
      <c r="AP4" s="2451"/>
      <c r="AQ4" s="2451"/>
      <c r="AR4" s="2452"/>
      <c r="AS4" s="1176" t="s">
        <v>528</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457"/>
      <c r="F5" s="2457"/>
      <c r="G5" s="2457"/>
      <c r="H5" s="2457"/>
      <c r="I5" s="2458" t="e">
        <f>S4&amp;".1"</f>
        <v>#N/A</v>
      </c>
      <c r="J5" s="1281"/>
      <c r="K5" s="1281"/>
      <c r="L5" s="1282"/>
      <c r="P5" s="2460">
        <v>1</v>
      </c>
      <c r="Q5" s="1399"/>
      <c r="R5" s="292"/>
      <c r="S5" s="1411" t="e">
        <f>$I5</f>
        <v>#N/A</v>
      </c>
      <c r="T5" s="222" t="s">
        <v>480</v>
      </c>
      <c r="U5" s="237"/>
      <c r="V5" s="2524"/>
      <c r="W5" s="2525"/>
      <c r="X5" s="2525"/>
      <c r="Y5" s="2525"/>
      <c r="Z5" s="2525"/>
      <c r="AA5" s="2525"/>
      <c r="AB5" s="2525"/>
      <c r="AC5" s="2525"/>
      <c r="AD5" s="2525"/>
      <c r="AE5" s="2525"/>
      <c r="AF5" s="2526"/>
      <c r="AG5" s="2527"/>
      <c r="AH5" s="2528"/>
      <c r="AI5" s="2528"/>
      <c r="AJ5" s="2528"/>
      <c r="AK5" s="2528"/>
      <c r="AL5" s="2528"/>
      <c r="AM5" s="2528"/>
      <c r="AN5" s="2528"/>
      <c r="AO5" s="2528"/>
      <c r="AP5" s="2528"/>
      <c r="AQ5" s="2528"/>
      <c r="AR5" s="2529"/>
      <c r="AS5" s="1176" t="s">
        <v>481</v>
      </c>
      <c r="AU5" s="436"/>
      <c r="AV5" s="436" t="str">
        <f t="shared" si="0"/>
        <v>Наименование признака дифференциации</v>
      </c>
      <c r="AW5" s="436"/>
      <c r="AX5" s="436"/>
      <c r="AY5" s="1073">
        <v>0</v>
      </c>
    </row>
    <row r="6" spans="1:51" ht="23.25" hidden="1" customHeight="1">
      <c r="A6" s="1281"/>
      <c r="B6" s="1281"/>
      <c r="C6" s="1281"/>
      <c r="D6" s="1281"/>
      <c r="E6" s="2457"/>
      <c r="F6" s="2457"/>
      <c r="G6" s="2457"/>
      <c r="H6" s="2457"/>
      <c r="I6" s="2459"/>
      <c r="J6" s="2458" t="e">
        <f>I5&amp;".1"</f>
        <v>#N/A</v>
      </c>
      <c r="K6" s="1281"/>
      <c r="L6" s="1282" t="s">
        <v>403</v>
      </c>
      <c r="P6" s="2460"/>
      <c r="Q6" s="2460">
        <v>1</v>
      </c>
      <c r="R6" s="293"/>
      <c r="S6" s="1411" t="e">
        <f>$J6</f>
        <v>#N/A</v>
      </c>
      <c r="T6" s="223" t="s">
        <v>404</v>
      </c>
      <c r="U6" s="237"/>
      <c r="V6" s="2444"/>
      <c r="W6" s="2445"/>
      <c r="X6" s="2445"/>
      <c r="Y6" s="2445"/>
      <c r="Z6" s="2445"/>
      <c r="AA6" s="2445"/>
      <c r="AB6" s="2445"/>
      <c r="AC6" s="2445"/>
      <c r="AD6" s="2445"/>
      <c r="AE6" s="2445"/>
      <c r="AF6" s="2446"/>
      <c r="AG6" s="2444"/>
      <c r="AH6" s="2445"/>
      <c r="AI6" s="2445"/>
      <c r="AJ6" s="2445"/>
      <c r="AK6" s="2445"/>
      <c r="AL6" s="2445"/>
      <c r="AM6" s="2445"/>
      <c r="AN6" s="2445"/>
      <c r="AO6" s="2445"/>
      <c r="AP6" s="2445"/>
      <c r="AQ6" s="2445"/>
      <c r="AR6" s="2446"/>
      <c r="AS6" s="1225" t="s">
        <v>482</v>
      </c>
      <c r="AU6" s="436"/>
      <c r="AV6" s="436" t="str">
        <f t="shared" si="0"/>
        <v>Группа потребителей</v>
      </c>
      <c r="AW6" s="436"/>
      <c r="AX6" s="436"/>
      <c r="AY6" s="1073">
        <v>0</v>
      </c>
    </row>
    <row r="7" spans="1:51" ht="23.25" hidden="1" customHeight="1">
      <c r="A7" s="1281"/>
      <c r="B7" s="1281"/>
      <c r="C7" s="1281"/>
      <c r="D7" s="1281"/>
      <c r="E7" s="2457"/>
      <c r="F7" s="2457"/>
      <c r="G7" s="2457"/>
      <c r="H7" s="2457"/>
      <c r="I7" s="2459"/>
      <c r="J7" s="2459"/>
      <c r="K7" s="2458" t="e">
        <f>J6&amp;".1"</f>
        <v>#N/A</v>
      </c>
      <c r="L7" s="1282"/>
      <c r="P7" s="2460"/>
      <c r="Q7" s="2460"/>
      <c r="R7" s="293">
        <v>1</v>
      </c>
      <c r="S7" s="1411" t="e">
        <f>$K7</f>
        <v>#N/A</v>
      </c>
      <c r="T7" s="1355"/>
      <c r="U7" s="237"/>
      <c r="V7" s="687"/>
      <c r="W7" s="687"/>
      <c r="X7" s="687"/>
      <c r="Y7" s="687"/>
      <c r="Z7" s="687"/>
      <c r="AA7" s="687"/>
      <c r="AB7" s="687"/>
      <c r="AC7" s="2461"/>
      <c r="AD7" s="2338" t="s">
        <v>67</v>
      </c>
      <c r="AE7" s="2461"/>
      <c r="AF7" s="2338" t="s">
        <v>67</v>
      </c>
      <c r="AG7" s="687"/>
      <c r="AH7" s="687"/>
      <c r="AI7" s="687"/>
      <c r="AJ7" s="687"/>
      <c r="AK7" s="687"/>
      <c r="AL7" s="687"/>
      <c r="AM7" s="687"/>
      <c r="AN7" s="2461"/>
      <c r="AO7" s="2338" t="s">
        <v>67</v>
      </c>
      <c r="AP7" s="2463"/>
      <c r="AQ7" s="2338" t="s">
        <v>67</v>
      </c>
      <c r="AR7" s="1356"/>
      <c r="AS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457"/>
      <c r="F8" s="2457"/>
      <c r="G8" s="2457"/>
      <c r="H8" s="2457"/>
      <c r="I8" s="2459"/>
      <c r="J8" s="2459"/>
      <c r="K8" s="2458"/>
      <c r="L8" s="1282"/>
      <c r="P8" s="2460"/>
      <c r="Q8" s="2460"/>
      <c r="R8" s="293"/>
      <c r="S8" s="1408"/>
      <c r="T8" s="237"/>
      <c r="U8" s="237"/>
      <c r="V8" s="262"/>
      <c r="W8" s="262"/>
      <c r="X8" s="262"/>
      <c r="Y8" s="262"/>
      <c r="Z8" s="262"/>
      <c r="AA8" s="262"/>
      <c r="AB8" s="262"/>
      <c r="AC8" s="2462"/>
      <c r="AD8" s="2338"/>
      <c r="AE8" s="2462"/>
      <c r="AF8" s="2338"/>
      <c r="AG8" s="262"/>
      <c r="AH8" s="262"/>
      <c r="AI8" s="262"/>
      <c r="AJ8" s="262"/>
      <c r="AK8" s="262"/>
      <c r="AL8" s="262"/>
      <c r="AM8" s="262"/>
      <c r="AN8" s="2462"/>
      <c r="AO8" s="2338"/>
      <c r="AP8" s="2464"/>
      <c r="AQ8" s="2338"/>
      <c r="AR8" s="1357"/>
      <c r="AS8" s="2530"/>
      <c r="AU8" s="436"/>
      <c r="AV8" s="436" t="str">
        <f t="shared" si="0"/>
        <v/>
      </c>
      <c r="AW8" s="436"/>
      <c r="AX8" s="436"/>
      <c r="AY8" s="1073">
        <v>0</v>
      </c>
    </row>
    <row r="9" spans="1:51" ht="21" hidden="1" customHeight="1">
      <c r="A9" s="1281"/>
      <c r="B9" s="1281"/>
      <c r="C9" s="1281"/>
      <c r="D9" s="1281"/>
      <c r="E9" s="2457"/>
      <c r="F9" s="2457"/>
      <c r="G9" s="2457"/>
      <c r="H9" s="2457"/>
      <c r="I9" s="2459"/>
      <c r="J9" s="2458"/>
      <c r="K9" s="1281"/>
      <c r="L9" s="1282"/>
      <c r="P9" s="2460"/>
      <c r="Q9" s="2460"/>
      <c r="R9" s="292"/>
      <c r="S9" s="1196"/>
      <c r="T9" s="224" t="s">
        <v>483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6" t="s">
        <v>484</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457"/>
      <c r="F10" s="2457"/>
      <c r="G10" s="2457"/>
      <c r="H10" s="2457"/>
      <c r="I10" s="2458"/>
      <c r="J10" s="1281"/>
      <c r="K10" s="1281"/>
      <c r="L10" s="1282"/>
      <c r="P10" s="2460"/>
      <c r="Q10" s="1399"/>
      <c r="R10" s="292"/>
      <c r="S10" s="1196"/>
      <c r="T10" s="301" t="s">
        <v>409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034" customFormat="1" ht="14.25" hidden="1" customHeight="1">
      <c r="A12" s="1261"/>
      <c r="B12" s="1261"/>
      <c r="C12" s="1232"/>
      <c r="D12" s="1232"/>
      <c r="E12" s="2457"/>
      <c r="F12" s="2456"/>
      <c r="G12" s="1232"/>
      <c r="H12" s="1232"/>
      <c r="I12" s="1232"/>
      <c r="J12" s="1232"/>
      <c r="K12" s="1232"/>
      <c r="L12" s="1412"/>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2454"/>
      <c r="AO15" s="2453" t="s">
        <v>67</v>
      </c>
      <c r="AP15" s="2454"/>
      <c r="AQ15" s="2453" t="s">
        <v>67</v>
      </c>
      <c r="AY15" s="1073">
        <v>0</v>
      </c>
    </row>
    <row r="16" spans="1:51" ht="14.25" hidden="1" customHeight="1">
      <c r="AG16" s="1278"/>
      <c r="AH16" s="1278"/>
      <c r="AI16" s="1278"/>
      <c r="AJ16" s="1278"/>
      <c r="AK16" s="1278"/>
      <c r="AL16" s="1278"/>
      <c r="AM16" s="1278"/>
      <c r="AN16" s="2453"/>
      <c r="AO16" s="2453"/>
      <c r="AP16" s="2453"/>
      <c r="AQ16" s="2453"/>
      <c r="AY16" s="1073">
        <v>0</v>
      </c>
    </row>
    <row r="17" spans="1:51" ht="14.25" hidden="1" customHeight="1">
      <c r="AQ17" s="264"/>
      <c r="AY17" s="1073">
        <v>0</v>
      </c>
    </row>
    <row r="18" spans="1:51" s="2056" customFormat="1" ht="22.5" hidden="1" customHeight="1">
      <c r="L18" s="1396"/>
      <c r="M18" s="1280"/>
      <c r="N18" s="1280"/>
      <c r="O18" s="1285" t="s">
        <v>414</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056"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056" customFormat="1" ht="12" hidden="1" customHeight="1">
      <c r="L20" s="1396"/>
      <c r="M20" s="1280"/>
      <c r="N20" s="1280"/>
      <c r="O20" s="1282" t="s">
        <v>415</v>
      </c>
      <c r="P20" s="1280"/>
      <c r="Q20" s="1360"/>
      <c r="R20" s="1360"/>
      <c r="S20" s="665"/>
      <c r="T20" s="1078" t="s">
        <v>416</v>
      </c>
      <c r="W20" s="1284"/>
      <c r="X20" s="1284"/>
      <c r="Y20" s="1284"/>
      <c r="Z20" s="1284"/>
      <c r="AA20" s="1284"/>
      <c r="AB20" s="1284"/>
      <c r="AD20" s="123" t="s">
        <v>417</v>
      </c>
      <c r="AF20" s="123" t="s">
        <v>418</v>
      </c>
      <c r="AG20" s="1078" t="s">
        <v>416</v>
      </c>
      <c r="AH20" s="1284"/>
      <c r="AI20" s="1284"/>
      <c r="AJ20" s="1284"/>
      <c r="AK20" s="1284"/>
      <c r="AL20" s="1284"/>
      <c r="AO20" s="123" t="s">
        <v>419</v>
      </c>
      <c r="AQ20" s="123" t="s">
        <v>418</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43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1161"/>
      <c r="AY24" s="1073">
        <v>25</v>
      </c>
    </row>
    <row r="25" spans="1:51"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449"/>
      <c r="AC27" s="2449"/>
      <c r="AD27" s="2449"/>
      <c r="AE27" s="2449"/>
      <c r="AF27" s="263"/>
      <c r="AG27" s="2449" t="str">
        <f>IF(TITLE_NAME_OR_PR_CHANGE="",IF(TITLE_NAME_OR_PR="","",TITLE_NAME_OR_PR),TITLE_NAME_OR_PR_CHANGE)</f>
        <v/>
      </c>
      <c r="AH27" s="2449"/>
      <c r="AI27" s="2449"/>
      <c r="AJ27" s="2449"/>
      <c r="AK27" s="2449"/>
      <c r="AL27" s="2449"/>
      <c r="AM27" s="2449"/>
      <c r="AN27" s="2449"/>
      <c r="AO27" s="2449"/>
      <c r="AP27" s="2449"/>
      <c r="AQ27" s="263"/>
      <c r="AR27" s="263"/>
      <c r="AS27" s="217"/>
      <c r="AT27" s="304"/>
      <c r="AU27" s="304"/>
      <c r="AV27" s="304"/>
      <c r="AW27" s="304"/>
      <c r="AX27" s="304"/>
      <c r="AY27" s="354">
        <v>0</v>
      </c>
    </row>
    <row r="28" spans="1:51"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448"/>
      <c r="AC28" s="2448"/>
      <c r="AD28" s="2448"/>
      <c r="AE28" s="2448"/>
      <c r="AF28" s="263"/>
      <c r="AG28" s="2448" t="str">
        <f>IF(TITLE_DATE_PR_CHANGE="",IF(TITLE_DATE_PR="","",TITLE_DATE_PR),TITLE_DATE_PR_CHANGE)</f>
        <v/>
      </c>
      <c r="AH28" s="2448"/>
      <c r="AI28" s="2448"/>
      <c r="AJ28" s="2448"/>
      <c r="AK28" s="2448"/>
      <c r="AL28" s="2448"/>
      <c r="AM28" s="2448"/>
      <c r="AN28" s="2448"/>
      <c r="AO28" s="2448"/>
      <c r="AP28" s="2448"/>
      <c r="AQ28" s="263"/>
      <c r="AR28" s="263"/>
      <c r="AS28" s="217"/>
      <c r="AT28" s="304"/>
      <c r="AU28" s="304"/>
      <c r="AV28" s="304"/>
      <c r="AW28" s="304"/>
      <c r="AX28" s="304"/>
      <c r="AY28" s="354">
        <v>0</v>
      </c>
    </row>
    <row r="29" spans="1:51"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449"/>
      <c r="AC29" s="2449"/>
      <c r="AD29" s="2449"/>
      <c r="AE29" s="2449"/>
      <c r="AF29" s="263"/>
      <c r="AG29" s="2449" t="str">
        <f>IF(TITLE_NUMBER_PR_CHANGE="",IF(TITLE_NUMBER_PR="","",TITLE_NUMBER_PR),TITLE_NUMBER_PR_CHANGE)</f>
        <v/>
      </c>
      <c r="AH29" s="2449"/>
      <c r="AI29" s="2449"/>
      <c r="AJ29" s="2449"/>
      <c r="AK29" s="2449"/>
      <c r="AL29" s="2449"/>
      <c r="AM29" s="2449"/>
      <c r="AN29" s="2449"/>
      <c r="AO29" s="2449"/>
      <c r="AP29" s="2449"/>
      <c r="AQ29" s="263"/>
      <c r="AR29" s="263"/>
      <c r="AS29" s="217"/>
      <c r="AT29" s="304"/>
      <c r="AU29" s="304"/>
      <c r="AV29" s="304"/>
      <c r="AW29" s="304"/>
      <c r="AX29" s="304"/>
      <c r="AY29" s="354">
        <v>0</v>
      </c>
    </row>
    <row r="30" spans="1:51"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449"/>
      <c r="AC30" s="2449"/>
      <c r="AD30" s="2449"/>
      <c r="AE30" s="2449"/>
      <c r="AF30" s="263"/>
      <c r="AG30" s="2449" t="str">
        <f>IF(TITLE_IST_PUB_CHANGE="",IF(TITLE_IST_PUB="","",TITLE_IST_PUB),TITLE_IST_PUB_CHANGE)</f>
        <v/>
      </c>
      <c r="AH30" s="2449"/>
      <c r="AI30" s="2449"/>
      <c r="AJ30" s="2449"/>
      <c r="AK30" s="2449"/>
      <c r="AL30" s="2449"/>
      <c r="AM30" s="2449"/>
      <c r="AN30" s="2449"/>
      <c r="AO30" s="2449"/>
      <c r="AP30" s="2449"/>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448"/>
      <c r="AC32" s="2448"/>
      <c r="AD32" s="2448"/>
      <c r="AE32" s="2448"/>
      <c r="AF32" s="263"/>
      <c r="AG32" s="2448" t="str">
        <f>IF(TITLE_DATE_PR_CHANGE="",IF(TITLE_DATE_PR="","",TITLE_DATE_PR),TITLE_DATE_PR_CHANGE)</f>
        <v/>
      </c>
      <c r="AH32" s="2448"/>
      <c r="AI32" s="2448"/>
      <c r="AJ32" s="2448"/>
      <c r="AK32" s="2448"/>
      <c r="AL32" s="2448"/>
      <c r="AM32" s="2448"/>
      <c r="AN32" s="2448"/>
      <c r="AO32" s="2448"/>
      <c r="AP32" s="2448"/>
      <c r="AQ32" s="263"/>
      <c r="AR32" s="263"/>
      <c r="AS32" s="217"/>
      <c r="AT32" s="304"/>
      <c r="AU32" s="304"/>
      <c r="AV32" s="304"/>
      <c r="AW32" s="304"/>
      <c r="AX32" s="304"/>
      <c r="AY32" s="354">
        <v>0</v>
      </c>
    </row>
    <row r="33" spans="1:51"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449"/>
      <c r="AC33" s="2449"/>
      <c r="AD33" s="2449"/>
      <c r="AE33" s="2449"/>
      <c r="AF33" s="263"/>
      <c r="AG33" s="2449" t="str">
        <f>IF(TITLE_NUMBER_PR_CHANGE="",IF(TITLE_NUMBER_PR="","",TITLE_NUMBER_PR),TITLE_NUMBER_PR_CHANGE)</f>
        <v/>
      </c>
      <c r="AH33" s="2449"/>
      <c r="AI33" s="2449"/>
      <c r="AJ33" s="2449"/>
      <c r="AK33" s="2449"/>
      <c r="AL33" s="2449"/>
      <c r="AM33" s="2449"/>
      <c r="AN33" s="2449"/>
      <c r="AO33" s="2449"/>
      <c r="AP33" s="2449"/>
      <c r="AQ33" s="263"/>
      <c r="AR33" s="263"/>
      <c r="AS33" s="217"/>
      <c r="AT33" s="304"/>
      <c r="AU33" s="304"/>
      <c r="AV33" s="304"/>
      <c r="AW33" s="304"/>
      <c r="AX33" s="304"/>
      <c r="AY33" s="354">
        <v>0</v>
      </c>
    </row>
    <row r="34" spans="1:51"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424</v>
      </c>
      <c r="AG34" s="263"/>
      <c r="AH34" s="1553"/>
      <c r="AI34" s="1553"/>
      <c r="AJ34" s="1553"/>
      <c r="AK34" s="1553"/>
      <c r="AL34" s="1553"/>
      <c r="AM34" s="263"/>
      <c r="AN34" s="263"/>
      <c r="AO34" s="263"/>
      <c r="AP34" s="263"/>
      <c r="AQ34" s="215" t="s">
        <v>424</v>
      </c>
      <c r="AT34" s="304"/>
      <c r="AU34" s="304"/>
      <c r="AV34" s="304"/>
      <c r="AW34" s="304"/>
      <c r="AX34" s="304"/>
      <c r="AY34" s="354">
        <v>1</v>
      </c>
    </row>
    <row r="35" spans="1:51" ht="14.65" customHeight="1">
      <c r="Q35" s="312"/>
      <c r="R35" s="312"/>
      <c r="S35" s="1193"/>
      <c r="T35" s="299"/>
      <c r="U35" s="1162"/>
      <c r="V35" s="2468"/>
      <c r="W35" s="2468"/>
      <c r="X35" s="2468"/>
      <c r="Y35" s="2468"/>
      <c r="Z35" s="2468"/>
      <c r="AA35" s="2468"/>
      <c r="AB35" s="2468"/>
      <c r="AC35" s="2468"/>
      <c r="AD35" s="2468"/>
      <c r="AE35" s="2468"/>
      <c r="AF35" s="2468"/>
      <c r="AG35" s="2468"/>
      <c r="AH35" s="2468"/>
      <c r="AI35" s="2468"/>
      <c r="AJ35" s="2468"/>
      <c r="AK35" s="2468"/>
      <c r="AL35" s="2468"/>
      <c r="AM35" s="2468"/>
      <c r="AN35" s="2468"/>
      <c r="AO35" s="2468"/>
      <c r="AP35" s="2468"/>
      <c r="AQ35" s="2468"/>
      <c r="AY35" s="1073">
        <v>14</v>
      </c>
    </row>
    <row r="36" spans="1:51"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c r="AL36" s="2328"/>
      <c r="AM36" s="2328"/>
      <c r="AN36" s="2328"/>
      <c r="AO36" s="2328"/>
      <c r="AP36" s="2328"/>
      <c r="AQ36" s="2328"/>
      <c r="AR36" s="2328"/>
      <c r="AS36" s="2328" t="s">
        <v>298</v>
      </c>
      <c r="AY36" s="1073">
        <v>14</v>
      </c>
    </row>
    <row r="37" spans="1:51" ht="14.65" customHeight="1">
      <c r="Q37" s="312"/>
      <c r="R37" s="312"/>
      <c r="S37" s="2469" t="s">
        <v>90</v>
      </c>
      <c r="T37" s="2417" t="s">
        <v>425</v>
      </c>
      <c r="U37" s="238"/>
      <c r="V37" s="2470" t="s">
        <v>426</v>
      </c>
      <c r="W37" s="2486"/>
      <c r="X37" s="2486"/>
      <c r="Y37" s="2486"/>
      <c r="Z37" s="2486"/>
      <c r="AA37" s="2486"/>
      <c r="AB37" s="2486"/>
      <c r="AC37" s="2471"/>
      <c r="AD37" s="2471"/>
      <c r="AE37" s="2472"/>
      <c r="AF37" s="2473" t="s">
        <v>427</v>
      </c>
      <c r="AG37" s="2470" t="s">
        <v>426</v>
      </c>
      <c r="AH37" s="2471"/>
      <c r="AI37" s="2471"/>
      <c r="AJ37" s="2471"/>
      <c r="AK37" s="2471"/>
      <c r="AL37" s="2471"/>
      <c r="AM37" s="2471"/>
      <c r="AN37" s="2471"/>
      <c r="AO37" s="2471"/>
      <c r="AP37" s="2472"/>
      <c r="AQ37" s="2473" t="s">
        <v>428</v>
      </c>
      <c r="AR37" s="2476" t="s">
        <v>429</v>
      </c>
      <c r="AS37" s="2328"/>
      <c r="AY37" s="1073">
        <v>14</v>
      </c>
    </row>
    <row r="38" spans="1:51" ht="19.899999999999999" customHeight="1">
      <c r="Q38" s="312"/>
      <c r="R38" s="312"/>
      <c r="S38" s="2469"/>
      <c r="T38" s="2417"/>
      <c r="U38" s="954"/>
      <c r="V38" s="2328" t="s">
        <v>529</v>
      </c>
      <c r="W38" s="2540" t="s">
        <v>530</v>
      </c>
      <c r="X38" s="2540"/>
      <c r="Y38" s="2540"/>
      <c r="Z38" s="2540" t="s">
        <v>531</v>
      </c>
      <c r="AA38" s="2540"/>
      <c r="AB38" s="2540"/>
      <c r="AC38" s="2388" t="s">
        <v>433</v>
      </c>
      <c r="AD38" s="2498"/>
      <c r="AE38" s="2389"/>
      <c r="AF38" s="2474"/>
      <c r="AG38" s="2328" t="s">
        <v>529</v>
      </c>
      <c r="AH38" s="2540" t="s">
        <v>530</v>
      </c>
      <c r="AI38" s="2540"/>
      <c r="AJ38" s="2540"/>
      <c r="AK38" s="2540" t="s">
        <v>531</v>
      </c>
      <c r="AL38" s="2540"/>
      <c r="AM38" s="2540"/>
      <c r="AN38" s="2388" t="s">
        <v>433</v>
      </c>
      <c r="AO38" s="2498"/>
      <c r="AP38" s="2389"/>
      <c r="AQ38" s="2474"/>
      <c r="AR38" s="2477"/>
      <c r="AS38" s="2328"/>
      <c r="AY38" s="1073">
        <v>19</v>
      </c>
    </row>
    <row r="39" spans="1:51" s="2062" customFormat="1" ht="19.899999999999999" customHeight="1">
      <c r="A39" s="1284"/>
      <c r="B39" s="1284"/>
      <c r="C39" s="1284"/>
      <c r="D39" s="1284"/>
      <c r="E39" s="1284"/>
      <c r="F39" s="1284"/>
      <c r="G39" s="1284"/>
      <c r="H39" s="1284"/>
      <c r="I39" s="1284"/>
      <c r="J39" s="1284"/>
      <c r="K39" s="1284"/>
      <c r="L39" s="1863"/>
      <c r="M39" s="1280"/>
      <c r="N39" s="1280"/>
      <c r="O39" s="1280"/>
      <c r="P39" s="1877"/>
      <c r="Q39" s="312"/>
      <c r="R39" s="312"/>
      <c r="S39" s="2469"/>
      <c r="T39" s="2417"/>
      <c r="U39" s="954"/>
      <c r="V39" s="2328"/>
      <c r="W39" s="2540" t="s">
        <v>532</v>
      </c>
      <c r="X39" s="2540" t="s">
        <v>533</v>
      </c>
      <c r="Y39" s="2540"/>
      <c r="Z39" s="2540" t="s">
        <v>534</v>
      </c>
      <c r="AA39" s="2540" t="s">
        <v>533</v>
      </c>
      <c r="AB39" s="2540"/>
      <c r="AC39" s="2393"/>
      <c r="AD39" s="2499"/>
      <c r="AE39" s="2394"/>
      <c r="AF39" s="2474"/>
      <c r="AG39" s="2328"/>
      <c r="AH39" s="2540" t="s">
        <v>532</v>
      </c>
      <c r="AI39" s="2540" t="s">
        <v>533</v>
      </c>
      <c r="AJ39" s="2540"/>
      <c r="AK39" s="2540" t="s">
        <v>534</v>
      </c>
      <c r="AL39" s="2540" t="s">
        <v>533</v>
      </c>
      <c r="AM39" s="2540"/>
      <c r="AN39" s="2393"/>
      <c r="AO39" s="2499"/>
      <c r="AP39" s="2394"/>
      <c r="AQ39" s="2474"/>
      <c r="AR39" s="2477"/>
      <c r="AS39" s="2328"/>
      <c r="AT39" s="1554"/>
      <c r="AU39" s="1554"/>
      <c r="AV39" s="1554"/>
      <c r="AW39" s="1554"/>
      <c r="AX39" s="1554"/>
      <c r="AY39" s="1549">
        <v>19</v>
      </c>
    </row>
    <row r="40" spans="1:51" ht="61.9" customHeight="1">
      <c r="A40" s="1288"/>
      <c r="B40" s="1288" t="s">
        <v>134</v>
      </c>
      <c r="C40" s="1288" t="s">
        <v>135</v>
      </c>
      <c r="D40" s="1288" t="s">
        <v>136</v>
      </c>
      <c r="E40" s="1282" t="s">
        <v>434</v>
      </c>
      <c r="F40" s="1282" t="s">
        <v>435</v>
      </c>
      <c r="G40" s="1282" t="s">
        <v>436</v>
      </c>
      <c r="H40" s="1282"/>
      <c r="I40" s="1282" t="s">
        <v>487</v>
      </c>
      <c r="J40" s="1282" t="s">
        <v>439</v>
      </c>
      <c r="K40" s="1282" t="s">
        <v>488</v>
      </c>
      <c r="L40" s="1282" t="s">
        <v>415</v>
      </c>
      <c r="Q40" s="312"/>
      <c r="R40" s="312"/>
      <c r="S40" s="2469"/>
      <c r="T40" s="2417"/>
      <c r="U40" s="239"/>
      <c r="V40" s="2328"/>
      <c r="W40" s="2540"/>
      <c r="X40" s="1895" t="s">
        <v>535</v>
      </c>
      <c r="Y40" s="1895" t="s">
        <v>536</v>
      </c>
      <c r="Z40" s="2540"/>
      <c r="AA40" s="1895" t="s">
        <v>537</v>
      </c>
      <c r="AB40" s="1895" t="s">
        <v>538</v>
      </c>
      <c r="AC40" s="1407" t="s">
        <v>443</v>
      </c>
      <c r="AD40" s="2422" t="s">
        <v>444</v>
      </c>
      <c r="AE40" s="2436"/>
      <c r="AF40" s="2475"/>
      <c r="AG40" s="2328"/>
      <c r="AH40" s="2540"/>
      <c r="AI40" s="1895" t="s">
        <v>535</v>
      </c>
      <c r="AJ40" s="1895" t="s">
        <v>536</v>
      </c>
      <c r="AK40" s="2540"/>
      <c r="AL40" s="1895" t="s">
        <v>537</v>
      </c>
      <c r="AM40" s="1895" t="s">
        <v>538</v>
      </c>
      <c r="AN40" s="1407" t="s">
        <v>443</v>
      </c>
      <c r="AO40" s="2422" t="s">
        <v>444</v>
      </c>
      <c r="AP40" s="2436"/>
      <c r="AQ40" s="2475"/>
      <c r="AR40" s="2478"/>
      <c r="AS40" s="2328"/>
      <c r="AY40" s="1073">
        <v>59</v>
      </c>
    </row>
    <row r="41" spans="1:51" s="202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108</v>
      </c>
      <c r="T41" s="1173" t="s">
        <v>109</v>
      </c>
      <c r="U41" s="1163" t="str">
        <f ca="1">OFFSET(U41,0,-1)</f>
        <v>2</v>
      </c>
      <c r="V41" s="1400">
        <f ca="1">OFFSET(V41,0,-1)+1</f>
        <v>3</v>
      </c>
      <c r="W41" s="1259"/>
      <c r="X41" s="1259"/>
      <c r="Y41" s="1259"/>
      <c r="Z41" s="1259"/>
      <c r="AA41" s="1259"/>
      <c r="AB41" s="1259"/>
      <c r="AC41" s="1400">
        <f ca="1">OFFSET(AC41,0,-1)+1</f>
        <v>1</v>
      </c>
      <c r="AD41" s="2467">
        <f ca="1">OFFSET(AD41,0,-1)+1</f>
        <v>2</v>
      </c>
      <c r="AE41" s="2467"/>
      <c r="AF41" s="1400">
        <f ca="1">OFFSET(AF41,0,-2)+1</f>
        <v>3</v>
      </c>
      <c r="AG41" s="1400">
        <f ca="1">OFFSET(AG41,0,-1)+1</f>
        <v>4</v>
      </c>
      <c r="AH41" s="1868"/>
      <c r="AI41" s="1868"/>
      <c r="AJ41" s="1868"/>
      <c r="AK41" s="1868"/>
      <c r="AL41" s="1868"/>
      <c r="AM41" s="1400">
        <f ca="1">OFFSET(AM41,0,-1)+1</f>
        <v>1</v>
      </c>
      <c r="AN41" s="1400">
        <f ca="1">OFFSET(AN41,0,-1)+1</f>
        <v>2</v>
      </c>
      <c r="AO41" s="2467">
        <f ca="1">OFFSET(AO41,0,-1)+1</f>
        <v>3</v>
      </c>
      <c r="AP41" s="2467"/>
      <c r="AQ41" s="1400">
        <f ca="1">OFFSET(AQ41,0,-2)+1</f>
        <v>4</v>
      </c>
      <c r="AR41" s="1163">
        <f ca="1">OFFSET(AR41,0,-1)</f>
        <v>4</v>
      </c>
      <c r="AS41" s="1400">
        <f ca="1">OFFSET(AS41,0,-1)+1</f>
        <v>5</v>
      </c>
      <c r="AT41" s="447"/>
      <c r="AU41" s="447"/>
      <c r="AV41" s="447"/>
      <c r="AW41" s="447"/>
      <c r="AX41" s="447"/>
      <c r="AY41" s="432">
        <v>0</v>
      </c>
    </row>
    <row r="42" spans="1:51" ht="24" customHeight="1">
      <c r="A42" s="1281" t="s">
        <v>248</v>
      </c>
      <c r="B42" s="1281"/>
      <c r="C42" s="1281"/>
      <c r="D42" s="1281"/>
      <c r="E42" s="2456">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122</v>
      </c>
      <c r="U42" s="237"/>
      <c r="V42" s="2450"/>
      <c r="W42" s="2451"/>
      <c r="X42" s="2451"/>
      <c r="Y42" s="2451"/>
      <c r="Z42" s="2451"/>
      <c r="AA42" s="2451"/>
      <c r="AB42" s="2451"/>
      <c r="AC42" s="2451"/>
      <c r="AD42" s="2451"/>
      <c r="AE42" s="2451"/>
      <c r="AF42" s="2452"/>
      <c r="AG42" s="2450" t="str">
        <f>INDEX(PT_DIFFERENTIATION_NTAR,MATCH(A42,PT_DIFFERENTIATION_NTAR_ID,0))</f>
        <v/>
      </c>
      <c r="AH42" s="2451"/>
      <c r="AI42" s="2451"/>
      <c r="AJ42" s="2451"/>
      <c r="AK42" s="2451"/>
      <c r="AL42" s="2451"/>
      <c r="AM42" s="2451"/>
      <c r="AN42" s="2451"/>
      <c r="AO42" s="2451"/>
      <c r="AP42" s="2451"/>
      <c r="AQ42" s="2451"/>
      <c r="AR42" s="245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248</v>
      </c>
      <c r="B43" s="1281" t="s">
        <v>249</v>
      </c>
      <c r="C43" s="1281"/>
      <c r="D43" s="1281"/>
      <c r="E43" s="2457"/>
      <c r="F43" s="2456">
        <v>1</v>
      </c>
      <c r="G43" s="1281"/>
      <c r="H43" s="1281"/>
      <c r="I43" s="1281"/>
      <c r="J43" s="1281"/>
      <c r="K43" s="1281"/>
      <c r="L43" s="1282"/>
      <c r="M43" s="1283"/>
      <c r="N43" s="1283"/>
      <c r="O43" s="1283"/>
      <c r="P43" s="1405"/>
      <c r="Q43" s="288"/>
      <c r="R43" s="289"/>
      <c r="S43" s="1411" t="str">
        <f>INDEX(PT_DIFFERENTIATION_NUM_TER,MATCH(B43,PT_DIFFERENTIATION_TER_ID,0))</f>
        <v>.</v>
      </c>
      <c r="T43" s="245" t="s">
        <v>394</v>
      </c>
      <c r="U43" s="237"/>
      <c r="V43" s="2450"/>
      <c r="W43" s="2451"/>
      <c r="X43" s="2451"/>
      <c r="Y43" s="2451"/>
      <c r="Z43" s="2451"/>
      <c r="AA43" s="2451"/>
      <c r="AB43" s="2451"/>
      <c r="AC43" s="2451"/>
      <c r="AD43" s="2451"/>
      <c r="AE43" s="2451"/>
      <c r="AF43" s="2452"/>
      <c r="AG43" s="2450" t="str">
        <f>INDEX(PT_DIFFERENTIATION_TER,MATCH(B43,PT_DIFFERENTIATION_TER_ID,0))</f>
        <v/>
      </c>
      <c r="AH43" s="2451"/>
      <c r="AI43" s="2451"/>
      <c r="AJ43" s="2451"/>
      <c r="AK43" s="2451"/>
      <c r="AL43" s="2451"/>
      <c r="AM43" s="2451"/>
      <c r="AN43" s="2451"/>
      <c r="AO43" s="2451"/>
      <c r="AP43" s="2451"/>
      <c r="AQ43" s="2451"/>
      <c r="AR43" s="2452"/>
      <c r="AS43" s="1176" t="s">
        <v>395</v>
      </c>
      <c r="AU43" s="436"/>
      <c r="AV43" s="436" t="str">
        <f t="shared" si="1"/>
        <v>Территория действия тарифа</v>
      </c>
      <c r="AW43" s="436"/>
      <c r="AX43" s="436"/>
      <c r="AY43" s="1073">
        <v>23</v>
      </c>
    </row>
    <row r="44" spans="1:51" ht="24" customHeight="1">
      <c r="A44" s="1281" t="s">
        <v>248</v>
      </c>
      <c r="B44" s="1281" t="s">
        <v>249</v>
      </c>
      <c r="C44" s="1281" t="s">
        <v>250</v>
      </c>
      <c r="D44" s="1281"/>
      <c r="E44" s="2457"/>
      <c r="F44" s="2457"/>
      <c r="G44" s="2456">
        <v>1</v>
      </c>
      <c r="H44" s="1281"/>
      <c r="I44" s="1281"/>
      <c r="J44" s="1281"/>
      <c r="K44" s="1281"/>
      <c r="L44" s="1282"/>
      <c r="M44" s="1283"/>
      <c r="N44" s="1283"/>
      <c r="O44" s="1283"/>
      <c r="P44" s="290"/>
      <c r="Q44" s="288"/>
      <c r="R44" s="289"/>
      <c r="S44" s="1411" t="str">
        <f>INDEX(PT_DIFFERENTIATION_NUM_CS,MATCH(C44,PT_DIFFERENTIATION_CS_ID,0))</f>
        <v>..</v>
      </c>
      <c r="T44" s="246" t="s">
        <v>527</v>
      </c>
      <c r="U44" s="237"/>
      <c r="V44" s="2450"/>
      <c r="W44" s="2451"/>
      <c r="X44" s="2451"/>
      <c r="Y44" s="2451"/>
      <c r="Z44" s="2451"/>
      <c r="AA44" s="2451"/>
      <c r="AB44" s="2451"/>
      <c r="AC44" s="2451"/>
      <c r="AD44" s="2451"/>
      <c r="AE44" s="2451"/>
      <c r="AF44" s="2452"/>
      <c r="AG44" s="2450" t="str">
        <f>INDEX(PT_DIFFERENTIATION_CS,MATCH(C44,PT_DIFFERENTIATION_CS_ID,0))</f>
        <v/>
      </c>
      <c r="AH44" s="2451"/>
      <c r="AI44" s="2451"/>
      <c r="AJ44" s="2451"/>
      <c r="AK44" s="2451"/>
      <c r="AL44" s="2451"/>
      <c r="AM44" s="2451"/>
      <c r="AN44" s="2451"/>
      <c r="AO44" s="2451"/>
      <c r="AP44" s="2451"/>
      <c r="AQ44" s="2451"/>
      <c r="AR44" s="2452"/>
      <c r="AS44" s="1176" t="s">
        <v>528</v>
      </c>
      <c r="AU44" s="436"/>
      <c r="AV44" s="436" t="str">
        <f t="shared" si="1"/>
        <v>Наименование централизованной системы горячего водоснабжения</v>
      </c>
      <c r="AW44" s="436"/>
      <c r="AX44" s="436"/>
      <c r="AY44" s="1073">
        <v>23</v>
      </c>
    </row>
    <row r="45" spans="1:51" ht="24" customHeight="1">
      <c r="A45" s="1281" t="s">
        <v>248</v>
      </c>
      <c r="B45" s="1281" t="s">
        <v>249</v>
      </c>
      <c r="C45" s="1281" t="s">
        <v>250</v>
      </c>
      <c r="D45" s="1281" t="s">
        <v>539</v>
      </c>
      <c r="E45" s="2457"/>
      <c r="F45" s="2457"/>
      <c r="G45" s="2457"/>
      <c r="H45" s="2457"/>
      <c r="I45" s="2458" t="str">
        <f>S44&amp;".1"</f>
        <v>...1</v>
      </c>
      <c r="J45" s="1281"/>
      <c r="K45" s="1281"/>
      <c r="L45" s="1282"/>
      <c r="P45" s="2460">
        <v>1</v>
      </c>
      <c r="Q45" s="1399"/>
      <c r="R45" s="292"/>
      <c r="S45" s="1411" t="str">
        <f>$I45</f>
        <v>...1</v>
      </c>
      <c r="T45" s="222" t="s">
        <v>480</v>
      </c>
      <c r="U45" s="237"/>
      <c r="V45" s="2524"/>
      <c r="W45" s="2525"/>
      <c r="X45" s="2525"/>
      <c r="Y45" s="2525"/>
      <c r="Z45" s="2525"/>
      <c r="AA45" s="2525"/>
      <c r="AB45" s="2525"/>
      <c r="AC45" s="2525"/>
      <c r="AD45" s="2525"/>
      <c r="AE45" s="2525"/>
      <c r="AF45" s="2526"/>
      <c r="AG45" s="2527"/>
      <c r="AH45" s="2528"/>
      <c r="AI45" s="2528"/>
      <c r="AJ45" s="2528"/>
      <c r="AK45" s="2528"/>
      <c r="AL45" s="2528"/>
      <c r="AM45" s="2528"/>
      <c r="AN45" s="2528"/>
      <c r="AO45" s="2528"/>
      <c r="AP45" s="2528"/>
      <c r="AQ45" s="2528"/>
      <c r="AR45" s="2529"/>
      <c r="AS45" s="1176" t="s">
        <v>481</v>
      </c>
      <c r="AU45" s="436"/>
      <c r="AV45" s="436" t="str">
        <f t="shared" si="1"/>
        <v>Наименование признака дифференциации</v>
      </c>
      <c r="AW45" s="436"/>
      <c r="AX45" s="436"/>
      <c r="AY45" s="1073">
        <v>23</v>
      </c>
    </row>
    <row r="46" spans="1:51" ht="24" customHeight="1">
      <c r="A46" s="1281" t="s">
        <v>248</v>
      </c>
      <c r="B46" s="1281" t="s">
        <v>249</v>
      </c>
      <c r="C46" s="1281" t="s">
        <v>250</v>
      </c>
      <c r="D46" s="1281" t="s">
        <v>539</v>
      </c>
      <c r="E46" s="2457"/>
      <c r="F46" s="2457"/>
      <c r="G46" s="2457"/>
      <c r="H46" s="2457"/>
      <c r="I46" s="2459"/>
      <c r="J46" s="2458" t="str">
        <f>I45&amp;".1"</f>
        <v>...1.1</v>
      </c>
      <c r="K46" s="1281"/>
      <c r="L46" s="1282" t="s">
        <v>403</v>
      </c>
      <c r="P46" s="2460"/>
      <c r="Q46" s="2460">
        <v>1</v>
      </c>
      <c r="R46" s="293"/>
      <c r="S46" s="1411" t="str">
        <f>$J46</f>
        <v>...1.1</v>
      </c>
      <c r="T46" s="223" t="s">
        <v>404</v>
      </c>
      <c r="U46" s="237"/>
      <c r="V46" s="2444"/>
      <c r="W46" s="2445"/>
      <c r="X46" s="2445"/>
      <c r="Y46" s="2445"/>
      <c r="Z46" s="2445"/>
      <c r="AA46" s="2445"/>
      <c r="AB46" s="2445"/>
      <c r="AC46" s="2445"/>
      <c r="AD46" s="2445"/>
      <c r="AE46" s="2445"/>
      <c r="AF46" s="2446"/>
      <c r="AG46" s="2444"/>
      <c r="AH46" s="2445"/>
      <c r="AI46" s="2445"/>
      <c r="AJ46" s="2445"/>
      <c r="AK46" s="2445"/>
      <c r="AL46" s="2445"/>
      <c r="AM46" s="2445"/>
      <c r="AN46" s="2445"/>
      <c r="AO46" s="2445"/>
      <c r="AP46" s="2445"/>
      <c r="AQ46" s="2445"/>
      <c r="AR46" s="2446"/>
      <c r="AS46" s="1225" t="s">
        <v>482</v>
      </c>
      <c r="AU46" s="436"/>
      <c r="AV46" s="436" t="str">
        <f t="shared" si="1"/>
        <v>Группа потребителей</v>
      </c>
      <c r="AW46" s="436"/>
      <c r="AX46" s="436"/>
      <c r="AY46" s="1073">
        <v>23</v>
      </c>
    </row>
    <row r="47" spans="1:51" ht="24" customHeight="1">
      <c r="A47" s="1281" t="s">
        <v>248</v>
      </c>
      <c r="B47" s="1281" t="s">
        <v>249</v>
      </c>
      <c r="C47" s="1281" t="s">
        <v>250</v>
      </c>
      <c r="D47" s="1281" t="s">
        <v>539</v>
      </c>
      <c r="E47" s="2457"/>
      <c r="F47" s="2457"/>
      <c r="G47" s="2457"/>
      <c r="H47" s="2457"/>
      <c r="I47" s="2459"/>
      <c r="J47" s="2459"/>
      <c r="K47" s="2458" t="str">
        <f>J46&amp;".1"</f>
        <v>...1.1.1</v>
      </c>
      <c r="L47" s="1282"/>
      <c r="P47" s="2460"/>
      <c r="Q47" s="2460"/>
      <c r="R47" s="293">
        <v>1</v>
      </c>
      <c r="S47" s="1411" t="str">
        <f>$K47</f>
        <v>...1.1.1</v>
      </c>
      <c r="T47" s="1355"/>
      <c r="U47" s="237"/>
      <c r="V47" s="687"/>
      <c r="W47" s="687"/>
      <c r="X47" s="687"/>
      <c r="Y47" s="687"/>
      <c r="Z47" s="687"/>
      <c r="AA47" s="687"/>
      <c r="AB47" s="687"/>
      <c r="AC47" s="2454"/>
      <c r="AD47" s="2453" t="s">
        <v>67</v>
      </c>
      <c r="AE47" s="2454"/>
      <c r="AF47" s="2453" t="s">
        <v>67</v>
      </c>
      <c r="AG47" s="687"/>
      <c r="AH47" s="687"/>
      <c r="AI47" s="687"/>
      <c r="AJ47" s="687"/>
      <c r="AK47" s="687"/>
      <c r="AL47" s="687"/>
      <c r="AM47" s="687"/>
      <c r="AN47" s="2461"/>
      <c r="AO47" s="2338" t="s">
        <v>67</v>
      </c>
      <c r="AP47" s="2463"/>
      <c r="AQ47" s="2338" t="s">
        <v>19</v>
      </c>
      <c r="AR47" s="1356"/>
      <c r="AS4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248</v>
      </c>
      <c r="B48" s="1281" t="s">
        <v>249</v>
      </c>
      <c r="C48" s="1281" t="s">
        <v>250</v>
      </c>
      <c r="D48" s="1281" t="s">
        <v>539</v>
      </c>
      <c r="E48" s="2457"/>
      <c r="F48" s="2457"/>
      <c r="G48" s="2457"/>
      <c r="H48" s="2457"/>
      <c r="I48" s="2459"/>
      <c r="J48" s="2459"/>
      <c r="K48" s="2458"/>
      <c r="L48" s="1282"/>
      <c r="P48" s="2460"/>
      <c r="Q48" s="2460"/>
      <c r="R48" s="293"/>
      <c r="S48" s="1408"/>
      <c r="T48" s="237"/>
      <c r="U48" s="237"/>
      <c r="V48" s="1278"/>
      <c r="W48" s="1278"/>
      <c r="X48" s="1278"/>
      <c r="Y48" s="1278"/>
      <c r="Z48" s="1278"/>
      <c r="AA48" s="1278"/>
      <c r="AB48" s="1278"/>
      <c r="AC48" s="2453"/>
      <c r="AD48" s="2453"/>
      <c r="AE48" s="2453"/>
      <c r="AF48" s="2453"/>
      <c r="AG48" s="262"/>
      <c r="AH48" s="262"/>
      <c r="AI48" s="262"/>
      <c r="AJ48" s="262"/>
      <c r="AK48" s="262"/>
      <c r="AL48" s="262"/>
      <c r="AM48" s="262"/>
      <c r="AN48" s="2462"/>
      <c r="AO48" s="2338"/>
      <c r="AP48" s="2464"/>
      <c r="AQ48" s="2338"/>
      <c r="AR48" s="1357"/>
      <c r="AS48" s="2530"/>
      <c r="AU48" s="436"/>
      <c r="AV48" s="436" t="str">
        <f t="shared" si="1"/>
        <v/>
      </c>
      <c r="AW48" s="436"/>
      <c r="AX48" s="436"/>
      <c r="AY48" s="1073">
        <v>0</v>
      </c>
    </row>
    <row r="49" spans="1:51" ht="21" customHeight="1">
      <c r="A49" s="1281" t="s">
        <v>248</v>
      </c>
      <c r="B49" s="1281" t="s">
        <v>249</v>
      </c>
      <c r="C49" s="1281" t="s">
        <v>250</v>
      </c>
      <c r="D49" s="1281" t="s">
        <v>539</v>
      </c>
      <c r="E49" s="2457"/>
      <c r="F49" s="2457"/>
      <c r="G49" s="2457"/>
      <c r="H49" s="2457"/>
      <c r="I49" s="2459"/>
      <c r="J49" s="2458"/>
      <c r="K49" s="1281"/>
      <c r="L49" s="1282"/>
      <c r="P49" s="2460"/>
      <c r="Q49" s="2460"/>
      <c r="R49" s="292"/>
      <c r="S49" s="1196"/>
      <c r="T49" s="224" t="s">
        <v>483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6" t="s">
        <v>484</v>
      </c>
      <c r="AU49" s="436"/>
      <c r="AV49" s="436" t="str">
        <f t="shared" si="1"/>
        <v>Добавить значение признака дифференциации</v>
      </c>
      <c r="AW49" s="436"/>
      <c r="AX49" s="436"/>
      <c r="AY49" s="1073">
        <v>20</v>
      </c>
    </row>
    <row r="50" spans="1:51" ht="21.95" customHeight="1">
      <c r="A50" s="1281" t="s">
        <v>248</v>
      </c>
      <c r="B50" s="1281" t="s">
        <v>249</v>
      </c>
      <c r="C50" s="1281" t="s">
        <v>250</v>
      </c>
      <c r="D50" s="1281" t="s">
        <v>539</v>
      </c>
      <c r="E50" s="2457"/>
      <c r="F50" s="2457"/>
      <c r="G50" s="2457"/>
      <c r="H50" s="2457"/>
      <c r="I50" s="2458"/>
      <c r="J50" s="1281"/>
      <c r="K50" s="1281"/>
      <c r="L50" s="1282"/>
      <c r="P50" s="2460"/>
      <c r="Q50" s="1399"/>
      <c r="R50" s="292"/>
      <c r="S50" s="1196"/>
      <c r="T50" s="301" t="s">
        <v>409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248</v>
      </c>
      <c r="B51" s="1281" t="s">
        <v>249</v>
      </c>
      <c r="C51" s="1281" t="s">
        <v>250</v>
      </c>
      <c r="D51" s="1281" t="s">
        <v>539</v>
      </c>
      <c r="E51" s="2457"/>
      <c r="F51" s="2457"/>
      <c r="G51" s="2457"/>
      <c r="H51" s="2456"/>
      <c r="I51" s="1281"/>
      <c r="J51" s="1281"/>
      <c r="K51" s="1281"/>
      <c r="L51" s="1282"/>
      <c r="M51" s="1283"/>
      <c r="N51" s="1283"/>
      <c r="O51" s="473"/>
      <c r="P51" s="296"/>
      <c r="Q51" s="311"/>
      <c r="R51" s="291"/>
      <c r="S51" s="1196"/>
      <c r="T51" s="308" t="s">
        <v>485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034" customFormat="1" ht="0" hidden="1" customHeight="1">
      <c r="A52" s="1261" t="s">
        <v>248</v>
      </c>
      <c r="B52" s="1261" t="s">
        <v>249</v>
      </c>
      <c r="C52" s="1232"/>
      <c r="D52" s="1232"/>
      <c r="E52" s="2457"/>
      <c r="F52" s="2456"/>
      <c r="G52" s="1232"/>
      <c r="H52" s="1232"/>
      <c r="I52" s="1232"/>
      <c r="J52" s="1232"/>
      <c r="K52" s="1232"/>
      <c r="L52" s="1412"/>
      <c r="M52" s="1239"/>
      <c r="N52" s="1239"/>
      <c r="P52" s="1234"/>
      <c r="Q52" s="1235"/>
      <c r="R52" s="1234"/>
      <c r="S52" s="1240"/>
      <c r="T52" s="1243" t="s">
        <v>412</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034" customFormat="1" ht="0" hidden="1" customHeight="1">
      <c r="A53" s="1261" t="s">
        <v>248</v>
      </c>
      <c r="B53" s="1261"/>
      <c r="C53" s="1261"/>
      <c r="D53" s="1261"/>
      <c r="E53" s="2456"/>
      <c r="F53" s="1261"/>
      <c r="G53" s="1261"/>
      <c r="H53" s="1261"/>
      <c r="I53" s="1261"/>
      <c r="J53" s="1261"/>
      <c r="K53" s="1261"/>
      <c r="L53" s="1264"/>
      <c r="M53" s="1239"/>
      <c r="N53" s="1239"/>
      <c r="O53" s="454"/>
      <c r="P53" s="316"/>
      <c r="Q53" s="1262"/>
      <c r="R53" s="316"/>
      <c r="S53" s="1240"/>
      <c r="T53" s="1243" t="s">
        <v>413</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03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445</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455"/>
      <c r="U56" s="2455"/>
      <c r="V56" s="2455"/>
      <c r="W56" s="2455"/>
      <c r="X56" s="2455"/>
      <c r="Y56" s="2455"/>
      <c r="Z56" s="2455"/>
      <c r="AA56" s="2455"/>
      <c r="AB56" s="2455"/>
      <c r="AC56" s="2455"/>
      <c r="AD56" s="2455"/>
      <c r="AE56" s="2455"/>
      <c r="AF56" s="2455"/>
      <c r="AG56" s="2455"/>
      <c r="AH56" s="2455"/>
      <c r="AI56" s="2455"/>
      <c r="AJ56" s="2455"/>
      <c r="AK56" s="2455"/>
      <c r="AL56" s="2455"/>
      <c r="AM56" s="2455"/>
      <c r="AN56" s="2455"/>
      <c r="AO56" s="2455"/>
      <c r="AP56" s="2455"/>
      <c r="AQ56" s="2455"/>
      <c r="AR56" s="2455"/>
      <c r="AS56" s="2455"/>
      <c r="AY56" s="1073">
        <v>14</v>
      </c>
    </row>
    <row r="57" spans="1:51" ht="14.65" customHeight="1">
      <c r="O57" s="473"/>
      <c r="AY57" s="1073">
        <v>14</v>
      </c>
    </row>
    <row r="58" spans="1:51" ht="14.65" customHeight="1">
      <c r="O58" s="473"/>
      <c r="S58" s="1171"/>
      <c r="T58" s="2455"/>
      <c r="U58" s="2455"/>
      <c r="V58" s="2455"/>
      <c r="W58" s="2455"/>
      <c r="X58" s="2455"/>
      <c r="Y58" s="2455"/>
      <c r="Z58" s="2455"/>
      <c r="AA58" s="2455"/>
      <c r="AB58" s="2455"/>
      <c r="AC58" s="2455"/>
      <c r="AD58" s="2455"/>
      <c r="AE58" s="2455"/>
      <c r="AF58" s="2455"/>
      <c r="AG58" s="2455"/>
      <c r="AH58" s="2455"/>
      <c r="AI58" s="2455"/>
      <c r="AJ58" s="2455"/>
      <c r="AK58" s="2455"/>
      <c r="AL58" s="2455"/>
      <c r="AM58" s="2455"/>
      <c r="AN58" s="2455"/>
      <c r="AO58" s="2455"/>
      <c r="AP58" s="2455"/>
      <c r="AQ58" s="2455"/>
      <c r="AR58" s="2455"/>
      <c r="AS58" s="2455"/>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4.140625" style="2056" hidden="1" customWidth="1"/>
    <col min="10" max="10" width="9.85546875" style="2056" hidden="1" customWidth="1"/>
    <col min="11" max="11" width="14.7109375" style="2056" hidden="1" customWidth="1"/>
    <col min="12" max="12" width="19.140625" style="2094" hidden="1" customWidth="1"/>
    <col min="13" max="14" width="12.28515625" style="2029" hidden="1" customWidth="1"/>
    <col min="15" max="15" width="23.42578125" style="2029" hidden="1" customWidth="1"/>
    <col min="16" max="16" width="3" style="2109" customWidth="1"/>
    <col min="17" max="18" width="3" style="2059" customWidth="1"/>
    <col min="19" max="19" width="12" style="2106" customWidth="1"/>
    <col min="20" max="20" width="35" style="2062" customWidth="1"/>
    <col min="21" max="21" width="0.140625" style="2062" customWidth="1"/>
    <col min="22" max="28" width="19.7109375" style="2062" hidden="1" customWidth="1"/>
    <col min="29" max="29" width="11.7109375" style="2062" hidden="1" customWidth="1"/>
    <col min="30" max="30" width="3.7109375" style="2062" hidden="1" customWidth="1"/>
    <col min="31" max="31" width="11.7109375" style="2062" hidden="1" customWidth="1"/>
    <col min="32" max="32" width="8.5703125" style="2062" hidden="1" customWidth="1"/>
    <col min="33" max="33" width="19.7109375" style="2062" customWidth="1"/>
    <col min="34" max="39" width="19" style="2062" customWidth="1"/>
    <col min="40" max="40" width="11" style="2062" customWidth="1"/>
    <col min="41" max="41" width="3.7109375" style="2062" customWidth="1"/>
    <col min="42" max="42" width="11" style="2062" customWidth="1"/>
    <col min="43" max="43" width="8.5703125" style="2062" hidden="1" customWidth="1"/>
    <col min="44" max="44" width="4" style="2062" customWidth="1"/>
    <col min="45" max="45" width="115" style="2062" customWidth="1"/>
    <col min="46" max="50" width="10" style="2034" customWidth="1"/>
    <col min="51" max="51" width="10.5703125" style="2062" hidden="1"/>
  </cols>
  <sheetData>
    <row r="1" spans="1:51" ht="22.5" hidden="1" customHeight="1">
      <c r="AB1" s="264"/>
      <c r="AC1" s="264"/>
      <c r="AM1" s="264"/>
      <c r="AN1" s="264"/>
      <c r="AY1" s="1073" t="s">
        <v>14</v>
      </c>
    </row>
    <row r="2" spans="1:51" ht="23.25" hidden="1" customHeight="1">
      <c r="A2" s="1281"/>
      <c r="B2" s="1281"/>
      <c r="C2" s="1281"/>
      <c r="D2" s="1281"/>
      <c r="E2" s="2456">
        <v>1</v>
      </c>
      <c r="F2" s="1281"/>
      <c r="G2" s="1281"/>
      <c r="H2" s="1281"/>
      <c r="I2" s="1281"/>
      <c r="J2" s="1281"/>
      <c r="K2" s="1281"/>
      <c r="L2" s="1282"/>
      <c r="M2" s="1283"/>
      <c r="N2" s="1283"/>
      <c r="O2" s="1283"/>
      <c r="P2" s="297"/>
      <c r="Q2" s="296"/>
      <c r="R2" s="291"/>
      <c r="S2" s="1411" t="e">
        <f>INDEX(PT_DIFFERENTIATION_NUM_NTAR,MATCH(A2,PT_DIFFERENTIATION_NTAR_ID,0))</f>
        <v>#N/A</v>
      </c>
      <c r="T2" s="235" t="s">
        <v>122</v>
      </c>
      <c r="U2" s="237"/>
      <c r="V2" s="2450"/>
      <c r="W2" s="2451"/>
      <c r="X2" s="2451"/>
      <c r="Y2" s="2451"/>
      <c r="Z2" s="2451"/>
      <c r="AA2" s="2451"/>
      <c r="AB2" s="2451"/>
      <c r="AC2" s="2451"/>
      <c r="AD2" s="2451"/>
      <c r="AE2" s="2451"/>
      <c r="AF2" s="2452"/>
      <c r="AG2" s="2450" t="e">
        <f>INDEX(PT_DIFFERENTIATION_NTAR,MATCH(A2,PT_DIFFERENTIATION_NTAR_ID,0))</f>
        <v>#N/A</v>
      </c>
      <c r="AH2" s="2451"/>
      <c r="AI2" s="2451"/>
      <c r="AJ2" s="2451"/>
      <c r="AK2" s="2451"/>
      <c r="AL2" s="2451"/>
      <c r="AM2" s="2451"/>
      <c r="AN2" s="2451"/>
      <c r="AO2" s="2451"/>
      <c r="AP2" s="2451"/>
      <c r="AQ2" s="2451"/>
      <c r="AR2" s="245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457"/>
      <c r="F3" s="2456">
        <v>1</v>
      </c>
      <c r="G3" s="1281"/>
      <c r="H3" s="1281"/>
      <c r="I3" s="1281"/>
      <c r="J3" s="1281"/>
      <c r="K3" s="1281"/>
      <c r="L3" s="1282"/>
      <c r="M3" s="1283"/>
      <c r="N3" s="1283"/>
      <c r="O3" s="1283"/>
      <c r="P3" s="1405"/>
      <c r="Q3" s="288"/>
      <c r="R3" s="289"/>
      <c r="S3" s="1411" t="e">
        <f>INDEX(PT_DIFFERENTIATION_NUM_TER,MATCH(B3,PT_DIFFERENTIATION_TER_ID,0))</f>
        <v>#N/A</v>
      </c>
      <c r="T3" s="245" t="s">
        <v>394</v>
      </c>
      <c r="U3" s="237"/>
      <c r="V3" s="2450"/>
      <c r="W3" s="2451"/>
      <c r="X3" s="2451"/>
      <c r="Y3" s="2451"/>
      <c r="Z3" s="2451"/>
      <c r="AA3" s="2451"/>
      <c r="AB3" s="2451"/>
      <c r="AC3" s="2451"/>
      <c r="AD3" s="2451"/>
      <c r="AE3" s="2451"/>
      <c r="AF3" s="2452"/>
      <c r="AG3" s="2450" t="e">
        <f>INDEX(PT_DIFFERENTIATION_TER,MATCH(B3,PT_DIFFERENTIATION_TER_ID,0))</f>
        <v>#N/A</v>
      </c>
      <c r="AH3" s="2451"/>
      <c r="AI3" s="2451"/>
      <c r="AJ3" s="2451"/>
      <c r="AK3" s="2451"/>
      <c r="AL3" s="2451"/>
      <c r="AM3" s="2451"/>
      <c r="AN3" s="2451"/>
      <c r="AO3" s="2451"/>
      <c r="AP3" s="2451"/>
      <c r="AQ3" s="2451"/>
      <c r="AR3" s="2452"/>
      <c r="AS3" s="1176" t="s">
        <v>395</v>
      </c>
      <c r="AU3" s="436"/>
      <c r="AV3" s="436" t="str">
        <f t="shared" si="0"/>
        <v>Территория действия тарифа</v>
      </c>
      <c r="AW3" s="436"/>
      <c r="AX3" s="436"/>
      <c r="AY3" s="1073">
        <v>0</v>
      </c>
    </row>
    <row r="4" spans="1:51" ht="23.25" hidden="1" customHeight="1">
      <c r="A4" s="1281"/>
      <c r="B4" s="1281"/>
      <c r="C4" s="1281"/>
      <c r="D4" s="1281"/>
      <c r="E4" s="2457"/>
      <c r="F4" s="2457"/>
      <c r="G4" s="2456">
        <v>1</v>
      </c>
      <c r="H4" s="1281"/>
      <c r="I4" s="1281"/>
      <c r="J4" s="1281"/>
      <c r="K4" s="1281"/>
      <c r="L4" s="1282"/>
      <c r="M4" s="1283"/>
      <c r="N4" s="1283"/>
      <c r="O4" s="1283"/>
      <c r="P4" s="290"/>
      <c r="Q4" s="288"/>
      <c r="R4" s="289"/>
      <c r="S4" s="1411" t="e">
        <f>INDEX(PT_DIFFERENTIATION_NUM_CS,MATCH(C4,PT_DIFFERENTIATION_CS_ID,0))</f>
        <v>#N/A</v>
      </c>
      <c r="T4" s="246" t="s">
        <v>527</v>
      </c>
      <c r="U4" s="237"/>
      <c r="V4" s="2450"/>
      <c r="W4" s="2451"/>
      <c r="X4" s="2451"/>
      <c r="Y4" s="2451"/>
      <c r="Z4" s="2451"/>
      <c r="AA4" s="2451"/>
      <c r="AB4" s="2451"/>
      <c r="AC4" s="2451"/>
      <c r="AD4" s="2451"/>
      <c r="AE4" s="2451"/>
      <c r="AF4" s="2452"/>
      <c r="AG4" s="2450" t="e">
        <f>INDEX(PT_DIFFERENTIATION_CS,MATCH(C4,PT_DIFFERENTIATION_CS_ID,0))</f>
        <v>#N/A</v>
      </c>
      <c r="AH4" s="2451"/>
      <c r="AI4" s="2451"/>
      <c r="AJ4" s="2451"/>
      <c r="AK4" s="2451"/>
      <c r="AL4" s="2451"/>
      <c r="AM4" s="2451"/>
      <c r="AN4" s="2451"/>
      <c r="AO4" s="2451"/>
      <c r="AP4" s="2451"/>
      <c r="AQ4" s="2451"/>
      <c r="AR4" s="2452"/>
      <c r="AS4" s="1176" t="s">
        <v>528</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457"/>
      <c r="F5" s="2457"/>
      <c r="G5" s="2457"/>
      <c r="H5" s="2457"/>
      <c r="I5" s="2458" t="e">
        <f>S4&amp;".1"</f>
        <v>#N/A</v>
      </c>
      <c r="J5" s="1281"/>
      <c r="K5" s="1281"/>
      <c r="L5" s="1282"/>
      <c r="P5" s="2460">
        <v>1</v>
      </c>
      <c r="Q5" s="1399"/>
      <c r="R5" s="292"/>
      <c r="S5" s="1411" t="e">
        <f>$I5</f>
        <v>#N/A</v>
      </c>
      <c r="T5" s="222" t="s">
        <v>480</v>
      </c>
      <c r="U5" s="237"/>
      <c r="V5" s="2524"/>
      <c r="W5" s="2525"/>
      <c r="X5" s="2525"/>
      <c r="Y5" s="2525"/>
      <c r="Z5" s="2525"/>
      <c r="AA5" s="2525"/>
      <c r="AB5" s="2525"/>
      <c r="AC5" s="2525"/>
      <c r="AD5" s="2525"/>
      <c r="AE5" s="2525"/>
      <c r="AF5" s="2526"/>
      <c r="AG5" s="2527"/>
      <c r="AH5" s="2528"/>
      <c r="AI5" s="2528"/>
      <c r="AJ5" s="2528"/>
      <c r="AK5" s="2528"/>
      <c r="AL5" s="2528"/>
      <c r="AM5" s="2528"/>
      <c r="AN5" s="2528"/>
      <c r="AO5" s="2528"/>
      <c r="AP5" s="2528"/>
      <c r="AQ5" s="2528"/>
      <c r="AR5" s="2529"/>
      <c r="AS5" s="1176" t="s">
        <v>481</v>
      </c>
      <c r="AU5" s="436"/>
      <c r="AV5" s="436" t="str">
        <f t="shared" si="0"/>
        <v>Наименование признака дифференциации</v>
      </c>
      <c r="AW5" s="436"/>
      <c r="AX5" s="436"/>
      <c r="AY5" s="1073">
        <v>0</v>
      </c>
    </row>
    <row r="6" spans="1:51" ht="23.25" hidden="1" customHeight="1">
      <c r="A6" s="1281"/>
      <c r="B6" s="1281"/>
      <c r="C6" s="1281"/>
      <c r="D6" s="1281"/>
      <c r="E6" s="2457"/>
      <c r="F6" s="2457"/>
      <c r="G6" s="2457"/>
      <c r="H6" s="2457"/>
      <c r="I6" s="2459"/>
      <c r="J6" s="2458" t="e">
        <f>I5&amp;".1"</f>
        <v>#N/A</v>
      </c>
      <c r="K6" s="1281"/>
      <c r="L6" s="1282" t="s">
        <v>403</v>
      </c>
      <c r="P6" s="2460"/>
      <c r="Q6" s="2460">
        <v>1</v>
      </c>
      <c r="R6" s="293"/>
      <c r="S6" s="1411" t="e">
        <f>$J6</f>
        <v>#N/A</v>
      </c>
      <c r="T6" s="223" t="s">
        <v>404</v>
      </c>
      <c r="U6" s="237"/>
      <c r="V6" s="2444"/>
      <c r="W6" s="2445"/>
      <c r="X6" s="2445"/>
      <c r="Y6" s="2445"/>
      <c r="Z6" s="2445"/>
      <c r="AA6" s="2445"/>
      <c r="AB6" s="2445"/>
      <c r="AC6" s="2445"/>
      <c r="AD6" s="2445"/>
      <c r="AE6" s="2445"/>
      <c r="AF6" s="2446"/>
      <c r="AG6" s="2444"/>
      <c r="AH6" s="2445"/>
      <c r="AI6" s="2445"/>
      <c r="AJ6" s="2445"/>
      <c r="AK6" s="2445"/>
      <c r="AL6" s="2445"/>
      <c r="AM6" s="2445"/>
      <c r="AN6" s="2445"/>
      <c r="AO6" s="2445"/>
      <c r="AP6" s="2445"/>
      <c r="AQ6" s="2445"/>
      <c r="AR6" s="2446"/>
      <c r="AS6" s="1225" t="s">
        <v>482</v>
      </c>
      <c r="AU6" s="436"/>
      <c r="AV6" s="436" t="str">
        <f t="shared" si="0"/>
        <v>Группа потребителей</v>
      </c>
      <c r="AW6" s="436"/>
      <c r="AX6" s="436"/>
      <c r="AY6" s="1073">
        <v>0</v>
      </c>
    </row>
    <row r="7" spans="1:51" ht="23.25" hidden="1" customHeight="1">
      <c r="A7" s="1281"/>
      <c r="B7" s="1281"/>
      <c r="C7" s="1281"/>
      <c r="D7" s="1281"/>
      <c r="E7" s="2457"/>
      <c r="F7" s="2457"/>
      <c r="G7" s="2457"/>
      <c r="H7" s="2457"/>
      <c r="I7" s="2459"/>
      <c r="J7" s="2459"/>
      <c r="K7" s="2458" t="e">
        <f>J6&amp;".1"</f>
        <v>#N/A</v>
      </c>
      <c r="L7" s="1282"/>
      <c r="P7" s="2460"/>
      <c r="Q7" s="2460"/>
      <c r="R7" s="293">
        <v>1</v>
      </c>
      <c r="S7" s="1411" t="e">
        <f>$K7</f>
        <v>#N/A</v>
      </c>
      <c r="T7" s="1355"/>
      <c r="U7" s="237"/>
      <c r="V7" s="687"/>
      <c r="W7" s="687"/>
      <c r="X7" s="687"/>
      <c r="Y7" s="687"/>
      <c r="Z7" s="687"/>
      <c r="AA7" s="687"/>
      <c r="AB7" s="1175"/>
      <c r="AC7" s="2461"/>
      <c r="AD7" s="2338" t="s">
        <v>67</v>
      </c>
      <c r="AE7" s="2461"/>
      <c r="AF7" s="2338" t="s">
        <v>67</v>
      </c>
      <c r="AG7" s="687"/>
      <c r="AH7" s="687"/>
      <c r="AI7" s="687"/>
      <c r="AJ7" s="687"/>
      <c r="AK7" s="687"/>
      <c r="AL7" s="687"/>
      <c r="AM7" s="1175"/>
      <c r="AN7" s="2461"/>
      <c r="AO7" s="2338" t="s">
        <v>67</v>
      </c>
      <c r="AP7" s="2463"/>
      <c r="AQ7" s="2338" t="s">
        <v>67</v>
      </c>
      <c r="AR7" s="1356"/>
      <c r="AS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457"/>
      <c r="F8" s="2457"/>
      <c r="G8" s="2457"/>
      <c r="H8" s="2457"/>
      <c r="I8" s="2459"/>
      <c r="J8" s="2459"/>
      <c r="K8" s="2458"/>
      <c r="L8" s="1282"/>
      <c r="P8" s="2460"/>
      <c r="Q8" s="2460"/>
      <c r="R8" s="293"/>
      <c r="S8" s="1408"/>
      <c r="T8" s="237"/>
      <c r="U8" s="237"/>
      <c r="V8" s="262"/>
      <c r="W8" s="262"/>
      <c r="X8" s="262"/>
      <c r="Y8" s="262"/>
      <c r="Z8" s="262"/>
      <c r="AA8" s="262"/>
      <c r="AB8" s="265" t="str">
        <f>AC7&amp;"-"&amp;AE7</f>
        <v>-</v>
      </c>
      <c r="AC8" s="2462"/>
      <c r="AD8" s="2338"/>
      <c r="AE8" s="2462"/>
      <c r="AF8" s="2338"/>
      <c r="AG8" s="262"/>
      <c r="AH8" s="262"/>
      <c r="AI8" s="262"/>
      <c r="AJ8" s="262"/>
      <c r="AK8" s="262"/>
      <c r="AL8" s="262"/>
      <c r="AM8" s="265" t="str">
        <f>AN7&amp;"-"&amp;AP7</f>
        <v>-</v>
      </c>
      <c r="AN8" s="2462"/>
      <c r="AO8" s="2338"/>
      <c r="AP8" s="2464"/>
      <c r="AQ8" s="2338"/>
      <c r="AR8" s="1357"/>
      <c r="AS8" s="2530"/>
      <c r="AU8" s="436"/>
      <c r="AV8" s="436" t="str">
        <f t="shared" si="0"/>
        <v/>
      </c>
      <c r="AW8" s="436"/>
      <c r="AX8" s="436"/>
      <c r="AY8" s="1073">
        <v>0</v>
      </c>
    </row>
    <row r="9" spans="1:51" ht="21" hidden="1" customHeight="1">
      <c r="A9" s="1281"/>
      <c r="B9" s="1281"/>
      <c r="C9" s="1281"/>
      <c r="D9" s="1281"/>
      <c r="E9" s="2457"/>
      <c r="F9" s="2457"/>
      <c r="G9" s="2457"/>
      <c r="H9" s="2457"/>
      <c r="I9" s="2459"/>
      <c r="J9" s="2458"/>
      <c r="K9" s="1281"/>
      <c r="L9" s="1282"/>
      <c r="P9" s="2460"/>
      <c r="Q9" s="2460"/>
      <c r="R9" s="292"/>
      <c r="S9" s="1196"/>
      <c r="T9" s="224" t="s">
        <v>483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6" t="s">
        <v>484</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457"/>
      <c r="F10" s="2457"/>
      <c r="G10" s="2457"/>
      <c r="H10" s="2457"/>
      <c r="I10" s="2458"/>
      <c r="J10" s="1281"/>
      <c r="K10" s="1281"/>
      <c r="L10" s="1282"/>
      <c r="P10" s="2460"/>
      <c r="Q10" s="1399"/>
      <c r="R10" s="292"/>
      <c r="S10" s="1196"/>
      <c r="T10" s="301" t="s">
        <v>409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457"/>
      <c r="F11" s="2457"/>
      <c r="G11" s="2457"/>
      <c r="H11" s="2456"/>
      <c r="I11" s="1281"/>
      <c r="J11" s="1281"/>
      <c r="K11" s="1281"/>
      <c r="L11" s="1282"/>
      <c r="M11" s="1283"/>
      <c r="N11" s="1283"/>
      <c r="O11" s="473"/>
      <c r="P11" s="296"/>
      <c r="Q11" s="311"/>
      <c r="R11" s="291"/>
      <c r="S11" s="1196"/>
      <c r="T11" s="308" t="s">
        <v>485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034" customFormat="1" ht="14.25" hidden="1" customHeight="1">
      <c r="A12" s="1261"/>
      <c r="B12" s="1261"/>
      <c r="C12" s="1232"/>
      <c r="D12" s="1232"/>
      <c r="E12" s="2457"/>
      <c r="F12" s="2456"/>
      <c r="G12" s="1232"/>
      <c r="H12" s="1232"/>
      <c r="I12" s="1232"/>
      <c r="J12" s="1232"/>
      <c r="K12" s="1232"/>
      <c r="L12" s="1412"/>
      <c r="M12" s="1239"/>
      <c r="N12" s="1239"/>
      <c r="P12" s="1234"/>
      <c r="Q12" s="1235"/>
      <c r="R12" s="1234"/>
      <c r="S12" s="1240"/>
      <c r="T12" s="1243" t="s">
        <v>412</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034" customFormat="1" ht="14.25" hidden="1" customHeight="1">
      <c r="A13" s="1261"/>
      <c r="B13" s="1261"/>
      <c r="C13" s="1261"/>
      <c r="D13" s="1261"/>
      <c r="E13" s="2456"/>
      <c r="F13" s="1261"/>
      <c r="G13" s="1261"/>
      <c r="H13" s="1261"/>
      <c r="I13" s="1261"/>
      <c r="J13" s="1261"/>
      <c r="K13" s="1261"/>
      <c r="L13" s="1264"/>
      <c r="M13" s="1239"/>
      <c r="N13" s="1239"/>
      <c r="O13" s="454"/>
      <c r="P13" s="316"/>
      <c r="Q13" s="1262"/>
      <c r="R13" s="316"/>
      <c r="S13" s="1240"/>
      <c r="T13" s="1243" t="s">
        <v>413</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2454"/>
      <c r="AO15" s="2453" t="s">
        <v>67</v>
      </c>
      <c r="AP15" s="2454"/>
      <c r="AQ15" s="2453" t="s">
        <v>67</v>
      </c>
      <c r="AY15" s="1073">
        <v>0</v>
      </c>
    </row>
    <row r="16" spans="1:51" ht="14.25" hidden="1" customHeight="1">
      <c r="AG16" s="1278"/>
      <c r="AH16" s="1278"/>
      <c r="AI16" s="1278"/>
      <c r="AJ16" s="1278"/>
      <c r="AK16" s="1278"/>
      <c r="AL16" s="1278"/>
      <c r="AM16" s="265" t="str">
        <f>AN15&amp;"-"&amp;AP15</f>
        <v>-</v>
      </c>
      <c r="AN16" s="2453"/>
      <c r="AO16" s="2453"/>
      <c r="AP16" s="2453"/>
      <c r="AQ16" s="2453"/>
      <c r="AY16" s="1073">
        <v>0</v>
      </c>
    </row>
    <row r="17" spans="1:51" ht="14.25" hidden="1" customHeight="1">
      <c r="AQ17" s="264"/>
      <c r="AY17" s="1073">
        <v>0</v>
      </c>
    </row>
    <row r="18" spans="1:51" s="2056" customFormat="1" ht="22.5" hidden="1" customHeight="1">
      <c r="L18" s="1396"/>
      <c r="M18" s="1280"/>
      <c r="N18" s="1280"/>
      <c r="O18" s="1285" t="s">
        <v>414</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056"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056" customFormat="1" ht="12" hidden="1" customHeight="1">
      <c r="L20" s="1396"/>
      <c r="M20" s="1280"/>
      <c r="N20" s="1280"/>
      <c r="O20" s="1282" t="s">
        <v>415</v>
      </c>
      <c r="P20" s="1280"/>
      <c r="Q20" s="1360"/>
      <c r="R20" s="1360"/>
      <c r="S20" s="665"/>
      <c r="T20" s="1078" t="s">
        <v>416</v>
      </c>
      <c r="W20" s="1284"/>
      <c r="X20" s="1284"/>
      <c r="Y20" s="1284"/>
      <c r="Z20" s="1284"/>
      <c r="AA20" s="1284"/>
      <c r="AD20" s="123" t="s">
        <v>417</v>
      </c>
      <c r="AF20" s="123" t="s">
        <v>418</v>
      </c>
      <c r="AG20" s="1078" t="s">
        <v>416</v>
      </c>
      <c r="AH20" s="1284"/>
      <c r="AI20" s="1284"/>
      <c r="AJ20" s="1284"/>
      <c r="AK20" s="1284"/>
      <c r="AL20" s="1284"/>
      <c r="AO20" s="123" t="s">
        <v>419</v>
      </c>
      <c r="AQ20" s="123" t="s">
        <v>418</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43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1161"/>
      <c r="AY24" s="1073">
        <v>25</v>
      </c>
    </row>
    <row r="25" spans="1:51" ht="14.65" customHeight="1">
      <c r="Q25" s="312"/>
      <c r="R25" s="312"/>
      <c r="S25" s="2409" t="str">
        <f>IF(org=0,"Не определено",org)</f>
        <v>ПАО "ТГК-1" филиал "Невский"</v>
      </c>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098" customFormat="1" ht="25.5" hidden="1" customHeight="1">
      <c r="A27" s="1286"/>
      <c r="B27" s="1286"/>
      <c r="C27" s="1286"/>
      <c r="D27" s="1286"/>
      <c r="E27" s="1286"/>
      <c r="F27" s="1286"/>
      <c r="G27" s="1286"/>
      <c r="H27" s="1286"/>
      <c r="I27" s="1286"/>
      <c r="J27" s="1286"/>
      <c r="K27" s="1286"/>
      <c r="L27" s="1287"/>
      <c r="M27" s="1286"/>
      <c r="N27" s="1286"/>
      <c r="O27" s="1286"/>
      <c r="S27" s="2447" t="s">
        <v>43</v>
      </c>
      <c r="T27" s="2447"/>
      <c r="U27" s="1290"/>
      <c r="V27" s="2449" t="str">
        <f>IF(TITLE_NAME_OR_PR_CHANGE="",IF(TITLE_NAME_OR_PR="","",TITLE_NAME_OR_PR),TITLE_NAME_OR_PR_CHANGE)</f>
        <v/>
      </c>
      <c r="W27" s="2449"/>
      <c r="X27" s="2449"/>
      <c r="Y27" s="2449"/>
      <c r="Z27" s="2449"/>
      <c r="AA27" s="2449"/>
      <c r="AB27" s="2449"/>
      <c r="AC27" s="2449"/>
      <c r="AD27" s="2449"/>
      <c r="AE27" s="2449"/>
      <c r="AF27" s="263"/>
      <c r="AG27" s="2449" t="str">
        <f>IF(TITLE_NAME_OR_PR_CHANGE="",IF(TITLE_NAME_OR_PR="","",TITLE_NAME_OR_PR),TITLE_NAME_OR_PR_CHANGE)</f>
        <v/>
      </c>
      <c r="AH27" s="2449"/>
      <c r="AI27" s="2449"/>
      <c r="AJ27" s="2449"/>
      <c r="AK27" s="2449"/>
      <c r="AL27" s="2449"/>
      <c r="AM27" s="2449"/>
      <c r="AN27" s="2449"/>
      <c r="AO27" s="2449"/>
      <c r="AP27" s="2449"/>
      <c r="AQ27" s="263"/>
      <c r="AR27" s="263"/>
      <c r="AS27" s="217"/>
      <c r="AT27" s="304"/>
      <c r="AU27" s="304"/>
      <c r="AV27" s="304"/>
      <c r="AW27" s="304"/>
      <c r="AX27" s="304"/>
      <c r="AY27" s="354">
        <v>0</v>
      </c>
    </row>
    <row r="28" spans="1:51" s="2098" customFormat="1" ht="18.75" hidden="1" customHeight="1">
      <c r="A28" s="1286"/>
      <c r="B28" s="1286"/>
      <c r="C28" s="1286"/>
      <c r="D28" s="1286"/>
      <c r="E28" s="1286"/>
      <c r="F28" s="1286"/>
      <c r="G28" s="1286"/>
      <c r="H28" s="1286"/>
      <c r="I28" s="1286"/>
      <c r="J28" s="1286"/>
      <c r="K28" s="1286"/>
      <c r="L28" s="1287"/>
      <c r="M28" s="1286"/>
      <c r="N28" s="1286"/>
      <c r="O28" s="1286"/>
      <c r="S28" s="2447" t="s">
        <v>420</v>
      </c>
      <c r="T28" s="2447"/>
      <c r="U28" s="1290"/>
      <c r="V28" s="2448" t="str">
        <f>IF(TITLE_DATE_PR_CHANGE="",IF(TITLE_DATE_PR="","",TITLE_DATE_PR),TITLE_DATE_PR_CHANGE)</f>
        <v/>
      </c>
      <c r="W28" s="2448"/>
      <c r="X28" s="2448"/>
      <c r="Y28" s="2448"/>
      <c r="Z28" s="2448"/>
      <c r="AA28" s="2448"/>
      <c r="AB28" s="2448"/>
      <c r="AC28" s="2448"/>
      <c r="AD28" s="2448"/>
      <c r="AE28" s="2448"/>
      <c r="AF28" s="263"/>
      <c r="AG28" s="2448" t="str">
        <f>IF(TITLE_DATE_PR_CHANGE="",IF(TITLE_DATE_PR="","",TITLE_DATE_PR),TITLE_DATE_PR_CHANGE)</f>
        <v/>
      </c>
      <c r="AH28" s="2448"/>
      <c r="AI28" s="2448"/>
      <c r="AJ28" s="2448"/>
      <c r="AK28" s="2448"/>
      <c r="AL28" s="2448"/>
      <c r="AM28" s="2448"/>
      <c r="AN28" s="2448"/>
      <c r="AO28" s="2448"/>
      <c r="AP28" s="2448"/>
      <c r="AQ28" s="263"/>
      <c r="AR28" s="263"/>
      <c r="AS28" s="217"/>
      <c r="AT28" s="304"/>
      <c r="AU28" s="304"/>
      <c r="AV28" s="304"/>
      <c r="AW28" s="304"/>
      <c r="AX28" s="304"/>
      <c r="AY28" s="354">
        <v>0</v>
      </c>
    </row>
    <row r="29" spans="1:51" s="2098" customFormat="1" ht="18.75" hidden="1" customHeight="1">
      <c r="A29" s="1286"/>
      <c r="B29" s="1286"/>
      <c r="C29" s="1286"/>
      <c r="D29" s="1286"/>
      <c r="E29" s="1286"/>
      <c r="F29" s="1286"/>
      <c r="G29" s="1286"/>
      <c r="H29" s="1286"/>
      <c r="I29" s="1286"/>
      <c r="J29" s="1286"/>
      <c r="K29" s="1286"/>
      <c r="L29" s="1287"/>
      <c r="M29" s="1286"/>
      <c r="N29" s="1286"/>
      <c r="O29" s="1286"/>
      <c r="S29" s="2447" t="s">
        <v>421</v>
      </c>
      <c r="T29" s="2447"/>
      <c r="U29" s="1290"/>
      <c r="V29" s="2449" t="str">
        <f>IF(TITLE_NUMBER_PR_CHANGE="",IF(TITLE_NUMBER_PR="","",TITLE_NUMBER_PR),TITLE_NUMBER_PR_CHANGE)</f>
        <v/>
      </c>
      <c r="W29" s="2449"/>
      <c r="X29" s="2449"/>
      <c r="Y29" s="2449"/>
      <c r="Z29" s="2449"/>
      <c r="AA29" s="2449"/>
      <c r="AB29" s="2449"/>
      <c r="AC29" s="2449"/>
      <c r="AD29" s="2449"/>
      <c r="AE29" s="2449"/>
      <c r="AF29" s="263"/>
      <c r="AG29" s="2449" t="str">
        <f>IF(TITLE_NUMBER_PR_CHANGE="",IF(TITLE_NUMBER_PR="","",TITLE_NUMBER_PR),TITLE_NUMBER_PR_CHANGE)</f>
        <v/>
      </c>
      <c r="AH29" s="2449"/>
      <c r="AI29" s="2449"/>
      <c r="AJ29" s="2449"/>
      <c r="AK29" s="2449"/>
      <c r="AL29" s="2449"/>
      <c r="AM29" s="2449"/>
      <c r="AN29" s="2449"/>
      <c r="AO29" s="2449"/>
      <c r="AP29" s="2449"/>
      <c r="AQ29" s="263"/>
      <c r="AR29" s="263"/>
      <c r="AS29" s="217"/>
      <c r="AT29" s="304"/>
      <c r="AU29" s="304"/>
      <c r="AV29" s="304"/>
      <c r="AW29" s="304"/>
      <c r="AX29" s="304"/>
      <c r="AY29" s="354">
        <v>0</v>
      </c>
    </row>
    <row r="30" spans="1:51" s="2098" customFormat="1" ht="18.75" hidden="1" customHeight="1">
      <c r="A30" s="1286"/>
      <c r="B30" s="1286"/>
      <c r="C30" s="1286"/>
      <c r="D30" s="1286"/>
      <c r="E30" s="1286"/>
      <c r="F30" s="1286"/>
      <c r="G30" s="1286"/>
      <c r="H30" s="1286"/>
      <c r="I30" s="1286"/>
      <c r="J30" s="1286"/>
      <c r="K30" s="1286"/>
      <c r="L30" s="1287"/>
      <c r="M30" s="1286"/>
      <c r="N30" s="1286"/>
      <c r="O30" s="1286"/>
      <c r="S30" s="2447" t="s">
        <v>44</v>
      </c>
      <c r="T30" s="2447"/>
      <c r="U30" s="1290"/>
      <c r="V30" s="2449" t="str">
        <f>IF(TITLE_IST_PUB_CHANGE="",IF(TITLE_IST_PUB="","",TITLE_IST_PUB),TITLE_IST_PUB_CHANGE)</f>
        <v/>
      </c>
      <c r="W30" s="2449"/>
      <c r="X30" s="2449"/>
      <c r="Y30" s="2449"/>
      <c r="Z30" s="2449"/>
      <c r="AA30" s="2449"/>
      <c r="AB30" s="2449"/>
      <c r="AC30" s="2449"/>
      <c r="AD30" s="2449"/>
      <c r="AE30" s="2449"/>
      <c r="AF30" s="263"/>
      <c r="AG30" s="2449" t="str">
        <f>IF(TITLE_IST_PUB_CHANGE="",IF(TITLE_IST_PUB="","",TITLE_IST_PUB),TITLE_IST_PUB_CHANGE)</f>
        <v/>
      </c>
      <c r="AH30" s="2449"/>
      <c r="AI30" s="2449"/>
      <c r="AJ30" s="2449"/>
      <c r="AK30" s="2449"/>
      <c r="AL30" s="2449"/>
      <c r="AM30" s="2449"/>
      <c r="AN30" s="2449"/>
      <c r="AO30" s="2449"/>
      <c r="AP30" s="2449"/>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098" customFormat="1" ht="18.75" hidden="1" customHeight="1">
      <c r="A32" s="1286"/>
      <c r="B32" s="1286"/>
      <c r="C32" s="1286"/>
      <c r="D32" s="1286"/>
      <c r="E32" s="1286"/>
      <c r="F32" s="1286"/>
      <c r="G32" s="1286"/>
      <c r="H32" s="1286"/>
      <c r="I32" s="1286"/>
      <c r="J32" s="1286"/>
      <c r="K32" s="1286"/>
      <c r="L32" s="1287"/>
      <c r="M32" s="1286"/>
      <c r="N32" s="1286"/>
      <c r="O32" s="1286"/>
      <c r="S32" s="2447" t="s">
        <v>422</v>
      </c>
      <c r="T32" s="2447"/>
      <c r="U32" s="1290"/>
      <c r="V32" s="2448" t="str">
        <f>IF(TITLE_DATE_PR_CHANGE="",IF(TITLE_DATE_PR="","",TITLE_DATE_PR),TITLE_DATE_PR_CHANGE)</f>
        <v/>
      </c>
      <c r="W32" s="2448"/>
      <c r="X32" s="2448"/>
      <c r="Y32" s="2448"/>
      <c r="Z32" s="2448"/>
      <c r="AA32" s="2448"/>
      <c r="AB32" s="2448"/>
      <c r="AC32" s="2448"/>
      <c r="AD32" s="2448"/>
      <c r="AE32" s="2448"/>
      <c r="AF32" s="263"/>
      <c r="AG32" s="2448" t="str">
        <f>IF(TITLE_DATE_PR_CHANGE="",IF(TITLE_DATE_PR="","",TITLE_DATE_PR),TITLE_DATE_PR_CHANGE)</f>
        <v/>
      </c>
      <c r="AH32" s="2448"/>
      <c r="AI32" s="2448"/>
      <c r="AJ32" s="2448"/>
      <c r="AK32" s="2448"/>
      <c r="AL32" s="2448"/>
      <c r="AM32" s="2448"/>
      <c r="AN32" s="2448"/>
      <c r="AO32" s="2448"/>
      <c r="AP32" s="2448"/>
      <c r="AQ32" s="263"/>
      <c r="AR32" s="263"/>
      <c r="AS32" s="217"/>
      <c r="AT32" s="304"/>
      <c r="AU32" s="304"/>
      <c r="AV32" s="304"/>
      <c r="AW32" s="304"/>
      <c r="AX32" s="304"/>
      <c r="AY32" s="354">
        <v>0</v>
      </c>
    </row>
    <row r="33" spans="1:51" s="2098" customFormat="1" ht="18.75" hidden="1" customHeight="1">
      <c r="A33" s="1286"/>
      <c r="B33" s="1286"/>
      <c r="C33" s="1286"/>
      <c r="D33" s="1286"/>
      <c r="E33" s="1286"/>
      <c r="F33" s="1286"/>
      <c r="G33" s="1286"/>
      <c r="H33" s="1286"/>
      <c r="I33" s="1286"/>
      <c r="J33" s="1286"/>
      <c r="K33" s="1286"/>
      <c r="L33" s="1287"/>
      <c r="M33" s="1286"/>
      <c r="N33" s="1286"/>
      <c r="O33" s="1286"/>
      <c r="S33" s="2447" t="s">
        <v>423</v>
      </c>
      <c r="T33" s="2447"/>
      <c r="U33" s="1290"/>
      <c r="V33" s="2449" t="str">
        <f>IF(TITLE_NUMBER_PR_CHANGE="",IF(TITLE_NUMBER_PR="","",TITLE_NUMBER_PR),TITLE_NUMBER_PR_CHANGE)</f>
        <v/>
      </c>
      <c r="W33" s="2449"/>
      <c r="X33" s="2449"/>
      <c r="Y33" s="2449"/>
      <c r="Z33" s="2449"/>
      <c r="AA33" s="2449"/>
      <c r="AB33" s="2449"/>
      <c r="AC33" s="2449"/>
      <c r="AD33" s="2449"/>
      <c r="AE33" s="2449"/>
      <c r="AF33" s="263"/>
      <c r="AG33" s="2449" t="str">
        <f>IF(TITLE_NUMBER_PR_CHANGE="",IF(TITLE_NUMBER_PR="","",TITLE_NUMBER_PR),TITLE_NUMBER_PR_CHANGE)</f>
        <v/>
      </c>
      <c r="AH33" s="2449"/>
      <c r="AI33" s="2449"/>
      <c r="AJ33" s="2449"/>
      <c r="AK33" s="2449"/>
      <c r="AL33" s="2449"/>
      <c r="AM33" s="2449"/>
      <c r="AN33" s="2449"/>
      <c r="AO33" s="2449"/>
      <c r="AP33" s="2449"/>
      <c r="AQ33" s="263"/>
      <c r="AR33" s="263"/>
      <c r="AS33" s="217"/>
      <c r="AT33" s="304"/>
      <c r="AU33" s="304"/>
      <c r="AV33" s="304"/>
      <c r="AW33" s="304"/>
      <c r="AX33" s="304"/>
      <c r="AY33" s="354">
        <v>0</v>
      </c>
    </row>
    <row r="34" spans="1:51" s="2098"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424</v>
      </c>
      <c r="AG34" s="263"/>
      <c r="AH34" s="1553"/>
      <c r="AI34" s="1553"/>
      <c r="AJ34" s="1553"/>
      <c r="AK34" s="1553"/>
      <c r="AL34" s="1553"/>
      <c r="AM34" s="263"/>
      <c r="AN34" s="263"/>
      <c r="AO34" s="263"/>
      <c r="AP34" s="263"/>
      <c r="AQ34" s="215" t="s">
        <v>424</v>
      </c>
      <c r="AT34" s="304"/>
      <c r="AU34" s="304"/>
      <c r="AV34" s="304"/>
      <c r="AW34" s="304"/>
      <c r="AX34" s="304"/>
      <c r="AY34" s="354">
        <v>1</v>
      </c>
    </row>
    <row r="35" spans="1:51" ht="14.65" customHeight="1">
      <c r="Q35" s="312"/>
      <c r="R35" s="312"/>
      <c r="S35" s="1193"/>
      <c r="T35" s="299"/>
      <c r="U35" s="1162"/>
      <c r="V35" s="2468"/>
      <c r="W35" s="2468"/>
      <c r="X35" s="2468"/>
      <c r="Y35" s="2468"/>
      <c r="Z35" s="2468"/>
      <c r="AA35" s="2468"/>
      <c r="AB35" s="2468"/>
      <c r="AC35" s="2468"/>
      <c r="AD35" s="2468"/>
      <c r="AE35" s="2468"/>
      <c r="AF35" s="2468"/>
      <c r="AG35" s="2468"/>
      <c r="AH35" s="2468"/>
      <c r="AI35" s="2468"/>
      <c r="AJ35" s="2468"/>
      <c r="AK35" s="2468"/>
      <c r="AL35" s="2468"/>
      <c r="AM35" s="2468"/>
      <c r="AN35" s="2468"/>
      <c r="AO35" s="2468"/>
      <c r="AP35" s="2468"/>
      <c r="AQ35" s="2468"/>
      <c r="AY35" s="1073">
        <v>14</v>
      </c>
    </row>
    <row r="36" spans="1:51" ht="14.65" customHeight="1">
      <c r="Q36" s="312"/>
      <c r="R36" s="312"/>
      <c r="S36" s="2328" t="s">
        <v>297</v>
      </c>
      <c r="T36" s="2328"/>
      <c r="U36" s="2328"/>
      <c r="V36" s="2328"/>
      <c r="W36" s="2328"/>
      <c r="X36" s="2328"/>
      <c r="Y36" s="2328"/>
      <c r="Z36" s="2328"/>
      <c r="AA36" s="2328"/>
      <c r="AB36" s="2328"/>
      <c r="AC36" s="2328"/>
      <c r="AD36" s="2328"/>
      <c r="AE36" s="2328"/>
      <c r="AF36" s="2328"/>
      <c r="AG36" s="2328"/>
      <c r="AH36" s="2328"/>
      <c r="AI36" s="2328"/>
      <c r="AJ36" s="2328"/>
      <c r="AK36" s="2328"/>
      <c r="AL36" s="2328"/>
      <c r="AM36" s="2328"/>
      <c r="AN36" s="2328"/>
      <c r="AO36" s="2328"/>
      <c r="AP36" s="2328"/>
      <c r="AQ36" s="2328"/>
      <c r="AR36" s="2328"/>
      <c r="AS36" s="2328" t="s">
        <v>298</v>
      </c>
      <c r="AY36" s="1073">
        <v>14</v>
      </c>
    </row>
    <row r="37" spans="1:51" ht="14.65" customHeight="1">
      <c r="Q37" s="312"/>
      <c r="R37" s="312"/>
      <c r="S37" s="2469" t="s">
        <v>90</v>
      </c>
      <c r="T37" s="2417" t="s">
        <v>425</v>
      </c>
      <c r="U37" s="238"/>
      <c r="V37" s="2470" t="s">
        <v>426</v>
      </c>
      <c r="W37" s="2471"/>
      <c r="X37" s="2471"/>
      <c r="Y37" s="2471"/>
      <c r="Z37" s="2471"/>
      <c r="AA37" s="2471"/>
      <c r="AB37" s="2471"/>
      <c r="AC37" s="2471"/>
      <c r="AD37" s="2471"/>
      <c r="AE37" s="2472"/>
      <c r="AF37" s="2473" t="s">
        <v>427</v>
      </c>
      <c r="AG37" s="2470" t="s">
        <v>426</v>
      </c>
      <c r="AH37" s="2471"/>
      <c r="AI37" s="2471"/>
      <c r="AJ37" s="2471"/>
      <c r="AK37" s="2471"/>
      <c r="AL37" s="2471"/>
      <c r="AM37" s="2471"/>
      <c r="AN37" s="2471"/>
      <c r="AO37" s="2471"/>
      <c r="AP37" s="2472"/>
      <c r="AQ37" s="2473" t="s">
        <v>428</v>
      </c>
      <c r="AR37" s="2476" t="s">
        <v>429</v>
      </c>
      <c r="AS37" s="2328"/>
      <c r="AY37" s="1073">
        <v>14</v>
      </c>
    </row>
    <row r="38" spans="1:51" s="2062" customFormat="1" ht="19.899999999999999" customHeight="1">
      <c r="A38" s="1284"/>
      <c r="B38" s="1284"/>
      <c r="C38" s="1284"/>
      <c r="D38" s="1284"/>
      <c r="E38" s="1284"/>
      <c r="F38" s="1284"/>
      <c r="G38" s="1284"/>
      <c r="H38" s="1284"/>
      <c r="I38" s="1284"/>
      <c r="J38" s="1284"/>
      <c r="K38" s="1284"/>
      <c r="L38" s="1892"/>
      <c r="M38" s="1280"/>
      <c r="N38" s="1280"/>
      <c r="O38" s="1280"/>
      <c r="P38" s="1893"/>
      <c r="Q38" s="312"/>
      <c r="R38" s="312"/>
      <c r="S38" s="2469"/>
      <c r="T38" s="2417"/>
      <c r="U38" s="954"/>
      <c r="V38" s="2328" t="s">
        <v>529</v>
      </c>
      <c r="W38" s="2540" t="s">
        <v>530</v>
      </c>
      <c r="X38" s="2540"/>
      <c r="Y38" s="2540"/>
      <c r="Z38" s="2540" t="s">
        <v>531</v>
      </c>
      <c r="AA38" s="2540"/>
      <c r="AB38" s="2540"/>
      <c r="AC38" s="2388" t="s">
        <v>433</v>
      </c>
      <c r="AD38" s="2498"/>
      <c r="AE38" s="2389"/>
      <c r="AF38" s="2474"/>
      <c r="AG38" s="2328" t="s">
        <v>529</v>
      </c>
      <c r="AH38" s="2540" t="s">
        <v>530</v>
      </c>
      <c r="AI38" s="2540"/>
      <c r="AJ38" s="2540"/>
      <c r="AK38" s="2540" t="s">
        <v>531</v>
      </c>
      <c r="AL38" s="2540"/>
      <c r="AM38" s="2540"/>
      <c r="AN38" s="2388" t="s">
        <v>433</v>
      </c>
      <c r="AO38" s="2498"/>
      <c r="AP38" s="2389"/>
      <c r="AQ38" s="2474"/>
      <c r="AR38" s="2477"/>
      <c r="AS38" s="2328"/>
      <c r="AT38" s="1554"/>
      <c r="AU38" s="1554"/>
      <c r="AV38" s="1554"/>
      <c r="AW38" s="1554"/>
      <c r="AX38" s="1554"/>
      <c r="AY38" s="1549">
        <v>19</v>
      </c>
    </row>
    <row r="39" spans="1:51" ht="19.899999999999999" customHeight="1">
      <c r="Q39" s="312"/>
      <c r="R39" s="312"/>
      <c r="S39" s="2469"/>
      <c r="T39" s="2417"/>
      <c r="U39" s="954"/>
      <c r="V39" s="2328"/>
      <c r="W39" s="2540" t="s">
        <v>532</v>
      </c>
      <c r="X39" s="2540" t="s">
        <v>533</v>
      </c>
      <c r="Y39" s="2540"/>
      <c r="Z39" s="2540" t="s">
        <v>534</v>
      </c>
      <c r="AA39" s="2540" t="s">
        <v>533</v>
      </c>
      <c r="AB39" s="2540"/>
      <c r="AC39" s="2393"/>
      <c r="AD39" s="2499"/>
      <c r="AE39" s="2394"/>
      <c r="AF39" s="2474"/>
      <c r="AG39" s="2328"/>
      <c r="AH39" s="2540" t="s">
        <v>532</v>
      </c>
      <c r="AI39" s="2540" t="s">
        <v>533</v>
      </c>
      <c r="AJ39" s="2540"/>
      <c r="AK39" s="2540" t="s">
        <v>534</v>
      </c>
      <c r="AL39" s="2540" t="s">
        <v>533</v>
      </c>
      <c r="AM39" s="2540"/>
      <c r="AN39" s="2393"/>
      <c r="AO39" s="2499"/>
      <c r="AP39" s="2394"/>
      <c r="AQ39" s="2474"/>
      <c r="AR39" s="2477"/>
      <c r="AS39" s="2328"/>
      <c r="AY39" s="1073">
        <v>19</v>
      </c>
    </row>
    <row r="40" spans="1:51" ht="61.9" customHeight="1">
      <c r="A40" s="1288"/>
      <c r="B40" s="1288" t="s">
        <v>134</v>
      </c>
      <c r="C40" s="1288" t="s">
        <v>135</v>
      </c>
      <c r="D40" s="1288" t="s">
        <v>136</v>
      </c>
      <c r="E40" s="1282" t="s">
        <v>434</v>
      </c>
      <c r="F40" s="1282" t="s">
        <v>435</v>
      </c>
      <c r="G40" s="1282" t="s">
        <v>436</v>
      </c>
      <c r="H40" s="1282"/>
      <c r="I40" s="1282" t="s">
        <v>487</v>
      </c>
      <c r="J40" s="1282" t="s">
        <v>439</v>
      </c>
      <c r="K40" s="1282" t="s">
        <v>488</v>
      </c>
      <c r="L40" s="1282" t="s">
        <v>415</v>
      </c>
      <c r="Q40" s="312"/>
      <c r="R40" s="312"/>
      <c r="S40" s="2469"/>
      <c r="T40" s="2417"/>
      <c r="U40" s="239"/>
      <c r="V40" s="2328"/>
      <c r="W40" s="2540"/>
      <c r="X40" s="1895" t="s">
        <v>535</v>
      </c>
      <c r="Y40" s="1895" t="s">
        <v>536</v>
      </c>
      <c r="Z40" s="2540"/>
      <c r="AA40" s="1895" t="s">
        <v>537</v>
      </c>
      <c r="AB40" s="1895" t="s">
        <v>538</v>
      </c>
      <c r="AC40" s="1407" t="s">
        <v>443</v>
      </c>
      <c r="AD40" s="2422" t="s">
        <v>444</v>
      </c>
      <c r="AE40" s="2436"/>
      <c r="AF40" s="2475"/>
      <c r="AG40" s="2328"/>
      <c r="AH40" s="2540"/>
      <c r="AI40" s="1895" t="s">
        <v>535</v>
      </c>
      <c r="AJ40" s="1895" t="s">
        <v>536</v>
      </c>
      <c r="AK40" s="2540"/>
      <c r="AL40" s="1895" t="s">
        <v>537</v>
      </c>
      <c r="AM40" s="1895" t="s">
        <v>538</v>
      </c>
      <c r="AN40" s="1407" t="s">
        <v>443</v>
      </c>
      <c r="AO40" s="2422" t="s">
        <v>444</v>
      </c>
      <c r="AP40" s="2436"/>
      <c r="AQ40" s="2475"/>
      <c r="AR40" s="2478"/>
      <c r="AS40" s="2328"/>
      <c r="AY40" s="1073">
        <v>59</v>
      </c>
    </row>
    <row r="41" spans="1:51" s="202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108</v>
      </c>
      <c r="T41" s="1173" t="s">
        <v>109</v>
      </c>
      <c r="U41" s="1163" t="str">
        <f ca="1">OFFSET(U41,0,-1)</f>
        <v>2</v>
      </c>
      <c r="V41" s="1400">
        <f ca="1">OFFSET(V41,0,-1)+1</f>
        <v>3</v>
      </c>
      <c r="W41" s="1891"/>
      <c r="X41" s="1891"/>
      <c r="Y41" s="1891"/>
      <c r="Z41" s="1891"/>
      <c r="AA41" s="1891"/>
      <c r="AB41" s="1400">
        <f ca="1">OFFSET(AB41,0,-1)+1</f>
        <v>1</v>
      </c>
      <c r="AC41" s="1400">
        <f ca="1">OFFSET(AC41,0,-1)+1</f>
        <v>2</v>
      </c>
      <c r="AD41" s="2467">
        <f ca="1">OFFSET(AD41,0,-1)+1</f>
        <v>3</v>
      </c>
      <c r="AE41" s="2467"/>
      <c r="AF41" s="1400">
        <f ca="1">OFFSET(AF41,0,-2)+1</f>
        <v>4</v>
      </c>
      <c r="AG41" s="1400">
        <f ca="1">OFFSET(AG41,0,-1)+1</f>
        <v>5</v>
      </c>
      <c r="AH41" s="1891"/>
      <c r="AI41" s="1891"/>
      <c r="AJ41" s="1891"/>
      <c r="AK41" s="1891"/>
      <c r="AL41" s="1891"/>
      <c r="AM41" s="1400">
        <f ca="1">OFFSET(AM41,0,-1)+1</f>
        <v>1</v>
      </c>
      <c r="AN41" s="1400">
        <f ca="1">OFFSET(AN41,0,-1)+1</f>
        <v>2</v>
      </c>
      <c r="AO41" s="2467">
        <f ca="1">OFFSET(AO41,0,-1)+1</f>
        <v>3</v>
      </c>
      <c r="AP41" s="2467"/>
      <c r="AQ41" s="1400">
        <f ca="1">OFFSET(AQ41,0,-2)+1</f>
        <v>4</v>
      </c>
      <c r="AR41" s="1163">
        <f ca="1">OFFSET(AR41,0,-1)</f>
        <v>4</v>
      </c>
      <c r="AS41" s="1400">
        <f ca="1">OFFSET(AS41,0,-1)+1</f>
        <v>5</v>
      </c>
      <c r="AT41" s="447"/>
      <c r="AU41" s="447"/>
      <c r="AV41" s="447"/>
      <c r="AW41" s="447"/>
      <c r="AX41" s="447"/>
      <c r="AY41" s="432">
        <v>0</v>
      </c>
    </row>
    <row r="42" spans="1:51" ht="24" customHeight="1">
      <c r="A42" s="1281" t="s">
        <v>253</v>
      </c>
      <c r="B42" s="1281"/>
      <c r="C42" s="1281"/>
      <c r="D42" s="1281"/>
      <c r="E42" s="2456">
        <v>1</v>
      </c>
      <c r="F42" s="1281"/>
      <c r="G42" s="1281"/>
      <c r="H42" s="1281"/>
      <c r="I42" s="1281"/>
      <c r="J42" s="1281"/>
      <c r="K42" s="1281"/>
      <c r="L42" s="1282"/>
      <c r="M42" s="1283"/>
      <c r="N42" s="1283"/>
      <c r="O42" s="1283"/>
      <c r="P42" s="297"/>
      <c r="Q42" s="296"/>
      <c r="R42" s="291"/>
      <c r="S42" s="1411">
        <f>INDEX(PT_DIFFERENTIATION_NUM_NTAR,MATCH(A42,PT_DIFFERENTIATION_NTAR_ID,0))</f>
        <v>0</v>
      </c>
      <c r="T42" s="235" t="s">
        <v>122</v>
      </c>
      <c r="U42" s="237"/>
      <c r="V42" s="2450"/>
      <c r="W42" s="2451"/>
      <c r="X42" s="2451"/>
      <c r="Y42" s="2451"/>
      <c r="Z42" s="2451"/>
      <c r="AA42" s="2451"/>
      <c r="AB42" s="2451"/>
      <c r="AC42" s="2451"/>
      <c r="AD42" s="2451"/>
      <c r="AE42" s="2451"/>
      <c r="AF42" s="2452"/>
      <c r="AG42" s="2450" t="str">
        <f>INDEX(PT_DIFFERENTIATION_NTAR,MATCH(A42,PT_DIFFERENTIATION_NTAR_ID,0))</f>
        <v/>
      </c>
      <c r="AH42" s="2451"/>
      <c r="AI42" s="2451"/>
      <c r="AJ42" s="2451"/>
      <c r="AK42" s="2451"/>
      <c r="AL42" s="2451"/>
      <c r="AM42" s="2451"/>
      <c r="AN42" s="2451"/>
      <c r="AO42" s="2451"/>
      <c r="AP42" s="2451"/>
      <c r="AQ42" s="2451"/>
      <c r="AR42" s="245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253</v>
      </c>
      <c r="B43" s="1281" t="s">
        <v>254</v>
      </c>
      <c r="C43" s="1281"/>
      <c r="D43" s="1281"/>
      <c r="E43" s="2457"/>
      <c r="F43" s="2456">
        <v>1</v>
      </c>
      <c r="G43" s="1281"/>
      <c r="H43" s="1281"/>
      <c r="I43" s="1281"/>
      <c r="J43" s="1281"/>
      <c r="K43" s="1281"/>
      <c r="L43" s="1282"/>
      <c r="M43" s="1283"/>
      <c r="N43" s="1283"/>
      <c r="O43" s="1283"/>
      <c r="P43" s="1405"/>
      <c r="Q43" s="288"/>
      <c r="R43" s="289"/>
      <c r="S43" s="1411" t="str">
        <f>INDEX(PT_DIFFERENTIATION_NUM_TER,MATCH(B43,PT_DIFFERENTIATION_TER_ID,0))</f>
        <v>.</v>
      </c>
      <c r="T43" s="245" t="s">
        <v>394</v>
      </c>
      <c r="U43" s="237"/>
      <c r="V43" s="2450"/>
      <c r="W43" s="2451"/>
      <c r="X43" s="2451"/>
      <c r="Y43" s="2451"/>
      <c r="Z43" s="2451"/>
      <c r="AA43" s="2451"/>
      <c r="AB43" s="2451"/>
      <c r="AC43" s="2451"/>
      <c r="AD43" s="2451"/>
      <c r="AE43" s="2451"/>
      <c r="AF43" s="2452"/>
      <c r="AG43" s="2450" t="str">
        <f>INDEX(PT_DIFFERENTIATION_TER,MATCH(B43,PT_DIFFERENTIATION_TER_ID,0))</f>
        <v/>
      </c>
      <c r="AH43" s="2451"/>
      <c r="AI43" s="2451"/>
      <c r="AJ43" s="2451"/>
      <c r="AK43" s="2451"/>
      <c r="AL43" s="2451"/>
      <c r="AM43" s="2451"/>
      <c r="AN43" s="2451"/>
      <c r="AO43" s="2451"/>
      <c r="AP43" s="2451"/>
      <c r="AQ43" s="2451"/>
      <c r="AR43" s="2452"/>
      <c r="AS43" s="1176" t="s">
        <v>395</v>
      </c>
      <c r="AU43" s="436"/>
      <c r="AV43" s="436" t="str">
        <f t="shared" si="1"/>
        <v>Территория действия тарифа</v>
      </c>
      <c r="AW43" s="436"/>
      <c r="AX43" s="436"/>
      <c r="AY43" s="1073">
        <v>23</v>
      </c>
    </row>
    <row r="44" spans="1:51" ht="24" customHeight="1">
      <c r="A44" s="1281" t="s">
        <v>253</v>
      </c>
      <c r="B44" s="1281" t="s">
        <v>254</v>
      </c>
      <c r="C44" s="1281" t="s">
        <v>255</v>
      </c>
      <c r="D44" s="1281"/>
      <c r="E44" s="2457"/>
      <c r="F44" s="2457"/>
      <c r="G44" s="2456">
        <v>1</v>
      </c>
      <c r="H44" s="1281"/>
      <c r="I44" s="1281"/>
      <c r="J44" s="1281"/>
      <c r="K44" s="1281"/>
      <c r="L44" s="1282"/>
      <c r="M44" s="1283"/>
      <c r="N44" s="1283"/>
      <c r="O44" s="1283"/>
      <c r="P44" s="290"/>
      <c r="Q44" s="288"/>
      <c r="R44" s="289"/>
      <c r="S44" s="1411" t="str">
        <f>INDEX(PT_DIFFERENTIATION_NUM_CS,MATCH(C44,PT_DIFFERENTIATION_CS_ID,0))</f>
        <v>..</v>
      </c>
      <c r="T44" s="246" t="s">
        <v>527</v>
      </c>
      <c r="U44" s="237"/>
      <c r="V44" s="2450"/>
      <c r="W44" s="2451"/>
      <c r="X44" s="2451"/>
      <c r="Y44" s="2451"/>
      <c r="Z44" s="2451"/>
      <c r="AA44" s="2451"/>
      <c r="AB44" s="2451"/>
      <c r="AC44" s="2451"/>
      <c r="AD44" s="2451"/>
      <c r="AE44" s="2451"/>
      <c r="AF44" s="2452"/>
      <c r="AG44" s="2450" t="str">
        <f>INDEX(PT_DIFFERENTIATION_CS,MATCH(C44,PT_DIFFERENTIATION_CS_ID,0))</f>
        <v/>
      </c>
      <c r="AH44" s="2451"/>
      <c r="AI44" s="2451"/>
      <c r="AJ44" s="2451"/>
      <c r="AK44" s="2451"/>
      <c r="AL44" s="2451"/>
      <c r="AM44" s="2451"/>
      <c r="AN44" s="2451"/>
      <c r="AO44" s="2451"/>
      <c r="AP44" s="2451"/>
      <c r="AQ44" s="2451"/>
      <c r="AR44" s="2452"/>
      <c r="AS44" s="1176" t="s">
        <v>528</v>
      </c>
      <c r="AU44" s="436"/>
      <c r="AV44" s="436" t="str">
        <f t="shared" si="1"/>
        <v>Наименование централизованной системы горячего водоснабжения</v>
      </c>
      <c r="AW44" s="436"/>
      <c r="AX44" s="436"/>
      <c r="AY44" s="1073">
        <v>23</v>
      </c>
    </row>
    <row r="45" spans="1:51" ht="24" customHeight="1">
      <c r="A45" s="1281" t="s">
        <v>253</v>
      </c>
      <c r="B45" s="1281" t="s">
        <v>254</v>
      </c>
      <c r="C45" s="1281" t="s">
        <v>255</v>
      </c>
      <c r="D45" s="1281" t="s">
        <v>540</v>
      </c>
      <c r="E45" s="2457"/>
      <c r="F45" s="2457"/>
      <c r="G45" s="2457"/>
      <c r="H45" s="2457"/>
      <c r="I45" s="2458" t="str">
        <f>S44&amp;".1"</f>
        <v>...1</v>
      </c>
      <c r="J45" s="1281"/>
      <c r="K45" s="1281"/>
      <c r="L45" s="1282"/>
      <c r="P45" s="2460">
        <v>1</v>
      </c>
      <c r="Q45" s="1399"/>
      <c r="R45" s="292"/>
      <c r="S45" s="1411" t="str">
        <f>$I45</f>
        <v>...1</v>
      </c>
      <c r="T45" s="222" t="s">
        <v>480</v>
      </c>
      <c r="U45" s="237"/>
      <c r="V45" s="2524"/>
      <c r="W45" s="2525"/>
      <c r="X45" s="2525"/>
      <c r="Y45" s="2525"/>
      <c r="Z45" s="2525"/>
      <c r="AA45" s="2525"/>
      <c r="AB45" s="2525"/>
      <c r="AC45" s="2525"/>
      <c r="AD45" s="2525"/>
      <c r="AE45" s="2525"/>
      <c r="AF45" s="2526"/>
      <c r="AG45" s="2527"/>
      <c r="AH45" s="2528"/>
      <c r="AI45" s="2528"/>
      <c r="AJ45" s="2528"/>
      <c r="AK45" s="2528"/>
      <c r="AL45" s="2528"/>
      <c r="AM45" s="2528"/>
      <c r="AN45" s="2528"/>
      <c r="AO45" s="2528"/>
      <c r="AP45" s="2528"/>
      <c r="AQ45" s="2528"/>
      <c r="AR45" s="2529"/>
      <c r="AS45" s="1176" t="s">
        <v>481</v>
      </c>
      <c r="AU45" s="436"/>
      <c r="AV45" s="436" t="str">
        <f t="shared" si="1"/>
        <v>Наименование признака дифференциации</v>
      </c>
      <c r="AW45" s="436"/>
      <c r="AX45" s="436"/>
      <c r="AY45" s="1073">
        <v>23</v>
      </c>
    </row>
    <row r="46" spans="1:51" ht="24" customHeight="1">
      <c r="A46" s="1281" t="s">
        <v>253</v>
      </c>
      <c r="B46" s="1281" t="s">
        <v>254</v>
      </c>
      <c r="C46" s="1281" t="s">
        <v>255</v>
      </c>
      <c r="D46" s="1281" t="s">
        <v>540</v>
      </c>
      <c r="E46" s="2457"/>
      <c r="F46" s="2457"/>
      <c r="G46" s="2457"/>
      <c r="H46" s="2457"/>
      <c r="I46" s="2459"/>
      <c r="J46" s="2458" t="str">
        <f>I45&amp;".1"</f>
        <v>...1.1</v>
      </c>
      <c r="K46" s="1281"/>
      <c r="L46" s="1282" t="s">
        <v>403</v>
      </c>
      <c r="P46" s="2460"/>
      <c r="Q46" s="2460">
        <v>1</v>
      </c>
      <c r="R46" s="293"/>
      <c r="S46" s="1411" t="str">
        <f>$J46</f>
        <v>...1.1</v>
      </c>
      <c r="T46" s="223" t="s">
        <v>404</v>
      </c>
      <c r="U46" s="237"/>
      <c r="V46" s="2444"/>
      <c r="W46" s="2445"/>
      <c r="X46" s="2445"/>
      <c r="Y46" s="2445"/>
      <c r="Z46" s="2445"/>
      <c r="AA46" s="2445"/>
      <c r="AB46" s="2445"/>
      <c r="AC46" s="2445"/>
      <c r="AD46" s="2445"/>
      <c r="AE46" s="2445"/>
      <c r="AF46" s="2446"/>
      <c r="AG46" s="2444"/>
      <c r="AH46" s="2445"/>
      <c r="AI46" s="2445"/>
      <c r="AJ46" s="2445"/>
      <c r="AK46" s="2445"/>
      <c r="AL46" s="2445"/>
      <c r="AM46" s="2445"/>
      <c r="AN46" s="2445"/>
      <c r="AO46" s="2445"/>
      <c r="AP46" s="2445"/>
      <c r="AQ46" s="2445"/>
      <c r="AR46" s="2446"/>
      <c r="AS46" s="1225" t="s">
        <v>482</v>
      </c>
      <c r="AU46" s="436"/>
      <c r="AV46" s="436" t="str">
        <f t="shared" si="1"/>
        <v>Группа потребителей</v>
      </c>
      <c r="AW46" s="436"/>
      <c r="AX46" s="436"/>
      <c r="AY46" s="1073">
        <v>23</v>
      </c>
    </row>
    <row r="47" spans="1:51" ht="24" customHeight="1">
      <c r="A47" s="1281" t="s">
        <v>253</v>
      </c>
      <c r="B47" s="1281" t="s">
        <v>254</v>
      </c>
      <c r="C47" s="1281" t="s">
        <v>255</v>
      </c>
      <c r="D47" s="1281" t="s">
        <v>540</v>
      </c>
      <c r="E47" s="2457"/>
      <c r="F47" s="2457"/>
      <c r="G47" s="2457"/>
      <c r="H47" s="2457"/>
      <c r="I47" s="2459"/>
      <c r="J47" s="2459"/>
      <c r="K47" s="2458" t="str">
        <f>J46&amp;".1"</f>
        <v>...1.1.1</v>
      </c>
      <c r="L47" s="1282"/>
      <c r="P47" s="2460"/>
      <c r="Q47" s="2460"/>
      <c r="R47" s="293">
        <v>1</v>
      </c>
      <c r="S47" s="1411" t="str">
        <f>$K47</f>
        <v>...1.1.1</v>
      </c>
      <c r="T47" s="1355"/>
      <c r="U47" s="237"/>
      <c r="V47" s="1278"/>
      <c r="W47" s="1278"/>
      <c r="X47" s="1278"/>
      <c r="Y47" s="1278"/>
      <c r="Z47" s="1278"/>
      <c r="AA47" s="1278"/>
      <c r="AB47" s="1279"/>
      <c r="AC47" s="2454"/>
      <c r="AD47" s="2453" t="s">
        <v>67</v>
      </c>
      <c r="AE47" s="2454"/>
      <c r="AF47" s="2453" t="s">
        <v>67</v>
      </c>
      <c r="AG47" s="687"/>
      <c r="AH47" s="687"/>
      <c r="AI47" s="687"/>
      <c r="AJ47" s="687"/>
      <c r="AK47" s="687"/>
      <c r="AL47" s="687"/>
      <c r="AM47" s="1175"/>
      <c r="AN47" s="2461"/>
      <c r="AO47" s="2338" t="s">
        <v>67</v>
      </c>
      <c r="AP47" s="2463"/>
      <c r="AQ47" s="2338" t="s">
        <v>19</v>
      </c>
      <c r="AR47" s="1356"/>
      <c r="AS47" s="25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253</v>
      </c>
      <c r="B48" s="1281" t="s">
        <v>254</v>
      </c>
      <c r="C48" s="1281" t="s">
        <v>255</v>
      </c>
      <c r="D48" s="1281" t="s">
        <v>540</v>
      </c>
      <c r="E48" s="2457"/>
      <c r="F48" s="2457"/>
      <c r="G48" s="2457"/>
      <c r="H48" s="2457"/>
      <c r="I48" s="2459"/>
      <c r="J48" s="2459"/>
      <c r="K48" s="2458"/>
      <c r="L48" s="1282"/>
      <c r="P48" s="2460"/>
      <c r="Q48" s="2460"/>
      <c r="R48" s="293"/>
      <c r="S48" s="1408"/>
      <c r="T48" s="237"/>
      <c r="U48" s="237"/>
      <c r="V48" s="1278"/>
      <c r="W48" s="1278"/>
      <c r="X48" s="1278"/>
      <c r="Y48" s="1278"/>
      <c r="Z48" s="1278"/>
      <c r="AA48" s="1278"/>
      <c r="AB48" s="265" t="str">
        <f>AC47&amp;"-"&amp;AE47</f>
        <v>-</v>
      </c>
      <c r="AC48" s="2453"/>
      <c r="AD48" s="2453"/>
      <c r="AE48" s="2453"/>
      <c r="AF48" s="2453"/>
      <c r="AG48" s="262"/>
      <c r="AH48" s="262"/>
      <c r="AI48" s="262"/>
      <c r="AJ48" s="262"/>
      <c r="AK48" s="262"/>
      <c r="AL48" s="262"/>
      <c r="AM48" s="265" t="str">
        <f>AN47&amp;"-"&amp;AP47</f>
        <v>-</v>
      </c>
      <c r="AN48" s="2462"/>
      <c r="AO48" s="2338"/>
      <c r="AP48" s="2464"/>
      <c r="AQ48" s="2338"/>
      <c r="AR48" s="1357"/>
      <c r="AS48" s="2530"/>
      <c r="AU48" s="436"/>
      <c r="AV48" s="436" t="str">
        <f t="shared" si="1"/>
        <v/>
      </c>
      <c r="AW48" s="436"/>
      <c r="AX48" s="436"/>
      <c r="AY48" s="1073">
        <v>0</v>
      </c>
    </row>
    <row r="49" spans="1:51" ht="21" customHeight="1">
      <c r="A49" s="1281" t="s">
        <v>253</v>
      </c>
      <c r="B49" s="1281" t="s">
        <v>254</v>
      </c>
      <c r="C49" s="1281" t="s">
        <v>255</v>
      </c>
      <c r="D49" s="1281" t="s">
        <v>540</v>
      </c>
      <c r="E49" s="2457"/>
      <c r="F49" s="2457"/>
      <c r="G49" s="2457"/>
      <c r="H49" s="2457"/>
      <c r="I49" s="2459"/>
      <c r="J49" s="2458"/>
      <c r="K49" s="1281"/>
      <c r="L49" s="1282"/>
      <c r="P49" s="2460"/>
      <c r="Q49" s="2460"/>
      <c r="R49" s="292"/>
      <c r="S49" s="1196"/>
      <c r="T49" s="224" t="s">
        <v>483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6" t="s">
        <v>484</v>
      </c>
      <c r="AU49" s="436"/>
      <c r="AV49" s="436" t="str">
        <f t="shared" si="1"/>
        <v>Добавить значение признака дифференциации</v>
      </c>
      <c r="AW49" s="436"/>
      <c r="AX49" s="436"/>
      <c r="AY49" s="1073">
        <v>20</v>
      </c>
    </row>
    <row r="50" spans="1:51" ht="21.95" customHeight="1">
      <c r="A50" s="1281" t="s">
        <v>253</v>
      </c>
      <c r="B50" s="1281" t="s">
        <v>254</v>
      </c>
      <c r="C50" s="1281" t="s">
        <v>255</v>
      </c>
      <c r="D50" s="1281" t="s">
        <v>540</v>
      </c>
      <c r="E50" s="2457"/>
      <c r="F50" s="2457"/>
      <c r="G50" s="2457"/>
      <c r="H50" s="2457"/>
      <c r="I50" s="2458"/>
      <c r="J50" s="1281"/>
      <c r="K50" s="1281"/>
      <c r="L50" s="1282"/>
      <c r="P50" s="2460"/>
      <c r="Q50" s="1399"/>
      <c r="R50" s="292"/>
      <c r="S50" s="1196"/>
      <c r="T50" s="301" t="s">
        <v>409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253</v>
      </c>
      <c r="B51" s="1281" t="s">
        <v>254</v>
      </c>
      <c r="C51" s="1281" t="s">
        <v>255</v>
      </c>
      <c r="D51" s="1281" t="s">
        <v>540</v>
      </c>
      <c r="E51" s="2457"/>
      <c r="F51" s="2457"/>
      <c r="G51" s="2457"/>
      <c r="H51" s="2456"/>
      <c r="I51" s="1281"/>
      <c r="J51" s="1281"/>
      <c r="K51" s="1281"/>
      <c r="L51" s="1282"/>
      <c r="M51" s="1283"/>
      <c r="N51" s="1283"/>
      <c r="O51" s="473"/>
      <c r="P51" s="296"/>
      <c r="Q51" s="311"/>
      <c r="R51" s="291"/>
      <c r="S51" s="1196"/>
      <c r="T51" s="308" t="s">
        <v>485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034" customFormat="1" ht="0" hidden="1" customHeight="1">
      <c r="A52" s="1261" t="s">
        <v>253</v>
      </c>
      <c r="B52" s="1261" t="s">
        <v>254</v>
      </c>
      <c r="C52" s="1232"/>
      <c r="D52" s="1232"/>
      <c r="E52" s="2457"/>
      <c r="F52" s="2456"/>
      <c r="G52" s="1232"/>
      <c r="H52" s="1232"/>
      <c r="I52" s="1232"/>
      <c r="J52" s="1232"/>
      <c r="K52" s="1232"/>
      <c r="L52" s="1412"/>
      <c r="M52" s="1239"/>
      <c r="N52" s="1239"/>
      <c r="P52" s="1234"/>
      <c r="Q52" s="1235"/>
      <c r="R52" s="1234"/>
      <c r="S52" s="1240"/>
      <c r="T52" s="1243" t="s">
        <v>412</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034" customFormat="1" ht="0" hidden="1" customHeight="1">
      <c r="A53" s="1261" t="s">
        <v>253</v>
      </c>
      <c r="B53" s="1261"/>
      <c r="C53" s="1261"/>
      <c r="D53" s="1261"/>
      <c r="E53" s="2456"/>
      <c r="F53" s="1261"/>
      <c r="G53" s="1261"/>
      <c r="H53" s="1261"/>
      <c r="I53" s="1261"/>
      <c r="J53" s="1261"/>
      <c r="K53" s="1261"/>
      <c r="L53" s="1264"/>
      <c r="M53" s="1239"/>
      <c r="N53" s="1239"/>
      <c r="O53" s="454"/>
      <c r="P53" s="316"/>
      <c r="Q53" s="1262"/>
      <c r="R53" s="316"/>
      <c r="S53" s="1240"/>
      <c r="T53" s="1243" t="s">
        <v>413</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03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445</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455"/>
      <c r="U56" s="2455"/>
      <c r="V56" s="2455"/>
      <c r="W56" s="2455"/>
      <c r="X56" s="2455"/>
      <c r="Y56" s="2455"/>
      <c r="Z56" s="2455"/>
      <c r="AA56" s="2455"/>
      <c r="AB56" s="2455"/>
      <c r="AC56" s="2455"/>
      <c r="AD56" s="2455"/>
      <c r="AE56" s="2455"/>
      <c r="AF56" s="2455"/>
      <c r="AG56" s="2455"/>
      <c r="AH56" s="2455"/>
      <c r="AI56" s="2455"/>
      <c r="AJ56" s="2455"/>
      <c r="AK56" s="2455"/>
      <c r="AL56" s="2455"/>
      <c r="AM56" s="2455"/>
      <c r="AN56" s="2455"/>
      <c r="AO56" s="2455"/>
      <c r="AP56" s="2455"/>
      <c r="AQ56" s="2455"/>
      <c r="AR56" s="2455"/>
      <c r="AS56" s="2455"/>
      <c r="AY56" s="1073">
        <v>14</v>
      </c>
    </row>
    <row r="57" spans="1:51" ht="14.65" customHeight="1">
      <c r="O57" s="473"/>
      <c r="AY57" s="1073">
        <v>14</v>
      </c>
    </row>
    <row r="58" spans="1:51" ht="14.65" customHeight="1">
      <c r="O58" s="473"/>
      <c r="S58" s="1171"/>
      <c r="T58" s="2455"/>
      <c r="U58" s="2455"/>
      <c r="V58" s="2455"/>
      <c r="W58" s="2455"/>
      <c r="X58" s="2455"/>
      <c r="Y58" s="2455"/>
      <c r="Z58" s="2455"/>
      <c r="AA58" s="2455"/>
      <c r="AB58" s="2455"/>
      <c r="AC58" s="2455"/>
      <c r="AD58" s="2455"/>
      <c r="AE58" s="2455"/>
      <c r="AF58" s="2455"/>
      <c r="AG58" s="2455"/>
      <c r="AH58" s="2455"/>
      <c r="AI58" s="2455"/>
      <c r="AJ58" s="2455"/>
      <c r="AK58" s="2455"/>
      <c r="AL58" s="2455"/>
      <c r="AM58" s="2455"/>
      <c r="AN58" s="2455"/>
      <c r="AO58" s="2455"/>
      <c r="AP58" s="2455"/>
      <c r="AQ58" s="2455"/>
      <c r="AR58" s="2455"/>
      <c r="AS58" s="2455"/>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56" hidden="1" customWidth="1"/>
    <col min="2" max="2" width="11" style="2056" hidden="1" customWidth="1"/>
    <col min="3" max="3" width="10.5703125" style="2056" hidden="1"/>
    <col min="4" max="4" width="12.85546875" style="2056" hidden="1" customWidth="1"/>
    <col min="5" max="5" width="10" style="2056" hidden="1" customWidth="1"/>
    <col min="6" max="6" width="8.7109375" style="2056" hidden="1" customWidth="1"/>
    <col min="7" max="7" width="7.5703125" style="2056" hidden="1" customWidth="1"/>
    <col min="8" max="8" width="11.42578125" style="2056" hidden="1" customWidth="1"/>
    <col min="9" max="9" width="12" style="2056" hidden="1" customWidth="1"/>
    <col min="10" max="10" width="9.85546875" style="2056" hidden="1" customWidth="1"/>
    <col min="11" max="11" width="11.42578125" style="2056" hidden="1" customWidth="1"/>
    <col min="12" max="12" width="19.140625" style="2094" hidden="1" customWidth="1"/>
    <col min="13" max="14" width="12.28515625" style="2029" hidden="1" customWidth="1"/>
    <col min="15" max="15" width="23.42578125" style="2029" hidden="1" customWidth="1"/>
    <col min="16" max="16" width="3.7109375" style="2029" hidden="1" customWidth="1"/>
    <col min="17" max="17" width="3.7109375" style="2023" hidden="1" customWidth="1"/>
    <col min="18" max="18" width="3" style="2059" customWidth="1"/>
    <col min="19" max="19" width="12" style="2106" customWidth="1"/>
    <col min="20" max="20" width="31" style="2062" customWidth="1"/>
    <col min="21" max="21" width="0.140625" style="2062" customWidth="1"/>
    <col min="22" max="25" width="21.7109375" style="2062" hidden="1" customWidth="1"/>
    <col min="26" max="26" width="11.7109375" style="2062" hidden="1" customWidth="1"/>
    <col min="27" max="27" width="3.7109375" style="2062" hidden="1" customWidth="1"/>
    <col min="28" max="28" width="11.7109375" style="2062" hidden="1" customWidth="1"/>
    <col min="29" max="29" width="8.5703125" style="2062" hidden="1" customWidth="1"/>
    <col min="30" max="30" width="3.7109375" style="2062" customWidth="1"/>
    <col min="31" max="32" width="3" style="2062" customWidth="1"/>
    <col min="33" max="33" width="24" style="2062" customWidth="1"/>
    <col min="34" max="34" width="3.7109375" style="2062" customWidth="1"/>
    <col min="35" max="36" width="3" style="2062" customWidth="1"/>
    <col min="37" max="37" width="24" style="2062" customWidth="1"/>
    <col min="38" max="38" width="3.7109375" style="2062" customWidth="1"/>
    <col min="39" max="40" width="3" style="2062" customWidth="1"/>
    <col min="41" max="41" width="18" style="2062" customWidth="1"/>
    <col min="42" max="42" width="3.7109375" style="2062" customWidth="1"/>
    <col min="43" max="44" width="3" style="2062" customWidth="1"/>
    <col min="45" max="45" width="18" style="2062" customWidth="1"/>
    <col min="46" max="49" width="21" style="2062" customWidth="1"/>
    <col min="50" max="50" width="11" style="2062" customWidth="1"/>
    <col min="51" max="51" width="3.7109375" style="2062" customWidth="1"/>
    <col min="52" max="52" width="11" style="2062" customWidth="1"/>
    <col min="53" max="53" width="8.5703125" style="2062" hidden="1" customWidth="1"/>
    <col min="54" max="54" width="4" style="2062" customWidth="1"/>
    <col min="55" max="55" width="115" style="2062" customWidth="1"/>
    <col min="56" max="60" width="10" style="2034" customWidth="1"/>
    <col min="61" max="61" width="10.5703125" style="2062" hidden="1"/>
  </cols>
  <sheetData>
    <row r="1" spans="1:61" ht="22.5" hidden="1" customHeight="1">
      <c r="W1" s="264"/>
      <c r="Y1" s="264"/>
      <c r="Z1" s="264"/>
      <c r="AW1" s="264"/>
      <c r="AX1" s="264"/>
      <c r="BI1" s="1073" t="s">
        <v>14</v>
      </c>
    </row>
    <row r="2" spans="1:61" ht="21" hidden="1" customHeight="1">
      <c r="A2" s="1281"/>
      <c r="B2" s="1281"/>
      <c r="C2" s="1281"/>
      <c r="D2" s="1281"/>
      <c r="E2" s="2456">
        <v>1</v>
      </c>
      <c r="F2" s="1281"/>
      <c r="G2" s="1281"/>
      <c r="H2" s="1281"/>
      <c r="I2" s="1281"/>
      <c r="J2" s="1281"/>
      <c r="K2" s="1281"/>
      <c r="L2" s="1282"/>
      <c r="M2" s="1283"/>
      <c r="N2" s="1283"/>
      <c r="O2" s="1283"/>
      <c r="P2" s="1327"/>
      <c r="Q2" s="799"/>
      <c r="R2" s="291"/>
      <c r="S2" s="1411" t="e">
        <f>INDEX(PT_DIFFERENTIATION_NUM_NTAR,MATCH(A2,PT_DIFFERENTIATION_NTAR_ID,0))</f>
        <v>#N/A</v>
      </c>
      <c r="T2" s="235" t="s">
        <v>122</v>
      </c>
      <c r="U2" s="237"/>
      <c r="V2" s="2451"/>
      <c r="W2" s="2451"/>
      <c r="X2" s="2451"/>
      <c r="Y2" s="2451"/>
      <c r="Z2" s="2451"/>
      <c r="AA2" s="2451"/>
      <c r="AB2" s="2451"/>
      <c r="AC2" s="2452"/>
      <c r="AD2" s="2450" t="e">
        <f>INDEX(PT_DIFFERENTIATION_NTAR,MATCH(A2,PT_DIFFERENTIATION_NTAR_ID,0))</f>
        <v>#N/A</v>
      </c>
      <c r="AE2" s="2451"/>
      <c r="AF2" s="2451"/>
      <c r="AG2" s="2451"/>
      <c r="AH2" s="2451"/>
      <c r="AI2" s="2451"/>
      <c r="AJ2" s="2451"/>
      <c r="AK2" s="2451"/>
      <c r="AL2" s="2451"/>
      <c r="AM2" s="2451"/>
      <c r="AN2" s="2451"/>
      <c r="AO2" s="2451"/>
      <c r="AP2" s="2451"/>
      <c r="AQ2" s="2451"/>
      <c r="AR2" s="2451"/>
      <c r="AS2" s="2451"/>
      <c r="AT2" s="2451"/>
      <c r="AU2" s="2451"/>
      <c r="AV2" s="2451"/>
      <c r="AW2" s="2451"/>
      <c r="AX2" s="2451"/>
      <c r="AY2" s="2451"/>
      <c r="AZ2" s="2451"/>
      <c r="BA2" s="2451"/>
      <c r="BB2" s="245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457"/>
      <c r="F3" s="2456">
        <v>1</v>
      </c>
      <c r="G3" s="1281"/>
      <c r="H3" s="1281"/>
      <c r="I3" s="1281"/>
      <c r="J3" s="1281"/>
      <c r="K3" s="1281"/>
      <c r="L3" s="1282"/>
      <c r="M3" s="1283"/>
      <c r="N3" s="1283"/>
      <c r="O3" s="1283"/>
      <c r="P3" s="1328"/>
      <c r="Q3" s="1329"/>
      <c r="R3" s="289"/>
      <c r="S3" s="1411" t="e">
        <f>INDEX(PT_DIFFERENTIATION_NUM_TER,MATCH(B3,PT_DIFFERENTIATION_TER_ID,0))</f>
        <v>#N/A</v>
      </c>
      <c r="T3" s="245" t="s">
        <v>394</v>
      </c>
      <c r="U3" s="237"/>
      <c r="V3" s="2451"/>
      <c r="W3" s="2451"/>
      <c r="X3" s="2451"/>
      <c r="Y3" s="2451"/>
      <c r="Z3" s="2451"/>
      <c r="AA3" s="2451"/>
      <c r="AB3" s="2451"/>
      <c r="AC3" s="2452"/>
      <c r="AD3" s="2450" t="e">
        <f>INDEX(PT_DIFFERENTIATION_TER,MATCH(B3,PT_DIFFERENTIATION_TER_ID,0))</f>
        <v>#N/A</v>
      </c>
      <c r="AE3" s="2451"/>
      <c r="AF3" s="2451"/>
      <c r="AG3" s="2451"/>
      <c r="AH3" s="2451"/>
      <c r="AI3" s="2451"/>
      <c r="AJ3" s="2451"/>
      <c r="AK3" s="2451"/>
      <c r="AL3" s="2451"/>
      <c r="AM3" s="2451"/>
      <c r="AN3" s="2451"/>
      <c r="AO3" s="2451"/>
      <c r="AP3" s="2451"/>
      <c r="AQ3" s="2451"/>
      <c r="AR3" s="2451"/>
      <c r="AS3" s="2451"/>
      <c r="AT3" s="2451"/>
      <c r="AU3" s="2451"/>
      <c r="AV3" s="2451"/>
      <c r="AW3" s="2451"/>
      <c r="AX3" s="2451"/>
      <c r="AY3" s="2451"/>
      <c r="AZ3" s="2451"/>
      <c r="BA3" s="2451"/>
      <c r="BB3" s="2452"/>
      <c r="BC3" s="1176" t="s">
        <v>395</v>
      </c>
      <c r="BE3" s="436"/>
      <c r="BF3" s="436" t="str">
        <f t="shared" si="0"/>
        <v>Территория действия тарифа</v>
      </c>
      <c r="BG3" s="436"/>
      <c r="BH3" s="436"/>
      <c r="BI3" s="1073">
        <v>0</v>
      </c>
    </row>
    <row r="4" spans="1:61" ht="33.75" hidden="1" customHeight="1">
      <c r="A4" s="1281"/>
      <c r="B4" s="1281"/>
      <c r="C4" s="1281"/>
      <c r="D4" s="1281"/>
      <c r="E4" s="2457"/>
      <c r="F4" s="2457"/>
      <c r="G4" s="2456">
        <v>1</v>
      </c>
      <c r="H4" s="1281"/>
      <c r="I4" s="1281"/>
      <c r="J4" s="1281"/>
      <c r="K4" s="1281"/>
      <c r="L4" s="1282"/>
      <c r="M4" s="1283"/>
      <c r="N4" s="1283"/>
      <c r="O4" s="1283"/>
      <c r="P4" s="1330"/>
      <c r="Q4" s="1329"/>
      <c r="R4" s="289"/>
      <c r="S4" s="1411" t="e">
        <f>INDEX(PT_DIFFERENTIATION_NUM_CS,MATCH(C4,PT_DIFFERENTIATION_CS_ID,0))</f>
        <v>#N/A</v>
      </c>
      <c r="T4" s="246" t="s">
        <v>527</v>
      </c>
      <c r="U4" s="237"/>
      <c r="V4" s="2451"/>
      <c r="W4" s="2451"/>
      <c r="X4" s="2451"/>
      <c r="Y4" s="2451"/>
      <c r="Z4" s="2451"/>
      <c r="AA4" s="2451"/>
      <c r="AB4" s="2451"/>
      <c r="AC4" s="2452"/>
      <c r="AD4" s="2450" t="e">
        <f>INDEX(PT_DIFFERENTIATION_CS,MATCH(C4,PT_DIFFERENTIATION_CS_ID,0))</f>
        <v>#N/A</v>
      </c>
      <c r="AE4" s="2451"/>
      <c r="AF4" s="2451"/>
      <c r="AG4" s="2451"/>
      <c r="AH4" s="2451"/>
      <c r="AI4" s="2451"/>
      <c r="AJ4" s="2451"/>
      <c r="AK4" s="2451"/>
      <c r="AL4" s="2451"/>
      <c r="AM4" s="2451"/>
      <c r="AN4" s="2451"/>
      <c r="AO4" s="2451"/>
      <c r="AP4" s="2451"/>
      <c r="AQ4" s="2451"/>
      <c r="AR4" s="2451"/>
      <c r="AS4" s="2451"/>
      <c r="AT4" s="2451"/>
      <c r="AU4" s="2451"/>
      <c r="AV4" s="2451"/>
      <c r="AW4" s="2451"/>
      <c r="AX4" s="2451"/>
      <c r="AY4" s="2451"/>
      <c r="AZ4" s="2451"/>
      <c r="BA4" s="2451"/>
      <c r="BB4" s="2452"/>
      <c r="BC4" s="1176" t="s">
        <v>528</v>
      </c>
      <c r="BE4" s="436"/>
      <c r="BF4" s="436" t="str">
        <f t="shared" si="0"/>
        <v>Наименование централизованной системы горячего водоснабжения</v>
      </c>
      <c r="BG4" s="436"/>
      <c r="BH4" s="436"/>
      <c r="BI4" s="1073">
        <v>0</v>
      </c>
    </row>
    <row r="5" spans="1:61" s="2034" customFormat="1" ht="14.25" hidden="1" customHeight="1">
      <c r="A5" s="1261"/>
      <c r="B5" s="1261"/>
      <c r="C5" s="1261"/>
      <c r="D5" s="1261"/>
      <c r="E5" s="2457"/>
      <c r="F5" s="2457"/>
      <c r="G5" s="2457"/>
      <c r="H5" s="2456">
        <v>1</v>
      </c>
      <c r="I5" s="1261"/>
      <c r="J5" s="1261"/>
      <c r="K5" s="1261"/>
      <c r="L5" s="1264"/>
      <c r="M5" s="1233"/>
      <c r="N5" s="1233"/>
      <c r="O5" s="1233"/>
      <c r="P5" s="1415"/>
      <c r="Q5" s="1416"/>
      <c r="R5" s="293"/>
      <c r="S5" s="965"/>
      <c r="T5" s="1417"/>
      <c r="U5" s="1302"/>
      <c r="V5" s="2488"/>
      <c r="W5" s="2488"/>
      <c r="X5" s="2488"/>
      <c r="Y5" s="2488"/>
      <c r="Z5" s="2488"/>
      <c r="AA5" s="2488"/>
      <c r="AB5" s="2488"/>
      <c r="AC5" s="2489"/>
      <c r="AD5" s="2487"/>
      <c r="AE5" s="2488"/>
      <c r="AF5" s="2488"/>
      <c r="AG5" s="2488"/>
      <c r="AH5" s="2488"/>
      <c r="AI5" s="2488"/>
      <c r="AJ5" s="2488"/>
      <c r="AK5" s="2488"/>
      <c r="AL5" s="2488"/>
      <c r="AM5" s="2488"/>
      <c r="AN5" s="2488"/>
      <c r="AO5" s="2488"/>
      <c r="AP5" s="2488"/>
      <c r="AQ5" s="2488"/>
      <c r="AR5" s="2488"/>
      <c r="AS5" s="2488"/>
      <c r="AT5" s="2488"/>
      <c r="AU5" s="2488"/>
      <c r="AV5" s="2488"/>
      <c r="AW5" s="2488"/>
      <c r="AX5" s="2488"/>
      <c r="AY5" s="2488"/>
      <c r="AZ5" s="2488"/>
      <c r="BA5" s="2488"/>
      <c r="BB5" s="2489"/>
      <c r="BC5" s="1303" t="s">
        <v>399</v>
      </c>
      <c r="BE5" s="436"/>
      <c r="BF5" s="436" t="str">
        <f t="shared" si="0"/>
        <v/>
      </c>
      <c r="BG5" s="436"/>
      <c r="BH5" s="436"/>
      <c r="BI5" s="447">
        <v>0</v>
      </c>
    </row>
    <row r="6" spans="1:61" s="2034" customFormat="1" ht="14.25" hidden="1" customHeight="1">
      <c r="A6" s="1261"/>
      <c r="B6" s="1261"/>
      <c r="C6" s="1261"/>
      <c r="D6" s="1261"/>
      <c r="E6" s="2457"/>
      <c r="F6" s="2457"/>
      <c r="G6" s="2457"/>
      <c r="H6" s="2457"/>
      <c r="I6" s="2458" t="str">
        <f>S5&amp;".1"</f>
        <v>.1</v>
      </c>
      <c r="J6" s="1261"/>
      <c r="K6" s="1261"/>
      <c r="L6" s="1264" t="s">
        <v>400</v>
      </c>
      <c r="M6" s="446"/>
      <c r="N6" s="446"/>
      <c r="O6" s="446"/>
      <c r="P6" s="2460">
        <v>1</v>
      </c>
      <c r="Q6" s="1399"/>
      <c r="R6" s="292"/>
      <c r="S6" s="965"/>
      <c r="T6" s="1301"/>
      <c r="U6" s="1302"/>
      <c r="V6" s="2488"/>
      <c r="W6" s="2488"/>
      <c r="X6" s="2488"/>
      <c r="Y6" s="2488"/>
      <c r="Z6" s="2488"/>
      <c r="AA6" s="2488"/>
      <c r="AB6" s="2488"/>
      <c r="AC6" s="2489"/>
      <c r="AD6" s="2487"/>
      <c r="AE6" s="2488"/>
      <c r="AF6" s="2488"/>
      <c r="AG6" s="2488"/>
      <c r="AH6" s="2488"/>
      <c r="AI6" s="2488"/>
      <c r="AJ6" s="2488"/>
      <c r="AK6" s="2488"/>
      <c r="AL6" s="2488"/>
      <c r="AM6" s="2488"/>
      <c r="AN6" s="2488"/>
      <c r="AO6" s="2488"/>
      <c r="AP6" s="2488"/>
      <c r="AQ6" s="2488"/>
      <c r="AR6" s="2488"/>
      <c r="AS6" s="2488"/>
      <c r="AT6" s="2488"/>
      <c r="AU6" s="2488"/>
      <c r="AV6" s="2488"/>
      <c r="AW6" s="2488"/>
      <c r="AX6" s="2488"/>
      <c r="AY6" s="2488"/>
      <c r="AZ6" s="2488"/>
      <c r="BA6" s="2488"/>
      <c r="BB6" s="2489"/>
      <c r="BC6" s="1303"/>
      <c r="BE6" s="436"/>
      <c r="BF6" s="436" t="str">
        <f t="shared" si="0"/>
        <v/>
      </c>
      <c r="BG6" s="436"/>
      <c r="BH6" s="436"/>
      <c r="BI6" s="447">
        <v>0</v>
      </c>
    </row>
    <row r="7" spans="1:61" s="2034" customFormat="1" ht="14.25" hidden="1" customHeight="1">
      <c r="A7" s="1261"/>
      <c r="B7" s="1261"/>
      <c r="C7" s="1261"/>
      <c r="D7" s="1261"/>
      <c r="E7" s="2457"/>
      <c r="F7" s="2457"/>
      <c r="G7" s="2457"/>
      <c r="H7" s="2457"/>
      <c r="I7" s="2459"/>
      <c r="J7" s="2458" t="str">
        <f>S5&amp;".1"</f>
        <v>.1</v>
      </c>
      <c r="K7" s="1261"/>
      <c r="L7" s="1264"/>
      <c r="M7" s="446"/>
      <c r="N7" s="446"/>
      <c r="O7" s="446"/>
      <c r="P7" s="2460"/>
      <c r="Q7" s="2460">
        <v>1</v>
      </c>
      <c r="R7" s="293"/>
      <c r="S7" s="965"/>
      <c r="T7" s="1317"/>
      <c r="U7" s="1302"/>
      <c r="V7" s="2488"/>
      <c r="W7" s="2488"/>
      <c r="X7" s="2488"/>
      <c r="Y7" s="2488"/>
      <c r="Z7" s="2488"/>
      <c r="AA7" s="2488"/>
      <c r="AB7" s="2488"/>
      <c r="AC7" s="2489"/>
      <c r="AD7" s="2487"/>
      <c r="AE7" s="2488"/>
      <c r="AF7" s="2488"/>
      <c r="AG7" s="2488"/>
      <c r="AH7" s="2488"/>
      <c r="AI7" s="2488"/>
      <c r="AJ7" s="2488"/>
      <c r="AK7" s="2488"/>
      <c r="AL7" s="2488"/>
      <c r="AM7" s="2488"/>
      <c r="AN7" s="2488"/>
      <c r="AO7" s="2488"/>
      <c r="AP7" s="2488"/>
      <c r="AQ7" s="2488"/>
      <c r="AR7" s="2488"/>
      <c r="AS7" s="2488"/>
      <c r="AT7" s="2488"/>
      <c r="AU7" s="2488"/>
      <c r="AV7" s="2488"/>
      <c r="AW7" s="2488"/>
      <c r="AX7" s="2488"/>
      <c r="AY7" s="2488"/>
      <c r="AZ7" s="2488"/>
      <c r="BA7" s="2488"/>
      <c r="BB7" s="2489"/>
      <c r="BC7" s="1303"/>
      <c r="BE7" s="436"/>
      <c r="BF7" s="436" t="str">
        <f t="shared" si="0"/>
        <v/>
      </c>
      <c r="BG7" s="436"/>
      <c r="BH7" s="436"/>
      <c r="BI7" s="447">
        <v>0</v>
      </c>
    </row>
    <row r="8" spans="1:61" ht="11.25" hidden="1" customHeight="1">
      <c r="A8" s="1281"/>
      <c r="B8" s="1281"/>
      <c r="C8" s="1281"/>
      <c r="D8" s="1281"/>
      <c r="E8" s="2457"/>
      <c r="F8" s="2457"/>
      <c r="G8" s="2457"/>
      <c r="H8" s="2457"/>
      <c r="I8" s="2459"/>
      <c r="J8" s="2459"/>
      <c r="K8" s="2458" t="e">
        <f>S4&amp;".1"</f>
        <v>#N/A</v>
      </c>
      <c r="L8" s="1282"/>
      <c r="P8" s="2460"/>
      <c r="Q8" s="2460"/>
      <c r="R8" s="2516">
        <v>1</v>
      </c>
      <c r="S8" s="2513" t="e">
        <f>$K8</f>
        <v>#N/A</v>
      </c>
      <c r="T8" s="2533"/>
      <c r="U8" s="237"/>
      <c r="V8" s="687"/>
      <c r="W8" s="1175"/>
      <c r="X8" s="687"/>
      <c r="Y8" s="1175"/>
      <c r="Z8" s="1651"/>
      <c r="AA8" s="1387" t="s">
        <v>67</v>
      </c>
      <c r="AB8" s="1651"/>
      <c r="AC8" s="1387" t="s">
        <v>67</v>
      </c>
      <c r="AD8" s="2400" t="s">
        <v>67</v>
      </c>
      <c r="AE8" s="2509"/>
      <c r="AF8" s="2413">
        <v>1</v>
      </c>
      <c r="AG8" s="2532"/>
      <c r="AH8" s="2338" t="s">
        <v>67</v>
      </c>
      <c r="AI8" s="2509"/>
      <c r="AJ8" s="2413">
        <v>1</v>
      </c>
      <c r="AK8" s="2523" t="s">
        <v>22</v>
      </c>
      <c r="AL8" s="2338" t="s">
        <v>67</v>
      </c>
      <c r="AM8" s="2388"/>
      <c r="AN8" s="2413">
        <v>1</v>
      </c>
      <c r="AO8" s="2536"/>
      <c r="AP8" s="2537" t="s">
        <v>67</v>
      </c>
      <c r="AQ8" s="248"/>
      <c r="AR8" s="1404">
        <v>1</v>
      </c>
      <c r="AS8" s="1410" t="s">
        <v>22</v>
      </c>
      <c r="AT8" s="687"/>
      <c r="AU8" s="1175"/>
      <c r="AV8" s="687"/>
      <c r="AW8" s="1175"/>
      <c r="AX8" s="1651"/>
      <c r="AY8" s="1387" t="s">
        <v>67</v>
      </c>
      <c r="AZ8" s="1651"/>
      <c r="BA8" s="1387" t="s">
        <v>67</v>
      </c>
      <c r="BB8" s="1266"/>
      <c r="BC8" s="2479" t="s">
        <v>498</v>
      </c>
      <c r="BE8" s="436"/>
      <c r="BF8" s="436" t="str">
        <f t="shared" si="0"/>
        <v/>
      </c>
      <c r="BG8" s="436"/>
      <c r="BH8" s="436"/>
      <c r="BI8" s="1073">
        <v>0</v>
      </c>
    </row>
    <row r="9" spans="1:61" ht="11.25" hidden="1" customHeight="1">
      <c r="A9" s="1281"/>
      <c r="B9" s="1281"/>
      <c r="C9" s="1281"/>
      <c r="D9" s="1281"/>
      <c r="E9" s="2457"/>
      <c r="F9" s="2457"/>
      <c r="G9" s="2457"/>
      <c r="H9" s="2457"/>
      <c r="I9" s="2459"/>
      <c r="J9" s="2459"/>
      <c r="K9" s="2458"/>
      <c r="L9" s="1282"/>
      <c r="P9" s="2460"/>
      <c r="Q9" s="2460"/>
      <c r="R9" s="2516"/>
      <c r="S9" s="2514"/>
      <c r="T9" s="2534"/>
      <c r="U9" s="237"/>
      <c r="V9" s="1311"/>
      <c r="W9" s="1414"/>
      <c r="X9" s="1311"/>
      <c r="Y9" s="1414"/>
      <c r="Z9" s="1311"/>
      <c r="AA9" s="1311"/>
      <c r="AB9" s="1311"/>
      <c r="AC9" s="1311"/>
      <c r="AD9" s="2401"/>
      <c r="AE9" s="2509"/>
      <c r="AF9" s="2413"/>
      <c r="AG9" s="2532"/>
      <c r="AH9" s="2338"/>
      <c r="AI9" s="2509"/>
      <c r="AJ9" s="2413"/>
      <c r="AK9" s="2523"/>
      <c r="AL9" s="2338"/>
      <c r="AM9" s="2393"/>
      <c r="AN9" s="2413"/>
      <c r="AO9" s="2536"/>
      <c r="AP9" s="2538"/>
      <c r="AQ9" s="253"/>
      <c r="AR9" s="352"/>
      <c r="AS9" s="352" t="s">
        <v>499</v>
      </c>
      <c r="AT9" s="1311"/>
      <c r="AU9" s="1414"/>
      <c r="AV9" s="1311"/>
      <c r="AW9" s="1414"/>
      <c r="AX9" s="1311"/>
      <c r="AY9" s="1311"/>
      <c r="AZ9" s="1311"/>
      <c r="BA9" s="1311"/>
      <c r="BB9" s="1315"/>
      <c r="BC9" s="2480"/>
      <c r="BE9" s="436"/>
      <c r="BF9" s="436"/>
      <c r="BG9" s="436"/>
      <c r="BH9" s="436"/>
      <c r="BI9" s="1073">
        <v>0</v>
      </c>
    </row>
    <row r="10" spans="1:61" ht="11.25" hidden="1" customHeight="1">
      <c r="A10" s="1281"/>
      <c r="B10" s="1281"/>
      <c r="C10" s="1281"/>
      <c r="D10" s="1281"/>
      <c r="E10" s="2457"/>
      <c r="F10" s="2457"/>
      <c r="G10" s="2457"/>
      <c r="H10" s="2457"/>
      <c r="I10" s="2459"/>
      <c r="J10" s="2459"/>
      <c r="K10" s="2458"/>
      <c r="L10" s="1282"/>
      <c r="P10" s="2460"/>
      <c r="Q10" s="2460"/>
      <c r="R10" s="2516"/>
      <c r="S10" s="2514"/>
      <c r="T10" s="2534"/>
      <c r="U10" s="237"/>
      <c r="V10" s="1311"/>
      <c r="W10" s="1414"/>
      <c r="X10" s="1311"/>
      <c r="Y10" s="1414"/>
      <c r="Z10" s="1311"/>
      <c r="AA10" s="1311"/>
      <c r="AB10" s="1311"/>
      <c r="AC10" s="1311"/>
      <c r="AD10" s="2401"/>
      <c r="AE10" s="2509"/>
      <c r="AF10" s="2413"/>
      <c r="AG10" s="2532"/>
      <c r="AH10" s="2338"/>
      <c r="AI10" s="2509"/>
      <c r="AJ10" s="2413"/>
      <c r="AK10" s="2523"/>
      <c r="AL10" s="2338"/>
      <c r="AM10" s="253"/>
      <c r="AN10" s="1418"/>
      <c r="AO10" s="1418" t="s">
        <v>500</v>
      </c>
      <c r="AP10" s="352"/>
      <c r="AQ10" s="352"/>
      <c r="AR10" s="352"/>
      <c r="AS10" s="1311"/>
      <c r="AT10" s="1311"/>
      <c r="AU10" s="1414"/>
      <c r="AV10" s="1311"/>
      <c r="AW10" s="1414"/>
      <c r="AX10" s="1311"/>
      <c r="AY10" s="1311"/>
      <c r="AZ10" s="1311"/>
      <c r="BA10" s="1311"/>
      <c r="BB10" s="1315"/>
      <c r="BC10" s="2480"/>
      <c r="BE10" s="436"/>
      <c r="BF10" s="436"/>
      <c r="BG10" s="436"/>
      <c r="BH10" s="436"/>
      <c r="BI10" s="1073">
        <v>0</v>
      </c>
    </row>
    <row r="11" spans="1:61" ht="11.25" hidden="1" customHeight="1">
      <c r="A11" s="1281"/>
      <c r="B11" s="1281"/>
      <c r="C11" s="1281"/>
      <c r="D11" s="1281"/>
      <c r="E11" s="2457"/>
      <c r="F11" s="2457"/>
      <c r="G11" s="2457"/>
      <c r="H11" s="2457"/>
      <c r="I11" s="2459"/>
      <c r="J11" s="2459"/>
      <c r="K11" s="2458"/>
      <c r="L11" s="1282"/>
      <c r="P11" s="2460"/>
      <c r="Q11" s="2460"/>
      <c r="R11" s="2516"/>
      <c r="S11" s="2514"/>
      <c r="T11" s="2534"/>
      <c r="U11" s="237"/>
      <c r="V11" s="1311"/>
      <c r="W11" s="1414"/>
      <c r="X11" s="1311"/>
      <c r="Y11" s="1414"/>
      <c r="Z11" s="1311"/>
      <c r="AA11" s="1311"/>
      <c r="AB11" s="1311"/>
      <c r="AC11" s="1311"/>
      <c r="AD11" s="2401"/>
      <c r="AE11" s="2509"/>
      <c r="AF11" s="2413"/>
      <c r="AG11" s="2532"/>
      <c r="AH11" s="2338"/>
      <c r="AI11" s="231"/>
      <c r="AJ11" s="351"/>
      <c r="AK11" s="250" t="s">
        <v>501</v>
      </c>
      <c r="AL11" s="1311"/>
      <c r="AM11" s="1311"/>
      <c r="AN11" s="1311"/>
      <c r="AO11" s="1311"/>
      <c r="AP11" s="1311"/>
      <c r="AQ11" s="1311"/>
      <c r="AR11" s="1311"/>
      <c r="AS11" s="1311"/>
      <c r="AT11" s="1311"/>
      <c r="AU11" s="1414"/>
      <c r="AV11" s="1311"/>
      <c r="AW11" s="1414"/>
      <c r="AX11" s="1311"/>
      <c r="AY11" s="1311"/>
      <c r="AZ11" s="1311"/>
      <c r="BA11" s="1311"/>
      <c r="BB11" s="1315"/>
      <c r="BC11" s="2480"/>
      <c r="BE11" s="436"/>
      <c r="BF11" s="436"/>
      <c r="BG11" s="436"/>
      <c r="BH11" s="436"/>
      <c r="BI11" s="1073">
        <v>0</v>
      </c>
    </row>
    <row r="12" spans="1:61" ht="11.25" hidden="1" customHeight="1">
      <c r="A12" s="1281"/>
      <c r="B12" s="1281"/>
      <c r="C12" s="1281"/>
      <c r="D12" s="1281"/>
      <c r="E12" s="2457"/>
      <c r="F12" s="2457"/>
      <c r="G12" s="2457"/>
      <c r="H12" s="2457"/>
      <c r="I12" s="2459"/>
      <c r="J12" s="2459"/>
      <c r="K12" s="2458"/>
      <c r="L12" s="1282"/>
      <c r="P12" s="2460"/>
      <c r="Q12" s="2460"/>
      <c r="R12" s="2516"/>
      <c r="S12" s="2515"/>
      <c r="T12" s="2535"/>
      <c r="U12" s="237"/>
      <c r="V12" s="1311"/>
      <c r="W12" s="1312" t="str">
        <f>Z8&amp;"-"&amp;AB8</f>
        <v>-</v>
      </c>
      <c r="X12" s="1311"/>
      <c r="Y12" s="1312" t="str">
        <f>AB8&amp;"-"&amp;AD8</f>
        <v>-да</v>
      </c>
      <c r="Z12" s="1311"/>
      <c r="AA12" s="1311"/>
      <c r="AB12" s="1311"/>
      <c r="AC12" s="1311"/>
      <c r="AD12" s="2343"/>
      <c r="AE12" s="249"/>
      <c r="AF12" s="251"/>
      <c r="AG12" s="352" t="s">
        <v>502</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480"/>
      <c r="BE12" s="436"/>
      <c r="BF12" s="436" t="str">
        <f t="shared" ref="BF12:BF18" si="1">IF(T12="","",T12)</f>
        <v/>
      </c>
      <c r="BG12" s="436"/>
      <c r="BH12" s="436"/>
      <c r="BI12" s="1073">
        <v>0</v>
      </c>
    </row>
    <row r="13" spans="1:61" ht="11.25" hidden="1" customHeight="1">
      <c r="A13" s="1281"/>
      <c r="B13" s="1281"/>
      <c r="C13" s="1281"/>
      <c r="D13" s="1281"/>
      <c r="E13" s="2457"/>
      <c r="F13" s="2457"/>
      <c r="G13" s="2457"/>
      <c r="H13" s="2457"/>
      <c r="I13" s="2459"/>
      <c r="J13" s="2458"/>
      <c r="K13" s="1281"/>
      <c r="L13" s="1282"/>
      <c r="P13" s="2460"/>
      <c r="Q13" s="2460"/>
      <c r="R13" s="292"/>
      <c r="S13" s="1196"/>
      <c r="T13" s="224" t="s">
        <v>465</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81"/>
      <c r="BE13" s="436"/>
      <c r="BF13" s="436" t="str">
        <f t="shared" si="1"/>
        <v>Добавить строку</v>
      </c>
      <c r="BG13" s="436"/>
      <c r="BH13" s="436"/>
      <c r="BI13" s="1073">
        <v>0</v>
      </c>
    </row>
    <row r="14" spans="1:61" s="2034" customFormat="1" ht="14.25" hidden="1" customHeight="1">
      <c r="A14" s="1261"/>
      <c r="B14" s="1261"/>
      <c r="C14" s="1261"/>
      <c r="D14" s="1261"/>
      <c r="E14" s="2457"/>
      <c r="F14" s="2457"/>
      <c r="G14" s="2457"/>
      <c r="H14" s="2457"/>
      <c r="I14" s="2458"/>
      <c r="J14" s="1261"/>
      <c r="K14" s="1261"/>
      <c r="L14" s="1264"/>
      <c r="M14" s="446"/>
      <c r="N14" s="446"/>
      <c r="O14" s="446"/>
      <c r="P14" s="2460"/>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034" customFormat="1" ht="14.25" hidden="1" customHeight="1">
      <c r="A15" s="1261"/>
      <c r="B15" s="1261"/>
      <c r="C15" s="1261"/>
      <c r="D15" s="1261"/>
      <c r="E15" s="2457"/>
      <c r="F15" s="2457"/>
      <c r="G15" s="2457"/>
      <c r="H15" s="2456"/>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034" customFormat="1" ht="14.25" hidden="1" customHeight="1">
      <c r="A16" s="1261"/>
      <c r="B16" s="1261"/>
      <c r="C16" s="1261"/>
      <c r="D16" s="1232"/>
      <c r="E16" s="2457"/>
      <c r="F16" s="2457"/>
      <c r="G16" s="245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034" customFormat="1" ht="14.25" hidden="1" customHeight="1">
      <c r="A17" s="1261"/>
      <c r="B17" s="1261"/>
      <c r="C17" s="1232"/>
      <c r="D17" s="1232"/>
      <c r="E17" s="2457"/>
      <c r="F17" s="2456"/>
      <c r="G17" s="1232"/>
      <c r="H17" s="1232"/>
      <c r="I17" s="1232"/>
      <c r="J17" s="1232"/>
      <c r="K17" s="1232"/>
      <c r="L17" s="1412"/>
      <c r="M17" s="1239"/>
      <c r="N17" s="1239"/>
      <c r="P17" s="1234"/>
      <c r="Q17" s="1235"/>
      <c r="R17" s="1234"/>
      <c r="S17" s="1240"/>
      <c r="T17" s="1243" t="s">
        <v>412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034" customFormat="1" ht="14.25" hidden="1" customHeight="1">
      <c r="A18" s="1261"/>
      <c r="B18" s="1261"/>
      <c r="C18" s="1261"/>
      <c r="D18" s="1261"/>
      <c r="E18" s="2456"/>
      <c r="F18" s="1261"/>
      <c r="G18" s="1261"/>
      <c r="H18" s="1261"/>
      <c r="I18" s="1261"/>
      <c r="J18" s="1261"/>
      <c r="K18" s="1261"/>
      <c r="L18" s="1264"/>
      <c r="M18" s="1239"/>
      <c r="N18" s="1239"/>
      <c r="O18" s="454"/>
      <c r="P18" s="316"/>
      <c r="Q18" s="1262"/>
      <c r="R18" s="316"/>
      <c r="S18" s="1240"/>
      <c r="T18" s="1243" t="s">
        <v>413</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67</v>
      </c>
      <c r="AZ20" s="1653"/>
      <c r="BA20" s="1403" t="s">
        <v>67</v>
      </c>
      <c r="BI20" s="1073">
        <v>0</v>
      </c>
    </row>
    <row r="21" spans="1:61" ht="14.25" hidden="1" customHeight="1">
      <c r="BD21" s="432"/>
      <c r="BE21" s="432"/>
      <c r="BF21" s="432"/>
      <c r="BG21" s="432"/>
      <c r="BH21" s="432"/>
      <c r="BI21" s="1073">
        <v>0</v>
      </c>
    </row>
    <row r="22" spans="1:61" ht="14.25" hidden="1" customHeight="1">
      <c r="O22" s="1285" t="s">
        <v>414</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030" customFormat="1" ht="14.25" hidden="1" customHeight="1">
      <c r="M24" s="1426"/>
      <c r="N24" s="1426"/>
      <c r="O24" s="1427" t="s">
        <v>415</v>
      </c>
      <c r="P24" s="1426"/>
      <c r="Q24" s="1428"/>
      <c r="R24" s="1428"/>
      <c r="AA24" s="1425" t="s">
        <v>417</v>
      </c>
      <c r="AC24" s="1425" t="s">
        <v>418</v>
      </c>
      <c r="AD24" s="1425" t="s">
        <v>466</v>
      </c>
      <c r="AH24" s="1425" t="s">
        <v>466</v>
      </c>
      <c r="AK24" s="1425" t="s">
        <v>503</v>
      </c>
      <c r="AL24" s="1425" t="s">
        <v>466</v>
      </c>
      <c r="AP24" s="1425" t="s">
        <v>466</v>
      </c>
      <c r="AY24" s="1425" t="s">
        <v>417</v>
      </c>
      <c r="BA24" s="1425" t="s">
        <v>418</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43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2437"/>
      <c r="AT28" s="2437"/>
      <c r="AU28" s="2437"/>
      <c r="AV28" s="2437"/>
      <c r="AW28" s="2437"/>
      <c r="AX28" s="2437"/>
      <c r="AY28" s="2437"/>
      <c r="AZ28" s="2437"/>
      <c r="BA28" s="1161"/>
      <c r="BI28" s="1073">
        <v>14</v>
      </c>
    </row>
    <row r="29" spans="1:61" ht="14.65" customHeight="1">
      <c r="Q29" s="228"/>
      <c r="R29" s="312"/>
      <c r="S29" s="2409" t="str">
        <f>IF(org=0,"Не определено",org)</f>
        <v>ПАО "ТГК-1" филиал "Невский"</v>
      </c>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409"/>
      <c r="AT29" s="2409"/>
      <c r="AU29" s="2409"/>
      <c r="AV29" s="2409"/>
      <c r="AW29" s="2409"/>
      <c r="AX29" s="2409"/>
      <c r="AY29" s="2409"/>
      <c r="AZ29" s="2409"/>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098" customFormat="1" ht="25.5" hidden="1" customHeight="1">
      <c r="A31" s="1286"/>
      <c r="B31" s="1286"/>
      <c r="C31" s="1286"/>
      <c r="D31" s="1286"/>
      <c r="E31" s="1286"/>
      <c r="F31" s="1286"/>
      <c r="G31" s="1286"/>
      <c r="H31" s="1286"/>
      <c r="I31" s="1286"/>
      <c r="J31" s="1286"/>
      <c r="K31" s="1286"/>
      <c r="L31" s="1287"/>
      <c r="M31" s="1286"/>
      <c r="N31" s="1286"/>
      <c r="O31" s="1286"/>
      <c r="P31" s="1286"/>
      <c r="Q31" s="1286"/>
      <c r="S31" s="2447" t="s">
        <v>43</v>
      </c>
      <c r="T31" s="2447"/>
      <c r="U31" s="1290"/>
      <c r="V31" s="2449" t="str">
        <f>IF(TITLE_NAME_OR_PR_CHANGE="",IF(TITLE_NAME_OR_PR="","",TITLE_NAME_OR_PR),TITLE_NAME_OR_PR_CHANGE)</f>
        <v/>
      </c>
      <c r="W31" s="2449"/>
      <c r="X31" s="2449"/>
      <c r="Y31" s="2449"/>
      <c r="Z31" s="2449"/>
      <c r="AA31" s="2449"/>
      <c r="AB31" s="2449"/>
      <c r="AC31" s="263"/>
      <c r="AD31" s="2449" t="str">
        <f>IF(TITLE_NAME_OR_PR_CHANGE="",IF(TITLE_NAME_OR_PR="","",TITLE_NAME_OR_PR),TITLE_NAME_OR_PR_CHANGE)</f>
        <v/>
      </c>
      <c r="AE31" s="2449"/>
      <c r="AF31" s="2449"/>
      <c r="AG31" s="2449"/>
      <c r="AH31" s="2449"/>
      <c r="AI31" s="2449"/>
      <c r="AJ31" s="2449"/>
      <c r="AK31" s="2449"/>
      <c r="AL31" s="2449"/>
      <c r="AM31" s="2449"/>
      <c r="AN31" s="2449"/>
      <c r="AO31" s="2449"/>
      <c r="AP31" s="2449"/>
      <c r="AQ31" s="2449"/>
      <c r="AR31" s="2449"/>
      <c r="AS31" s="2449"/>
      <c r="AT31" s="2449"/>
      <c r="AU31" s="2449"/>
      <c r="AV31" s="2449"/>
      <c r="AW31" s="2449"/>
      <c r="AX31" s="2449"/>
      <c r="AY31" s="2449"/>
      <c r="AZ31" s="2449"/>
      <c r="BA31" s="263"/>
      <c r="BB31" s="263"/>
      <c r="BC31" s="217"/>
      <c r="BD31" s="304"/>
      <c r="BE31" s="304"/>
      <c r="BF31" s="304"/>
      <c r="BG31" s="304"/>
      <c r="BH31" s="304"/>
      <c r="BI31" s="354">
        <v>0</v>
      </c>
    </row>
    <row r="32" spans="1:61" s="2098" customFormat="1" ht="18.75" hidden="1" customHeight="1">
      <c r="A32" s="1286"/>
      <c r="B32" s="1286"/>
      <c r="C32" s="1286"/>
      <c r="D32" s="1286"/>
      <c r="E32" s="1286"/>
      <c r="F32" s="1286"/>
      <c r="G32" s="1286"/>
      <c r="H32" s="1286"/>
      <c r="I32" s="1286"/>
      <c r="J32" s="1286"/>
      <c r="K32" s="1286"/>
      <c r="L32" s="1287"/>
      <c r="M32" s="1286"/>
      <c r="N32" s="1286"/>
      <c r="O32" s="1286"/>
      <c r="P32" s="1286"/>
      <c r="Q32" s="1286"/>
      <c r="S32" s="2447" t="s">
        <v>420</v>
      </c>
      <c r="T32" s="2447"/>
      <c r="U32" s="1290"/>
      <c r="V32" s="2448" t="str">
        <f>IF(TITLE_DATE_PR_CHANGE="",IF(TITLE_DATE_PR="","",TITLE_DATE_PR),TITLE_DATE_PR_CHANGE)</f>
        <v/>
      </c>
      <c r="W32" s="2448"/>
      <c r="X32" s="2448"/>
      <c r="Y32" s="2448"/>
      <c r="Z32" s="2448"/>
      <c r="AA32" s="2448"/>
      <c r="AB32" s="2448"/>
      <c r="AC32" s="263"/>
      <c r="AD32" s="2448" t="str">
        <f>IF(TITLE_DATE_PR_CHANGE="",IF(TITLE_DATE_PR="","",TITLE_DATE_PR),TITLE_DATE_PR_CHANGE)</f>
        <v/>
      </c>
      <c r="AE32" s="2448"/>
      <c r="AF32" s="2448"/>
      <c r="AG32" s="2448"/>
      <c r="AH32" s="2448"/>
      <c r="AI32" s="2448"/>
      <c r="AJ32" s="2448"/>
      <c r="AK32" s="2448"/>
      <c r="AL32" s="2448"/>
      <c r="AM32" s="2448"/>
      <c r="AN32" s="2448"/>
      <c r="AO32" s="2448"/>
      <c r="AP32" s="2448"/>
      <c r="AQ32" s="2448"/>
      <c r="AR32" s="2448"/>
      <c r="AS32" s="2448"/>
      <c r="AT32" s="2448"/>
      <c r="AU32" s="2448"/>
      <c r="AV32" s="2448"/>
      <c r="AW32" s="2448"/>
      <c r="AX32" s="2448"/>
      <c r="AY32" s="2448"/>
      <c r="AZ32" s="2448"/>
      <c r="BA32" s="263"/>
      <c r="BB32" s="263"/>
      <c r="BC32" s="217"/>
      <c r="BD32" s="304"/>
      <c r="BE32" s="304"/>
      <c r="BF32" s="304"/>
      <c r="BG32" s="304"/>
      <c r="BH32" s="304"/>
      <c r="BI32" s="354">
        <v>0</v>
      </c>
    </row>
    <row r="33" spans="1:61" s="2098" customFormat="1" ht="18.75" hidden="1" customHeight="1">
      <c r="A33" s="1286"/>
      <c r="B33" s="1286"/>
      <c r="C33" s="1286"/>
      <c r="D33" s="1286"/>
      <c r="E33" s="1286"/>
      <c r="F33" s="1286"/>
      <c r="G33" s="1286"/>
      <c r="H33" s="1286"/>
      <c r="I33" s="1286"/>
      <c r="J33" s="1286"/>
      <c r="K33" s="1286"/>
      <c r="L33" s="1287"/>
      <c r="M33" s="1286"/>
      <c r="N33" s="1286"/>
      <c r="O33" s="1286"/>
      <c r="P33" s="1286"/>
      <c r="Q33" s="1286"/>
      <c r="S33" s="2447" t="s">
        <v>421</v>
      </c>
      <c r="T33" s="2447"/>
      <c r="U33" s="1290"/>
      <c r="V33" s="2449" t="str">
        <f>IF(TITLE_NUMBER_PR_CHANGE="",IF(TITLE_NUMBER_PR="","",TITLE_NUMBER_PR),TITLE_NUMBER_PR_CHANGE)</f>
        <v/>
      </c>
      <c r="W33" s="2449"/>
      <c r="X33" s="2449"/>
      <c r="Y33" s="2449"/>
      <c r="Z33" s="2449"/>
      <c r="AA33" s="2449"/>
      <c r="AB33" s="2449"/>
      <c r="AC33" s="263"/>
      <c r="AD33" s="2449" t="str">
        <f>IF(TITLE_NUMBER_PR_CHANGE="",IF(TITLE_NUMBER_PR="","",TITLE_NUMBER_PR),TITLE_NUMBER_PR_CHANGE)</f>
        <v/>
      </c>
      <c r="AE33" s="2449"/>
      <c r="AF33" s="2449"/>
      <c r="AG33" s="2449"/>
      <c r="AH33" s="2449"/>
      <c r="AI33" s="2449"/>
      <c r="AJ33" s="2449"/>
      <c r="AK33" s="2449"/>
      <c r="AL33" s="2449"/>
      <c r="AM33" s="2449"/>
      <c r="AN33" s="2449"/>
      <c r="AO33" s="2449"/>
      <c r="AP33" s="2449"/>
      <c r="AQ33" s="2449"/>
      <c r="AR33" s="2449"/>
      <c r="AS33" s="2449"/>
      <c r="AT33" s="2449"/>
      <c r="AU33" s="2449"/>
      <c r="AV33" s="2449"/>
      <c r="AW33" s="2449"/>
      <c r="AX33" s="2449"/>
      <c r="AY33" s="2449"/>
      <c r="AZ33" s="2449"/>
      <c r="BA33" s="263"/>
      <c r="BB33" s="263"/>
      <c r="BC33" s="217"/>
      <c r="BD33" s="304"/>
      <c r="BE33" s="304"/>
      <c r="BF33" s="304"/>
      <c r="BG33" s="304"/>
      <c r="BH33" s="304"/>
      <c r="BI33" s="354">
        <v>0</v>
      </c>
    </row>
    <row r="34" spans="1:61" s="2098" customFormat="1" ht="18.75" hidden="1" customHeight="1">
      <c r="A34" s="1286"/>
      <c r="B34" s="1286"/>
      <c r="C34" s="1286"/>
      <c r="D34" s="1286"/>
      <c r="E34" s="1286"/>
      <c r="F34" s="1286"/>
      <c r="G34" s="1286"/>
      <c r="H34" s="1286"/>
      <c r="I34" s="1286"/>
      <c r="J34" s="1286"/>
      <c r="K34" s="1286"/>
      <c r="L34" s="1287"/>
      <c r="M34" s="1286"/>
      <c r="N34" s="1286"/>
      <c r="O34" s="1286"/>
      <c r="P34" s="1286"/>
      <c r="Q34" s="1286"/>
      <c r="S34" s="2447" t="s">
        <v>44</v>
      </c>
      <c r="T34" s="2447"/>
      <c r="U34" s="1290"/>
      <c r="V34" s="2449" t="str">
        <f>IF(TITLE_IST_PUB_CHANGE="",IF(TITLE_IST_PUB="","",TITLE_IST_PUB),TITLE_IST_PUB_CHANGE)</f>
        <v/>
      </c>
      <c r="W34" s="2449"/>
      <c r="X34" s="2449"/>
      <c r="Y34" s="2449"/>
      <c r="Z34" s="2449"/>
      <c r="AA34" s="2449"/>
      <c r="AB34" s="2449"/>
      <c r="AC34" s="263"/>
      <c r="AD34" s="2449" t="str">
        <f>IF(TITLE_IST_PUB_CHANGE="",IF(TITLE_IST_PUB="","",TITLE_IST_PUB),TITLE_IST_PUB_CHANGE)</f>
        <v/>
      </c>
      <c r="AE34" s="2449"/>
      <c r="AF34" s="2449"/>
      <c r="AG34" s="2449"/>
      <c r="AH34" s="2449"/>
      <c r="AI34" s="2449"/>
      <c r="AJ34" s="2449"/>
      <c r="AK34" s="2449"/>
      <c r="AL34" s="2449"/>
      <c r="AM34" s="2449"/>
      <c r="AN34" s="2449"/>
      <c r="AO34" s="2449"/>
      <c r="AP34" s="2449"/>
      <c r="AQ34" s="2449"/>
      <c r="AR34" s="2449"/>
      <c r="AS34" s="2449"/>
      <c r="AT34" s="2449"/>
      <c r="AU34" s="2449"/>
      <c r="AV34" s="2449"/>
      <c r="AW34" s="2449"/>
      <c r="AX34" s="2449"/>
      <c r="AY34" s="2449"/>
      <c r="AZ34" s="2449"/>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098" customFormat="1" ht="18.75" hidden="1" customHeight="1">
      <c r="A36" s="1286"/>
      <c r="B36" s="1286"/>
      <c r="C36" s="1286"/>
      <c r="D36" s="1286"/>
      <c r="E36" s="1286"/>
      <c r="F36" s="1286"/>
      <c r="G36" s="1286"/>
      <c r="H36" s="1286"/>
      <c r="I36" s="1286"/>
      <c r="J36" s="1286"/>
      <c r="K36" s="1286"/>
      <c r="L36" s="1287"/>
      <c r="M36" s="1286"/>
      <c r="N36" s="1286"/>
      <c r="O36" s="1286"/>
      <c r="P36" s="1286"/>
      <c r="Q36" s="1286"/>
      <c r="S36" s="2447" t="s">
        <v>420</v>
      </c>
      <c r="T36" s="2447"/>
      <c r="U36" s="1290"/>
      <c r="V36" s="2448" t="str">
        <f>IF(TITLE_DATE_PR_CHANGE="",IF(TITLE_DATE_PR="","",TITLE_DATE_PR),TITLE_DATE_PR_CHANGE)</f>
        <v/>
      </c>
      <c r="W36" s="2448"/>
      <c r="X36" s="2448"/>
      <c r="Y36" s="2448"/>
      <c r="Z36" s="2448"/>
      <c r="AA36" s="2448"/>
      <c r="AB36" s="2448"/>
      <c r="AC36" s="263"/>
      <c r="AD36" s="2448" t="str">
        <f>IF(TITLE_DATE_PR_CHANGE="",IF(TITLE_DATE_PR="","",TITLE_DATE_PR),TITLE_DATE_PR_CHANGE)</f>
        <v/>
      </c>
      <c r="AE36" s="2448"/>
      <c r="AF36" s="2448"/>
      <c r="AG36" s="2448"/>
      <c r="AH36" s="2448"/>
      <c r="AI36" s="2448"/>
      <c r="AJ36" s="2448"/>
      <c r="AK36" s="2448"/>
      <c r="AL36" s="2448"/>
      <c r="AM36" s="2448"/>
      <c r="AN36" s="2448"/>
      <c r="AO36" s="2448"/>
      <c r="AP36" s="2448"/>
      <c r="AQ36" s="2448"/>
      <c r="AR36" s="2448"/>
      <c r="AS36" s="2448"/>
      <c r="AT36" s="2448"/>
      <c r="AU36" s="2448"/>
      <c r="AV36" s="2448"/>
      <c r="AW36" s="2448"/>
      <c r="AX36" s="2448"/>
      <c r="AY36" s="2448"/>
      <c r="AZ36" s="2448"/>
      <c r="BA36" s="263"/>
      <c r="BB36" s="263"/>
      <c r="BC36" s="217"/>
      <c r="BD36" s="304"/>
      <c r="BE36" s="304"/>
      <c r="BF36" s="304"/>
      <c r="BG36" s="304"/>
      <c r="BH36" s="304"/>
      <c r="BI36" s="354">
        <v>0</v>
      </c>
    </row>
    <row r="37" spans="1:61" s="2098" customFormat="1" ht="18.75" hidden="1" customHeight="1">
      <c r="A37" s="1286"/>
      <c r="B37" s="1286"/>
      <c r="C37" s="1286"/>
      <c r="D37" s="1286"/>
      <c r="E37" s="1286"/>
      <c r="F37" s="1286"/>
      <c r="G37" s="1286"/>
      <c r="H37" s="1286"/>
      <c r="I37" s="1286"/>
      <c r="J37" s="1286"/>
      <c r="K37" s="1286"/>
      <c r="L37" s="1287"/>
      <c r="M37" s="1286"/>
      <c r="N37" s="1286"/>
      <c r="O37" s="1286"/>
      <c r="P37" s="1286"/>
      <c r="Q37" s="1286"/>
      <c r="S37" s="2447" t="s">
        <v>421</v>
      </c>
      <c r="T37" s="2447"/>
      <c r="U37" s="1290"/>
      <c r="V37" s="2449" t="str">
        <f>IF(TITLE_NUMBER_PR_CHANGE="",IF(TITLE_NUMBER_PR="","",TITLE_NUMBER_PR),TITLE_NUMBER_PR_CHANGE)</f>
        <v/>
      </c>
      <c r="W37" s="2449"/>
      <c r="X37" s="2449"/>
      <c r="Y37" s="2449"/>
      <c r="Z37" s="2449"/>
      <c r="AA37" s="2449"/>
      <c r="AB37" s="2449"/>
      <c r="AC37" s="263"/>
      <c r="AD37" s="2449" t="str">
        <f>IF(TITLE_NUMBER_PR_CHANGE="",IF(TITLE_NUMBER_PR="","",TITLE_NUMBER_PR),TITLE_NUMBER_PR_CHANGE)</f>
        <v/>
      </c>
      <c r="AE37" s="2449"/>
      <c r="AF37" s="2449"/>
      <c r="AG37" s="2449"/>
      <c r="AH37" s="2449"/>
      <c r="AI37" s="2449"/>
      <c r="AJ37" s="2449"/>
      <c r="AK37" s="2449"/>
      <c r="AL37" s="2449"/>
      <c r="AM37" s="2449"/>
      <c r="AN37" s="2449"/>
      <c r="AO37" s="2449"/>
      <c r="AP37" s="2449"/>
      <c r="AQ37" s="2449"/>
      <c r="AR37" s="2449"/>
      <c r="AS37" s="2449"/>
      <c r="AT37" s="2449"/>
      <c r="AU37" s="2449"/>
      <c r="AV37" s="2449"/>
      <c r="AW37" s="2449"/>
      <c r="AX37" s="2449"/>
      <c r="AY37" s="2449"/>
      <c r="AZ37" s="2449"/>
      <c r="BA37" s="263"/>
      <c r="BB37" s="263"/>
      <c r="BC37" s="217"/>
      <c r="BD37" s="304"/>
      <c r="BE37" s="304"/>
      <c r="BF37" s="304"/>
      <c r="BG37" s="304"/>
      <c r="BH37" s="304"/>
      <c r="BI37" s="354">
        <v>0</v>
      </c>
    </row>
    <row r="38" spans="1:61" s="2098"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193"/>
      <c r="T39" s="299"/>
      <c r="U39" s="1162"/>
      <c r="V39" s="2468"/>
      <c r="W39" s="2468"/>
      <c r="X39" s="2468"/>
      <c r="Y39" s="2468"/>
      <c r="Z39" s="2468"/>
      <c r="AA39" s="2468"/>
      <c r="AB39" s="2468"/>
      <c r="AC39" s="2468"/>
      <c r="AD39" s="2468"/>
      <c r="AE39" s="2468"/>
      <c r="AF39" s="2468"/>
      <c r="AG39" s="2468"/>
      <c r="AH39" s="2468"/>
      <c r="AI39" s="2468"/>
      <c r="AJ39" s="2468"/>
      <c r="AK39" s="2468"/>
      <c r="AL39" s="2468"/>
      <c r="AM39" s="2468"/>
      <c r="AN39" s="2468"/>
      <c r="AO39" s="2468"/>
      <c r="AP39" s="2468"/>
      <c r="AQ39" s="2468"/>
      <c r="AR39" s="2468"/>
      <c r="AS39" s="2468"/>
      <c r="AT39" s="2468"/>
      <c r="AU39" s="2468"/>
      <c r="AV39" s="2468"/>
      <c r="AW39" s="2468"/>
      <c r="AX39" s="2468"/>
      <c r="AY39" s="2468"/>
      <c r="AZ39" s="2468"/>
      <c r="BA39" s="2468"/>
      <c r="BI39" s="1073">
        <v>14</v>
      </c>
    </row>
    <row r="40" spans="1:61" ht="14.65" customHeight="1">
      <c r="Q40" s="228"/>
      <c r="R40" s="312"/>
      <c r="S40" s="2328" t="s">
        <v>297</v>
      </c>
      <c r="T40" s="2328"/>
      <c r="U40" s="2328"/>
      <c r="V40" s="2328"/>
      <c r="W40" s="2328"/>
      <c r="X40" s="2328"/>
      <c r="Y40" s="2328"/>
      <c r="Z40" s="2328"/>
      <c r="AA40" s="2328"/>
      <c r="AB40" s="2328"/>
      <c r="AC40" s="2328"/>
      <c r="AD40" s="2328"/>
      <c r="AE40" s="2328"/>
      <c r="AF40" s="2328"/>
      <c r="AG40" s="2328"/>
      <c r="AH40" s="2328"/>
      <c r="AI40" s="2328"/>
      <c r="AJ40" s="2328"/>
      <c r="AK40" s="2328"/>
      <c r="AL40" s="2328"/>
      <c r="AM40" s="2328"/>
      <c r="AN40" s="2328"/>
      <c r="AO40" s="2328"/>
      <c r="AP40" s="2328"/>
      <c r="AQ40" s="2328"/>
      <c r="AR40" s="2328"/>
      <c r="AS40" s="2328"/>
      <c r="AT40" s="2328"/>
      <c r="AU40" s="2328"/>
      <c r="AV40" s="2328"/>
      <c r="AW40" s="2328"/>
      <c r="AX40" s="2328"/>
      <c r="AY40" s="2328"/>
      <c r="AZ40" s="2328"/>
      <c r="BA40" s="2328"/>
      <c r="BB40" s="2328"/>
      <c r="BC40" s="2328" t="s">
        <v>298</v>
      </c>
      <c r="BI40" s="1073">
        <v>14</v>
      </c>
    </row>
    <row r="41" spans="1:61" ht="14.65" customHeight="1">
      <c r="Q41" s="228"/>
      <c r="R41" s="312"/>
      <c r="S41" s="2469" t="s">
        <v>90</v>
      </c>
      <c r="T41" s="2417" t="s">
        <v>504</v>
      </c>
      <c r="U41" s="238"/>
      <c r="V41" s="2470" t="s">
        <v>426</v>
      </c>
      <c r="W41" s="2471"/>
      <c r="X41" s="2471"/>
      <c r="Y41" s="2471"/>
      <c r="Z41" s="2471"/>
      <c r="AA41" s="2471"/>
      <c r="AB41" s="2472"/>
      <c r="AC41" s="2473" t="s">
        <v>427</v>
      </c>
      <c r="AD41" s="2502" t="s">
        <v>505</v>
      </c>
      <c r="AE41" s="2486"/>
      <c r="AF41" s="2486"/>
      <c r="AG41" s="2503"/>
      <c r="AH41" s="2502" t="s">
        <v>506</v>
      </c>
      <c r="AI41" s="2486"/>
      <c r="AJ41" s="2486"/>
      <c r="AK41" s="2503"/>
      <c r="AL41" s="2502" t="s">
        <v>507</v>
      </c>
      <c r="AM41" s="2486"/>
      <c r="AN41" s="2486"/>
      <c r="AO41" s="2503"/>
      <c r="AP41" s="2502" t="s">
        <v>508</v>
      </c>
      <c r="AQ41" s="2486"/>
      <c r="AR41" s="2486"/>
      <c r="AS41" s="2503"/>
      <c r="AT41" s="2470" t="s">
        <v>426</v>
      </c>
      <c r="AU41" s="2471"/>
      <c r="AV41" s="2471"/>
      <c r="AW41" s="2471"/>
      <c r="AX41" s="2471"/>
      <c r="AY41" s="2471"/>
      <c r="AZ41" s="2472"/>
      <c r="BA41" s="2473" t="s">
        <v>427</v>
      </c>
      <c r="BB41" s="2476" t="s">
        <v>429</v>
      </c>
      <c r="BC41" s="2328"/>
      <c r="BI41" s="1073">
        <v>14</v>
      </c>
    </row>
    <row r="42" spans="1:61" ht="35.65" customHeight="1">
      <c r="Q42" s="228"/>
      <c r="R42" s="312"/>
      <c r="S42" s="2469"/>
      <c r="T42" s="2417"/>
      <c r="U42" s="954"/>
      <c r="V42" s="2388" t="s">
        <v>509</v>
      </c>
      <c r="W42" s="2389"/>
      <c r="X42" s="2388" t="s">
        <v>510</v>
      </c>
      <c r="Y42" s="2389"/>
      <c r="Z42" s="2388" t="s">
        <v>511</v>
      </c>
      <c r="AA42" s="2498"/>
      <c r="AB42" s="2389"/>
      <c r="AC42" s="2474"/>
      <c r="AD42" s="2504"/>
      <c r="AE42" s="2505"/>
      <c r="AF42" s="2505"/>
      <c r="AG42" s="2517"/>
      <c r="AH42" s="2504"/>
      <c r="AI42" s="2505"/>
      <c r="AJ42" s="2505"/>
      <c r="AK42" s="2517"/>
      <c r="AL42" s="2504"/>
      <c r="AM42" s="2505"/>
      <c r="AN42" s="2505"/>
      <c r="AO42" s="2517"/>
      <c r="AP42" s="2504"/>
      <c r="AQ42" s="2505"/>
      <c r="AR42" s="2505"/>
      <c r="AS42" s="2517"/>
      <c r="AT42" s="2388" t="s">
        <v>509</v>
      </c>
      <c r="AU42" s="2389"/>
      <c r="AV42" s="2388" t="s">
        <v>510</v>
      </c>
      <c r="AW42" s="2389"/>
      <c r="AX42" s="2388" t="s">
        <v>511</v>
      </c>
      <c r="AY42" s="2498"/>
      <c r="AZ42" s="2389"/>
      <c r="BA42" s="2474"/>
      <c r="BB42" s="2477"/>
      <c r="BC42" s="2328"/>
      <c r="BI42" s="1073">
        <v>34</v>
      </c>
    </row>
    <row r="43" spans="1:61" ht="14.65" customHeight="1">
      <c r="Q43" s="228"/>
      <c r="R43" s="312"/>
      <c r="S43" s="2469"/>
      <c r="T43" s="2417"/>
      <c r="U43" s="954"/>
      <c r="V43" s="2393"/>
      <c r="W43" s="2394"/>
      <c r="X43" s="2393"/>
      <c r="Y43" s="2394"/>
      <c r="Z43" s="2393"/>
      <c r="AA43" s="2499"/>
      <c r="AB43" s="2394"/>
      <c r="AC43" s="2474"/>
      <c r="AD43" s="2504"/>
      <c r="AE43" s="2505"/>
      <c r="AF43" s="2505"/>
      <c r="AG43" s="2517"/>
      <c r="AH43" s="2504"/>
      <c r="AI43" s="2505"/>
      <c r="AJ43" s="2505"/>
      <c r="AK43" s="2517"/>
      <c r="AL43" s="2504"/>
      <c r="AM43" s="2505"/>
      <c r="AN43" s="2505"/>
      <c r="AO43" s="2517"/>
      <c r="AP43" s="2504"/>
      <c r="AQ43" s="2505"/>
      <c r="AR43" s="2505"/>
      <c r="AS43" s="2517"/>
      <c r="AT43" s="2393"/>
      <c r="AU43" s="2394"/>
      <c r="AV43" s="2393"/>
      <c r="AW43" s="2394"/>
      <c r="AX43" s="2393"/>
      <c r="AY43" s="2499"/>
      <c r="AZ43" s="2394"/>
      <c r="BA43" s="2474"/>
      <c r="BB43" s="2477"/>
      <c r="BC43" s="2328"/>
      <c r="BI43" s="1073">
        <v>14</v>
      </c>
    </row>
    <row r="44" spans="1:61" ht="14.65" customHeight="1">
      <c r="A44" s="1288"/>
      <c r="B44" s="1288" t="s">
        <v>134</v>
      </c>
      <c r="C44" s="1288" t="s">
        <v>135</v>
      </c>
      <c r="D44" s="1288" t="s">
        <v>136</v>
      </c>
      <c r="E44" s="1282" t="s">
        <v>434</v>
      </c>
      <c r="F44" s="1282" t="s">
        <v>435</v>
      </c>
      <c r="G44" s="1282" t="s">
        <v>436</v>
      </c>
      <c r="H44" s="1282" t="s">
        <v>437</v>
      </c>
      <c r="I44" s="1282" t="s">
        <v>438</v>
      </c>
      <c r="J44" s="1282" t="s">
        <v>439</v>
      </c>
      <c r="K44" s="1282" t="s">
        <v>440</v>
      </c>
      <c r="L44" s="1282" t="s">
        <v>415</v>
      </c>
      <c r="Q44" s="228"/>
      <c r="R44" s="312"/>
      <c r="S44" s="2469"/>
      <c r="T44" s="2417"/>
      <c r="U44" s="239"/>
      <c r="V44" s="1397" t="s">
        <v>475</v>
      </c>
      <c r="W44" s="1397" t="s">
        <v>476</v>
      </c>
      <c r="X44" s="1397" t="s">
        <v>475</v>
      </c>
      <c r="Y44" s="1397" t="s">
        <v>476</v>
      </c>
      <c r="Z44" s="1407" t="s">
        <v>443</v>
      </c>
      <c r="AA44" s="2422" t="s">
        <v>444</v>
      </c>
      <c r="AB44" s="2436"/>
      <c r="AC44" s="2475"/>
      <c r="AD44" s="2506"/>
      <c r="AE44" s="2507"/>
      <c r="AF44" s="2507"/>
      <c r="AG44" s="2508"/>
      <c r="AH44" s="2506"/>
      <c r="AI44" s="2507"/>
      <c r="AJ44" s="2507"/>
      <c r="AK44" s="2508"/>
      <c r="AL44" s="2506"/>
      <c r="AM44" s="2507"/>
      <c r="AN44" s="2507"/>
      <c r="AO44" s="2508"/>
      <c r="AP44" s="2506"/>
      <c r="AQ44" s="2507"/>
      <c r="AR44" s="2507"/>
      <c r="AS44" s="2508"/>
      <c r="AT44" s="1397" t="s">
        <v>475</v>
      </c>
      <c r="AU44" s="1397" t="s">
        <v>476</v>
      </c>
      <c r="AV44" s="1397" t="s">
        <v>475</v>
      </c>
      <c r="AW44" s="1397" t="s">
        <v>476</v>
      </c>
      <c r="AX44" s="1407" t="s">
        <v>443</v>
      </c>
      <c r="AY44" s="2422" t="s">
        <v>444</v>
      </c>
      <c r="AZ44" s="2436"/>
      <c r="BA44" s="2475"/>
      <c r="BB44" s="2478"/>
      <c r="BC44" s="2328"/>
      <c r="BI44" s="1073">
        <v>14</v>
      </c>
    </row>
    <row r="45" spans="1:61" s="2028"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108</v>
      </c>
      <c r="T45" s="1173" t="s">
        <v>109</v>
      </c>
      <c r="U45" s="1163" t="str">
        <f ca="1">OFFSET(U45,0,-1)</f>
        <v>2</v>
      </c>
      <c r="V45" s="1400">
        <f t="shared" ref="V45:AA45" ca="1" si="2">OFFSET(V45,0,-1)+1</f>
        <v>3</v>
      </c>
      <c r="W45" s="1400">
        <f t="shared" ca="1" si="2"/>
        <v>4</v>
      </c>
      <c r="X45" s="1400">
        <f t="shared" ca="1" si="2"/>
        <v>5</v>
      </c>
      <c r="Y45" s="1400">
        <f t="shared" ca="1" si="2"/>
        <v>6</v>
      </c>
      <c r="Z45" s="1400">
        <f t="shared" ca="1" si="2"/>
        <v>7</v>
      </c>
      <c r="AA45" s="2467">
        <f t="shared" ca="1" si="2"/>
        <v>8</v>
      </c>
      <c r="AB45" s="246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467">
        <f ca="1">OFFSET(AY45,0,-1)+1</f>
        <v>3</v>
      </c>
      <c r="AZ45" s="2467"/>
      <c r="BA45" s="1400">
        <f ca="1">OFFSET(BA45,0,-2)+1</f>
        <v>4</v>
      </c>
      <c r="BB45" s="1163">
        <f ca="1">OFFSET(BB45,0,-1)</f>
        <v>4</v>
      </c>
      <c r="BC45" s="1400">
        <f ca="1">OFFSET(BC45,0,-1)+1</f>
        <v>5</v>
      </c>
      <c r="BD45" s="447"/>
      <c r="BE45" s="447"/>
      <c r="BF45" s="447"/>
      <c r="BG45" s="447"/>
      <c r="BH45" s="447"/>
      <c r="BI45" s="432">
        <v>0</v>
      </c>
    </row>
    <row r="46" spans="1:61" ht="21.95" customHeight="1">
      <c r="A46" s="1281" t="s">
        <v>258</v>
      </c>
      <c r="B46" s="1281"/>
      <c r="C46" s="1281"/>
      <c r="D46" s="1281"/>
      <c r="E46" s="2456">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122</v>
      </c>
      <c r="U46" s="237"/>
      <c r="V46" s="2451"/>
      <c r="W46" s="2451"/>
      <c r="X46" s="2451"/>
      <c r="Y46" s="2451"/>
      <c r="Z46" s="2451"/>
      <c r="AA46" s="2451"/>
      <c r="AB46" s="2451"/>
      <c r="AC46" s="2452"/>
      <c r="AD46" s="2450" t="str">
        <f>INDEX(PT_DIFFERENTIATION_NTAR,MATCH(A46,PT_DIFFERENTIATION_NTAR_ID,0))</f>
        <v/>
      </c>
      <c r="AE46" s="2451"/>
      <c r="AF46" s="2451"/>
      <c r="AG46" s="2451"/>
      <c r="AH46" s="2451"/>
      <c r="AI46" s="2451"/>
      <c r="AJ46" s="2451"/>
      <c r="AK46" s="2451"/>
      <c r="AL46" s="2451"/>
      <c r="AM46" s="2451"/>
      <c r="AN46" s="2451"/>
      <c r="AO46" s="2451"/>
      <c r="AP46" s="2451"/>
      <c r="AQ46" s="2451"/>
      <c r="AR46" s="2451"/>
      <c r="AS46" s="2451"/>
      <c r="AT46" s="2451"/>
      <c r="AU46" s="2451"/>
      <c r="AV46" s="2451"/>
      <c r="AW46" s="2451"/>
      <c r="AX46" s="2451"/>
      <c r="AY46" s="2451"/>
      <c r="AZ46" s="2451"/>
      <c r="BA46" s="2451"/>
      <c r="BB46" s="245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258</v>
      </c>
      <c r="B47" s="1281" t="s">
        <v>259</v>
      </c>
      <c r="C47" s="1281"/>
      <c r="D47" s="1281"/>
      <c r="E47" s="2457"/>
      <c r="F47" s="2456">
        <v>1</v>
      </c>
      <c r="G47" s="1281"/>
      <c r="H47" s="1281"/>
      <c r="I47" s="1281"/>
      <c r="J47" s="1281"/>
      <c r="K47" s="1281"/>
      <c r="L47" s="1282"/>
      <c r="M47" s="1283"/>
      <c r="N47" s="1283"/>
      <c r="O47" s="1283"/>
      <c r="P47" s="1328"/>
      <c r="Q47" s="1329"/>
      <c r="R47" s="289"/>
      <c r="S47" s="1411" t="str">
        <f>INDEX(PT_DIFFERENTIATION_NUM_TER,MATCH(B47,PT_DIFFERENTIATION_TER_ID,0))</f>
        <v>.</v>
      </c>
      <c r="T47" s="245" t="s">
        <v>394</v>
      </c>
      <c r="U47" s="237"/>
      <c r="V47" s="2451"/>
      <c r="W47" s="2451"/>
      <c r="X47" s="2451"/>
      <c r="Y47" s="2451"/>
      <c r="Z47" s="2451"/>
      <c r="AA47" s="2451"/>
      <c r="AB47" s="2451"/>
      <c r="AC47" s="2452"/>
      <c r="AD47" s="2450" t="str">
        <f>INDEX(PT_DIFFERENTIATION_TER,MATCH(B47,PT_DIFFERENTIATION_TER_ID,0))</f>
        <v/>
      </c>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c r="BA47" s="2451"/>
      <c r="BB47" s="2452"/>
      <c r="BC47" s="1176" t="s">
        <v>395</v>
      </c>
      <c r="BE47" s="436"/>
      <c r="BF47" s="436" t="str">
        <f t="shared" si="3"/>
        <v>Территория действия тарифа</v>
      </c>
      <c r="BG47" s="436"/>
      <c r="BH47" s="436"/>
      <c r="BI47" s="1073">
        <v>21</v>
      </c>
    </row>
    <row r="48" spans="1:61" ht="35.65" customHeight="1">
      <c r="A48" s="1281" t="s">
        <v>258</v>
      </c>
      <c r="B48" s="1281" t="s">
        <v>259</v>
      </c>
      <c r="C48" s="1281" t="s">
        <v>260</v>
      </c>
      <c r="D48" s="1281"/>
      <c r="E48" s="2457"/>
      <c r="F48" s="2457"/>
      <c r="G48" s="2456">
        <v>1</v>
      </c>
      <c r="H48" s="1281"/>
      <c r="I48" s="1281"/>
      <c r="J48" s="1281"/>
      <c r="K48" s="1281"/>
      <c r="L48" s="1282"/>
      <c r="M48" s="1283"/>
      <c r="N48" s="1283"/>
      <c r="O48" s="1283"/>
      <c r="P48" s="1330"/>
      <c r="Q48" s="1329"/>
      <c r="R48" s="289"/>
      <c r="S48" s="1411" t="str">
        <f>INDEX(PT_DIFFERENTIATION_NUM_CS,MATCH(C48,PT_DIFFERENTIATION_CS_ID,0))</f>
        <v>..</v>
      </c>
      <c r="T48" s="246" t="s">
        <v>527</v>
      </c>
      <c r="U48" s="237"/>
      <c r="V48" s="2451"/>
      <c r="W48" s="2451"/>
      <c r="X48" s="2451"/>
      <c r="Y48" s="2451"/>
      <c r="Z48" s="2451"/>
      <c r="AA48" s="2451"/>
      <c r="AB48" s="2451"/>
      <c r="AC48" s="2452"/>
      <c r="AD48" s="2450" t="str">
        <f>INDEX(PT_DIFFERENTIATION_CS,MATCH(C48,PT_DIFFERENTIATION_CS_ID,0))</f>
        <v/>
      </c>
      <c r="AE48" s="2451"/>
      <c r="AF48" s="2451"/>
      <c r="AG48" s="2451"/>
      <c r="AH48" s="2451"/>
      <c r="AI48" s="2451"/>
      <c r="AJ48" s="2451"/>
      <c r="AK48" s="2451"/>
      <c r="AL48" s="2451"/>
      <c r="AM48" s="2451"/>
      <c r="AN48" s="2451"/>
      <c r="AO48" s="2451"/>
      <c r="AP48" s="2451"/>
      <c r="AQ48" s="2451"/>
      <c r="AR48" s="2451"/>
      <c r="AS48" s="2451"/>
      <c r="AT48" s="2451"/>
      <c r="AU48" s="2451"/>
      <c r="AV48" s="2451"/>
      <c r="AW48" s="2451"/>
      <c r="AX48" s="2451"/>
      <c r="AY48" s="2451"/>
      <c r="AZ48" s="2451"/>
      <c r="BA48" s="2451"/>
      <c r="BB48" s="2452"/>
      <c r="BC48" s="1176" t="s">
        <v>528</v>
      </c>
      <c r="BE48" s="436"/>
      <c r="BF48" s="436" t="str">
        <f t="shared" si="3"/>
        <v>Наименование централизованной системы горячего водоснабжения</v>
      </c>
      <c r="BG48" s="436"/>
      <c r="BH48" s="436"/>
      <c r="BI48" s="1073">
        <v>34</v>
      </c>
    </row>
    <row r="49" spans="1:61" s="2034" customFormat="1" ht="0" hidden="1" customHeight="1">
      <c r="A49" s="1261" t="s">
        <v>258</v>
      </c>
      <c r="B49" s="1261" t="s">
        <v>259</v>
      </c>
      <c r="C49" s="1261" t="s">
        <v>260</v>
      </c>
      <c r="D49" s="1261" t="s">
        <v>541</v>
      </c>
      <c r="E49" s="2457"/>
      <c r="F49" s="2457"/>
      <c r="G49" s="2457"/>
      <c r="H49" s="2456">
        <v>1</v>
      </c>
      <c r="I49" s="1261"/>
      <c r="J49" s="1261"/>
      <c r="K49" s="1261"/>
      <c r="L49" s="1264"/>
      <c r="M49" s="1233"/>
      <c r="N49" s="1233"/>
      <c r="O49" s="1233"/>
      <c r="P49" s="1415"/>
      <c r="Q49" s="1416"/>
      <c r="R49" s="293"/>
      <c r="S49" s="965"/>
      <c r="T49" s="1417"/>
      <c r="U49" s="1302"/>
      <c r="V49" s="2488"/>
      <c r="W49" s="2488"/>
      <c r="X49" s="2488"/>
      <c r="Y49" s="2488"/>
      <c r="Z49" s="2488"/>
      <c r="AA49" s="2488"/>
      <c r="AB49" s="2488"/>
      <c r="AC49" s="2489"/>
      <c r="AD49" s="2487"/>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9"/>
      <c r="BC49" s="1303" t="s">
        <v>399</v>
      </c>
      <c r="BE49" s="436"/>
      <c r="BF49" s="436" t="str">
        <f t="shared" si="3"/>
        <v/>
      </c>
      <c r="BG49" s="436"/>
      <c r="BH49" s="436"/>
      <c r="BI49" s="447">
        <v>0</v>
      </c>
    </row>
    <row r="50" spans="1:61" s="2034" customFormat="1" ht="0" hidden="1" customHeight="1">
      <c r="A50" s="1261" t="s">
        <v>258</v>
      </c>
      <c r="B50" s="1261" t="s">
        <v>259</v>
      </c>
      <c r="C50" s="1261" t="s">
        <v>260</v>
      </c>
      <c r="D50" s="1261" t="s">
        <v>541</v>
      </c>
      <c r="E50" s="2457"/>
      <c r="F50" s="2457"/>
      <c r="G50" s="2457"/>
      <c r="H50" s="2457"/>
      <c r="I50" s="2458" t="str">
        <f>S49&amp;".1"</f>
        <v>.1</v>
      </c>
      <c r="J50" s="1261"/>
      <c r="K50" s="1261"/>
      <c r="L50" s="1264" t="s">
        <v>400</v>
      </c>
      <c r="M50" s="446"/>
      <c r="N50" s="446"/>
      <c r="O50" s="446"/>
      <c r="P50" s="2460">
        <v>1</v>
      </c>
      <c r="Q50" s="1399"/>
      <c r="R50" s="292"/>
      <c r="S50" s="965"/>
      <c r="T50" s="1301"/>
      <c r="U50" s="1302"/>
      <c r="V50" s="2488"/>
      <c r="W50" s="2488"/>
      <c r="X50" s="2488"/>
      <c r="Y50" s="2488"/>
      <c r="Z50" s="2488"/>
      <c r="AA50" s="2488"/>
      <c r="AB50" s="2488"/>
      <c r="AC50" s="2489"/>
      <c r="AD50" s="2487"/>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9"/>
      <c r="BC50" s="1303"/>
      <c r="BE50" s="436"/>
      <c r="BF50" s="436" t="str">
        <f t="shared" si="3"/>
        <v/>
      </c>
      <c r="BG50" s="436"/>
      <c r="BH50" s="436"/>
      <c r="BI50" s="447">
        <v>0</v>
      </c>
    </row>
    <row r="51" spans="1:61" s="2034" customFormat="1" ht="0" hidden="1" customHeight="1">
      <c r="A51" s="1261" t="s">
        <v>258</v>
      </c>
      <c r="B51" s="1261" t="s">
        <v>259</v>
      </c>
      <c r="C51" s="1261" t="s">
        <v>260</v>
      </c>
      <c r="D51" s="1261" t="s">
        <v>541</v>
      </c>
      <c r="E51" s="2457"/>
      <c r="F51" s="2457"/>
      <c r="G51" s="2457"/>
      <c r="H51" s="2457"/>
      <c r="I51" s="2459"/>
      <c r="J51" s="2458" t="str">
        <f>S49&amp;".1"</f>
        <v>.1</v>
      </c>
      <c r="K51" s="1261"/>
      <c r="L51" s="1264"/>
      <c r="M51" s="446"/>
      <c r="N51" s="446"/>
      <c r="O51" s="446"/>
      <c r="P51" s="2460"/>
      <c r="Q51" s="2460">
        <v>1</v>
      </c>
      <c r="R51" s="293"/>
      <c r="S51" s="965"/>
      <c r="T51" s="1317"/>
      <c r="U51" s="1302"/>
      <c r="V51" s="2488"/>
      <c r="W51" s="2488"/>
      <c r="X51" s="2488"/>
      <c r="Y51" s="2488"/>
      <c r="Z51" s="2488"/>
      <c r="AA51" s="2488"/>
      <c r="AB51" s="2488"/>
      <c r="AC51" s="2489"/>
      <c r="AD51" s="2487"/>
      <c r="AE51" s="2488"/>
      <c r="AF51" s="2488"/>
      <c r="AG51" s="2488"/>
      <c r="AH51" s="2488"/>
      <c r="AI51" s="2488"/>
      <c r="AJ51" s="2488"/>
      <c r="AK51" s="2488"/>
      <c r="AL51" s="2488"/>
      <c r="AM51" s="2488"/>
      <c r="AN51" s="2539"/>
      <c r="AO51" s="2539"/>
      <c r="AP51" s="2488"/>
      <c r="AQ51" s="2488"/>
      <c r="AR51" s="2488"/>
      <c r="AS51" s="2488"/>
      <c r="AT51" s="2488"/>
      <c r="AU51" s="2488"/>
      <c r="AV51" s="2488"/>
      <c r="AW51" s="2488"/>
      <c r="AX51" s="2488"/>
      <c r="AY51" s="2488"/>
      <c r="AZ51" s="2488"/>
      <c r="BA51" s="2488"/>
      <c r="BB51" s="2489"/>
      <c r="BC51" s="1303"/>
      <c r="BE51" s="436"/>
      <c r="BF51" s="436" t="str">
        <f t="shared" si="3"/>
        <v/>
      </c>
      <c r="BG51" s="436"/>
      <c r="BH51" s="436"/>
      <c r="BI51" s="447">
        <v>0</v>
      </c>
    </row>
    <row r="52" spans="1:61" ht="11.45" customHeight="1">
      <c r="A52" s="1281" t="s">
        <v>258</v>
      </c>
      <c r="B52" s="1281" t="s">
        <v>259</v>
      </c>
      <c r="C52" s="1281" t="s">
        <v>260</v>
      </c>
      <c r="D52" s="1281" t="s">
        <v>541</v>
      </c>
      <c r="E52" s="2457"/>
      <c r="F52" s="2457"/>
      <c r="G52" s="2457"/>
      <c r="H52" s="2457"/>
      <c r="I52" s="2459"/>
      <c r="J52" s="2459"/>
      <c r="K52" s="2458" t="str">
        <f>S48&amp;".1"</f>
        <v>...1</v>
      </c>
      <c r="L52" s="1282"/>
      <c r="P52" s="2460"/>
      <c r="Q52" s="2460"/>
      <c r="R52" s="293">
        <v>1</v>
      </c>
      <c r="S52" s="2513" t="str">
        <f>$K52</f>
        <v>...1</v>
      </c>
      <c r="T52" s="2533"/>
      <c r="U52" s="237"/>
      <c r="V52" s="687"/>
      <c r="W52" s="1175"/>
      <c r="X52" s="687"/>
      <c r="Y52" s="1175"/>
      <c r="Z52" s="1651"/>
      <c r="AA52" s="1387" t="s">
        <v>67</v>
      </c>
      <c r="AB52" s="1651"/>
      <c r="AC52" s="1387" t="s">
        <v>67</v>
      </c>
      <c r="AD52" s="2400" t="s">
        <v>67</v>
      </c>
      <c r="AE52" s="2509"/>
      <c r="AF52" s="2413">
        <v>1</v>
      </c>
      <c r="AG52" s="2532"/>
      <c r="AH52" s="2338" t="s">
        <v>67</v>
      </c>
      <c r="AI52" s="2509"/>
      <c r="AJ52" s="2413">
        <v>1</v>
      </c>
      <c r="AK52" s="2523" t="s">
        <v>22</v>
      </c>
      <c r="AL52" s="2338" t="s">
        <v>67</v>
      </c>
      <c r="AM52" s="2388"/>
      <c r="AN52" s="2413">
        <v>1</v>
      </c>
      <c r="AO52" s="2536"/>
      <c r="AP52" s="2537" t="s">
        <v>67</v>
      </c>
      <c r="AQ52" s="248"/>
      <c r="AR52" s="1404">
        <v>1</v>
      </c>
      <c r="AS52" s="1410" t="s">
        <v>22</v>
      </c>
      <c r="AT52" s="687"/>
      <c r="AU52" s="1175"/>
      <c r="AV52" s="687"/>
      <c r="AW52" s="1175"/>
      <c r="AX52" s="1651"/>
      <c r="AY52" s="1387" t="s">
        <v>67</v>
      </c>
      <c r="AZ52" s="1651"/>
      <c r="BA52" s="1387" t="s">
        <v>67</v>
      </c>
      <c r="BB52" s="1266"/>
      <c r="BC52" s="2479" t="s">
        <v>498</v>
      </c>
      <c r="BE52" s="436"/>
      <c r="BF52" s="436" t="str">
        <f t="shared" si="3"/>
        <v/>
      </c>
      <c r="BG52" s="436"/>
      <c r="BH52" s="436"/>
      <c r="BI52" s="1073">
        <v>11</v>
      </c>
    </row>
    <row r="53" spans="1:61" ht="11.45" customHeight="1">
      <c r="A53" s="1281"/>
      <c r="B53" s="1281"/>
      <c r="C53" s="1281"/>
      <c r="D53" s="1281"/>
      <c r="E53" s="2457"/>
      <c r="F53" s="2457"/>
      <c r="G53" s="2457"/>
      <c r="H53" s="2457"/>
      <c r="I53" s="2459"/>
      <c r="J53" s="2459"/>
      <c r="K53" s="2458"/>
      <c r="L53" s="1282"/>
      <c r="P53" s="2460"/>
      <c r="Q53" s="2460"/>
      <c r="R53" s="293"/>
      <c r="S53" s="2514"/>
      <c r="T53" s="2534"/>
      <c r="U53" s="237"/>
      <c r="V53" s="1311"/>
      <c r="W53" s="1414"/>
      <c r="X53" s="1311"/>
      <c r="Y53" s="1414"/>
      <c r="Z53" s="1311"/>
      <c r="AA53" s="1311"/>
      <c r="AB53" s="1311"/>
      <c r="AC53" s="1311"/>
      <c r="AD53" s="2401"/>
      <c r="AE53" s="2509"/>
      <c r="AF53" s="2413"/>
      <c r="AG53" s="2532"/>
      <c r="AH53" s="2338"/>
      <c r="AI53" s="2509"/>
      <c r="AJ53" s="2413"/>
      <c r="AK53" s="2523"/>
      <c r="AL53" s="2338"/>
      <c r="AM53" s="2393"/>
      <c r="AN53" s="2413"/>
      <c r="AO53" s="2536"/>
      <c r="AP53" s="2538"/>
      <c r="AQ53" s="253"/>
      <c r="AR53" s="352"/>
      <c r="AS53" s="352" t="s">
        <v>499</v>
      </c>
      <c r="AT53" s="1311"/>
      <c r="AU53" s="1414"/>
      <c r="AV53" s="1311"/>
      <c r="AW53" s="1414"/>
      <c r="AX53" s="1311"/>
      <c r="AY53" s="1311"/>
      <c r="AZ53" s="1311"/>
      <c r="BA53" s="1311"/>
      <c r="BB53" s="1315"/>
      <c r="BC53" s="2480"/>
      <c r="BE53" s="436"/>
      <c r="BF53" s="436"/>
      <c r="BG53" s="436"/>
      <c r="BH53" s="436"/>
      <c r="BI53" s="1073">
        <v>11</v>
      </c>
    </row>
    <row r="54" spans="1:61" ht="11.45" customHeight="1">
      <c r="A54" s="1281" t="s">
        <v>258</v>
      </c>
      <c r="B54" s="1281"/>
      <c r="C54" s="1281"/>
      <c r="D54" s="1281"/>
      <c r="E54" s="2457"/>
      <c r="F54" s="2457"/>
      <c r="G54" s="2457"/>
      <c r="H54" s="2457"/>
      <c r="I54" s="2459"/>
      <c r="J54" s="2459"/>
      <c r="K54" s="2458"/>
      <c r="L54" s="1282"/>
      <c r="P54" s="2460"/>
      <c r="Q54" s="2460"/>
      <c r="R54" s="293"/>
      <c r="S54" s="2514"/>
      <c r="T54" s="2534"/>
      <c r="U54" s="237"/>
      <c r="V54" s="1311"/>
      <c r="W54" s="1414"/>
      <c r="X54" s="1311"/>
      <c r="Y54" s="1414"/>
      <c r="Z54" s="1311"/>
      <c r="AA54" s="1311"/>
      <c r="AB54" s="1311"/>
      <c r="AC54" s="1311"/>
      <c r="AD54" s="2401"/>
      <c r="AE54" s="2509"/>
      <c r="AF54" s="2413"/>
      <c r="AG54" s="2532"/>
      <c r="AH54" s="2338"/>
      <c r="AI54" s="2509"/>
      <c r="AJ54" s="2413"/>
      <c r="AK54" s="2523"/>
      <c r="AL54" s="2338"/>
      <c r="AM54" s="253"/>
      <c r="AN54" s="1418"/>
      <c r="AO54" s="1418" t="s">
        <v>500</v>
      </c>
      <c r="AP54" s="352"/>
      <c r="AQ54" s="352"/>
      <c r="AR54" s="352"/>
      <c r="AS54" s="1311"/>
      <c r="AT54" s="1311"/>
      <c r="AU54" s="1414"/>
      <c r="AV54" s="1311"/>
      <c r="AW54" s="1414"/>
      <c r="AX54" s="1311"/>
      <c r="AY54" s="1311"/>
      <c r="AZ54" s="1311"/>
      <c r="BA54" s="1311"/>
      <c r="BB54" s="1315"/>
      <c r="BC54" s="2480"/>
      <c r="BE54" s="436"/>
      <c r="BF54" s="436"/>
      <c r="BG54" s="436"/>
      <c r="BH54" s="436"/>
      <c r="BI54" s="1073">
        <v>11</v>
      </c>
    </row>
    <row r="55" spans="1:61" ht="11.45" customHeight="1">
      <c r="A55" s="1281" t="s">
        <v>258</v>
      </c>
      <c r="B55" s="1281"/>
      <c r="C55" s="1281"/>
      <c r="D55" s="1281"/>
      <c r="E55" s="2457"/>
      <c r="F55" s="2457"/>
      <c r="G55" s="2457"/>
      <c r="H55" s="2457"/>
      <c r="I55" s="2459"/>
      <c r="J55" s="2459"/>
      <c r="K55" s="2458"/>
      <c r="L55" s="1282"/>
      <c r="P55" s="2460"/>
      <c r="Q55" s="2460"/>
      <c r="R55" s="293"/>
      <c r="S55" s="2514"/>
      <c r="T55" s="2534"/>
      <c r="U55" s="237"/>
      <c r="V55" s="1311"/>
      <c r="W55" s="1414"/>
      <c r="X55" s="1311"/>
      <c r="Y55" s="1414"/>
      <c r="Z55" s="1311"/>
      <c r="AA55" s="1311"/>
      <c r="AB55" s="1311"/>
      <c r="AC55" s="1311"/>
      <c r="AD55" s="2401"/>
      <c r="AE55" s="2509"/>
      <c r="AF55" s="2413"/>
      <c r="AG55" s="2532"/>
      <c r="AH55" s="2338"/>
      <c r="AI55" s="231"/>
      <c r="AJ55" s="351"/>
      <c r="AK55" s="250" t="s">
        <v>501</v>
      </c>
      <c r="AL55" s="1311"/>
      <c r="AM55" s="1311"/>
      <c r="AN55" s="1311"/>
      <c r="AO55" s="1311"/>
      <c r="AP55" s="1311"/>
      <c r="AQ55" s="1311"/>
      <c r="AR55" s="1311"/>
      <c r="AS55" s="1311"/>
      <c r="AT55" s="1311"/>
      <c r="AU55" s="1414"/>
      <c r="AV55" s="1311"/>
      <c r="AW55" s="1414"/>
      <c r="AX55" s="1311"/>
      <c r="AY55" s="1311"/>
      <c r="AZ55" s="1311"/>
      <c r="BA55" s="1311"/>
      <c r="BB55" s="1315"/>
      <c r="BC55" s="2480"/>
      <c r="BE55" s="436"/>
      <c r="BF55" s="436"/>
      <c r="BG55" s="436"/>
      <c r="BH55" s="436"/>
      <c r="BI55" s="1073">
        <v>11</v>
      </c>
    </row>
    <row r="56" spans="1:61" ht="11.45" customHeight="1">
      <c r="A56" s="1281" t="s">
        <v>258</v>
      </c>
      <c r="B56" s="1281" t="s">
        <v>259</v>
      </c>
      <c r="C56" s="1281" t="s">
        <v>260</v>
      </c>
      <c r="D56" s="1281" t="s">
        <v>541</v>
      </c>
      <c r="E56" s="2457"/>
      <c r="F56" s="2457"/>
      <c r="G56" s="2457"/>
      <c r="H56" s="2457"/>
      <c r="I56" s="2459"/>
      <c r="J56" s="2459"/>
      <c r="K56" s="2458"/>
      <c r="L56" s="1282"/>
      <c r="P56" s="2460"/>
      <c r="Q56" s="2460"/>
      <c r="R56" s="293"/>
      <c r="S56" s="2515"/>
      <c r="T56" s="2535"/>
      <c r="U56" s="237"/>
      <c r="V56" s="1311"/>
      <c r="W56" s="1312" t="str">
        <f>Z52&amp;"-"&amp;AB52</f>
        <v>-</v>
      </c>
      <c r="X56" s="1311"/>
      <c r="Y56" s="1312" t="str">
        <f>AB52&amp;"-"&amp;AD52</f>
        <v>-да</v>
      </c>
      <c r="Z56" s="1311"/>
      <c r="AA56" s="1311"/>
      <c r="AB56" s="1311"/>
      <c r="AC56" s="1311"/>
      <c r="AD56" s="2343"/>
      <c r="AE56" s="249"/>
      <c r="AF56" s="251"/>
      <c r="AG56" s="352" t="s">
        <v>502</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480"/>
      <c r="BE56" s="436"/>
      <c r="BF56" s="436" t="str">
        <f t="shared" ref="BF56:BF63" si="4">IF(T56="","",T56)</f>
        <v/>
      </c>
      <c r="BG56" s="436"/>
      <c r="BH56" s="436"/>
      <c r="BI56" s="1073">
        <v>11</v>
      </c>
    </row>
    <row r="57" spans="1:61" ht="11.45" customHeight="1">
      <c r="A57" s="1281" t="s">
        <v>258</v>
      </c>
      <c r="B57" s="1281" t="s">
        <v>259</v>
      </c>
      <c r="C57" s="1281" t="s">
        <v>260</v>
      </c>
      <c r="D57" s="1281" t="s">
        <v>541</v>
      </c>
      <c r="E57" s="2457"/>
      <c r="F57" s="2457"/>
      <c r="G57" s="2457"/>
      <c r="H57" s="2457"/>
      <c r="I57" s="2459"/>
      <c r="J57" s="2458"/>
      <c r="K57" s="1281"/>
      <c r="L57" s="1282"/>
      <c r="P57" s="2460"/>
      <c r="Q57" s="2460"/>
      <c r="R57" s="292"/>
      <c r="S57" s="1196"/>
      <c r="T57" s="224" t="s">
        <v>465</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81"/>
      <c r="BE57" s="436"/>
      <c r="BF57" s="436" t="str">
        <f t="shared" si="4"/>
        <v>Добавить строку</v>
      </c>
      <c r="BG57" s="436"/>
      <c r="BH57" s="436"/>
      <c r="BI57" s="1073">
        <v>11</v>
      </c>
    </row>
    <row r="58" spans="1:61" s="2034" customFormat="1" ht="0" hidden="1" customHeight="1">
      <c r="A58" s="1261" t="s">
        <v>258</v>
      </c>
      <c r="B58" s="1261" t="s">
        <v>259</v>
      </c>
      <c r="C58" s="1261" t="s">
        <v>260</v>
      </c>
      <c r="D58" s="1261" t="s">
        <v>541</v>
      </c>
      <c r="E58" s="2457"/>
      <c r="F58" s="2457"/>
      <c r="G58" s="2457"/>
      <c r="H58" s="2457"/>
      <c r="I58" s="2458"/>
      <c r="J58" s="1261"/>
      <c r="K58" s="1261"/>
      <c r="L58" s="1264"/>
      <c r="M58" s="446"/>
      <c r="N58" s="446"/>
      <c r="O58" s="446"/>
      <c r="P58" s="2460"/>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034" customFormat="1" ht="0" hidden="1" customHeight="1">
      <c r="A59" s="1261" t="s">
        <v>258</v>
      </c>
      <c r="B59" s="1261" t="s">
        <v>259</v>
      </c>
      <c r="C59" s="1261" t="s">
        <v>260</v>
      </c>
      <c r="D59" s="1261" t="s">
        <v>541</v>
      </c>
      <c r="E59" s="2457"/>
      <c r="F59" s="2457"/>
      <c r="G59" s="2457"/>
      <c r="H59" s="2456"/>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034" customFormat="1" ht="0" hidden="1" customHeight="1">
      <c r="A60" s="1261" t="s">
        <v>258</v>
      </c>
      <c r="B60" s="1261" t="s">
        <v>259</v>
      </c>
      <c r="C60" s="1261" t="s">
        <v>260</v>
      </c>
      <c r="D60" s="1232"/>
      <c r="E60" s="2457"/>
      <c r="F60" s="2457"/>
      <c r="G60" s="245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034" customFormat="1" ht="0" hidden="1" customHeight="1">
      <c r="A61" s="1261" t="s">
        <v>258</v>
      </c>
      <c r="B61" s="1261" t="s">
        <v>259</v>
      </c>
      <c r="C61" s="1232"/>
      <c r="D61" s="1232"/>
      <c r="E61" s="2457"/>
      <c r="F61" s="2456"/>
      <c r="G61" s="1232"/>
      <c r="H61" s="1232"/>
      <c r="I61" s="1232"/>
      <c r="J61" s="1232"/>
      <c r="K61" s="1232"/>
      <c r="L61" s="1412"/>
      <c r="M61" s="1239"/>
      <c r="N61" s="1239"/>
      <c r="P61" s="1234"/>
      <c r="Q61" s="1235"/>
      <c r="R61" s="1234"/>
      <c r="S61" s="1240"/>
      <c r="T61" s="1243" t="s">
        <v>412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034" customFormat="1" ht="0" hidden="1" customHeight="1">
      <c r="A62" s="1261" t="s">
        <v>258</v>
      </c>
      <c r="B62" s="1261"/>
      <c r="C62" s="1261"/>
      <c r="D62" s="1261"/>
      <c r="E62" s="2456"/>
      <c r="F62" s="1261"/>
      <c r="G62" s="1261"/>
      <c r="H62" s="1261"/>
      <c r="I62" s="1261"/>
      <c r="J62" s="1261"/>
      <c r="K62" s="1261"/>
      <c r="L62" s="1264"/>
      <c r="M62" s="1239"/>
      <c r="N62" s="1239"/>
      <c r="O62" s="454"/>
      <c r="P62" s="316"/>
      <c r="Q62" s="1262"/>
      <c r="R62" s="316"/>
      <c r="S62" s="1240"/>
      <c r="T62" s="1243" t="s">
        <v>413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03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445</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455"/>
      <c r="U65" s="2455"/>
      <c r="V65" s="2455"/>
      <c r="W65" s="2455"/>
      <c r="X65" s="2455"/>
      <c r="Y65" s="2455"/>
      <c r="Z65" s="2455"/>
      <c r="AA65" s="2455"/>
      <c r="AB65" s="2455"/>
      <c r="AC65" s="2455"/>
      <c r="AD65" s="2455"/>
      <c r="AE65" s="2455"/>
      <c r="AF65" s="2455"/>
      <c r="AG65" s="2455"/>
      <c r="AH65" s="2455"/>
      <c r="AI65" s="2455"/>
      <c r="AJ65" s="2455"/>
      <c r="AK65" s="2455"/>
      <c r="AL65" s="2455"/>
      <c r="AM65" s="2455"/>
      <c r="AN65" s="2455"/>
      <c r="AO65" s="2455"/>
      <c r="AP65" s="2455"/>
      <c r="AQ65" s="2455"/>
      <c r="AR65" s="2455"/>
      <c r="AS65" s="2455"/>
      <c r="AT65" s="2455"/>
      <c r="AU65" s="2455"/>
      <c r="AV65" s="2455"/>
      <c r="AW65" s="2455"/>
      <c r="AX65" s="2455"/>
      <c r="AY65" s="2455"/>
      <c r="AZ65" s="2455"/>
      <c r="BA65" s="2455"/>
      <c r="BB65" s="2455"/>
      <c r="BC65" s="2455"/>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2455"/>
      <c r="U67" s="2455"/>
      <c r="V67" s="2455"/>
      <c r="W67" s="2455"/>
      <c r="X67" s="2455"/>
      <c r="Y67" s="2455"/>
      <c r="Z67" s="2455"/>
      <c r="AA67" s="2455"/>
      <c r="AB67" s="2455"/>
      <c r="AC67" s="2455"/>
      <c r="AD67" s="2455"/>
      <c r="AE67" s="2455"/>
      <c r="AF67" s="2455"/>
      <c r="AG67" s="2455"/>
      <c r="AH67" s="2455"/>
      <c r="AI67" s="2455"/>
      <c r="AJ67" s="2455"/>
      <c r="AK67" s="2455"/>
      <c r="AL67" s="2455"/>
      <c r="AM67" s="2455"/>
      <c r="AN67" s="2455"/>
      <c r="AO67" s="2455"/>
      <c r="AP67" s="2455"/>
      <c r="AQ67" s="2455"/>
      <c r="AR67" s="2455"/>
      <c r="AS67" s="2455"/>
      <c r="AT67" s="2455"/>
      <c r="AU67" s="2455"/>
      <c r="AV67" s="2455"/>
      <c r="AW67" s="2455"/>
      <c r="AX67" s="2455"/>
      <c r="AY67" s="2455"/>
      <c r="AZ67" s="2455"/>
      <c r="BA67" s="2455"/>
      <c r="BB67" s="2455"/>
      <c r="BC67" s="2455"/>
      <c r="BI67" s="1073">
        <v>19</v>
      </c>
    </row>
    <row r="68" spans="1:61" ht="14.65" customHeight="1">
      <c r="O68" s="473"/>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031" hidden="1" customWidth="1"/>
    <col min="2" max="2" width="16.85546875" style="2056" hidden="1" customWidth="1"/>
    <col min="3" max="3" width="5.5703125" style="2034" hidden="1" customWidth="1"/>
    <col min="4" max="4" width="3" style="2062" customWidth="1"/>
    <col min="5" max="5" width="7" style="2062" customWidth="1"/>
    <col min="6" max="6" width="54" style="2062" customWidth="1"/>
    <col min="7" max="7" width="10" style="2062" customWidth="1"/>
    <col min="8" max="8" width="40.7109375" style="2062" hidden="1" customWidth="1"/>
    <col min="9" max="9" width="40.7109375" style="2062" customWidth="1"/>
    <col min="10" max="10" width="102" style="2062" customWidth="1"/>
    <col min="11" max="11" width="9" style="2056" customWidth="1"/>
    <col min="12" max="12" width="5" style="2034" customWidth="1"/>
    <col min="13" max="13" width="3" style="2034" customWidth="1"/>
    <col min="14" max="17" width="3" style="2056" customWidth="1"/>
    <col min="18" max="18" width="10" style="2034" customWidth="1"/>
    <col min="19" max="19" width="34" style="2056" customWidth="1"/>
    <col min="20" max="20" width="9" style="2056" customWidth="1"/>
    <col min="21" max="21" width="8" style="2033" customWidth="1"/>
    <col min="22" max="26" width="8" style="2056" customWidth="1"/>
    <col min="27" max="31" width="8" style="2071" customWidth="1"/>
    <col min="32" max="32" width="9.140625" style="2062" hidden="1"/>
  </cols>
  <sheetData>
    <row r="1" spans="1:32" ht="22.5" hidden="1" customHeight="1">
      <c r="AF1" s="1549" t="s">
        <v>14</v>
      </c>
    </row>
    <row r="2" spans="1:32" ht="23.25" hidden="1" customHeight="1">
      <c r="B2" s="2313"/>
      <c r="C2" s="1085" t="s">
        <v>542</v>
      </c>
      <c r="D2" s="1556"/>
      <c r="E2" s="482">
        <f>B2</f>
        <v>0</v>
      </c>
      <c r="F2" s="483"/>
      <c r="G2" s="1564" t="s">
        <v>543</v>
      </c>
      <c r="H2" s="1564" t="s">
        <v>543</v>
      </c>
      <c r="I2" s="1564" t="s">
        <v>543</v>
      </c>
      <c r="J2" s="226" t="s">
        <v>544</v>
      </c>
      <c r="K2" s="479"/>
      <c r="AF2" s="1549">
        <v>0</v>
      </c>
    </row>
    <row r="3" spans="1:32" s="2034" customFormat="1" ht="0.75" hidden="1" customHeight="1">
      <c r="B3" s="2313"/>
      <c r="C3" s="1085"/>
      <c r="D3" s="484"/>
      <c r="E3" s="485"/>
      <c r="F3" s="486" t="s">
        <v>545</v>
      </c>
      <c r="G3" s="487"/>
      <c r="H3" s="487">
        <f>H4*H5+H7</f>
        <v>0</v>
      </c>
      <c r="I3" s="487">
        <f>I4*I5+I6</f>
        <v>0</v>
      </c>
      <c r="J3" s="488"/>
      <c r="AF3" s="1554">
        <v>0</v>
      </c>
    </row>
    <row r="4" spans="1:32" ht="23.25" hidden="1" customHeight="1">
      <c r="B4" s="2313"/>
      <c r="C4" s="1085"/>
      <c r="D4" s="1556"/>
      <c r="E4" s="482" t="str">
        <f>B2&amp;".1"</f>
        <v>.1</v>
      </c>
      <c r="F4" s="489" t="s">
        <v>546</v>
      </c>
      <c r="G4" s="490"/>
      <c r="H4" s="477"/>
      <c r="I4" s="477"/>
      <c r="J4" s="226" t="s">
        <v>547</v>
      </c>
      <c r="K4" s="479"/>
      <c r="AF4" s="1549">
        <v>0</v>
      </c>
    </row>
    <row r="5" spans="1:32" ht="18.75" hidden="1" customHeight="1">
      <c r="B5" s="2313"/>
      <c r="C5" s="1085"/>
      <c r="D5" s="1556"/>
      <c r="E5" s="482" t="str">
        <f>B2&amp;".2"</f>
        <v>.2</v>
      </c>
      <c r="F5" s="489" t="s">
        <v>548</v>
      </c>
      <c r="G5" s="1564" t="s">
        <v>549</v>
      </c>
      <c r="H5" s="477"/>
      <c r="I5" s="477"/>
      <c r="J5" s="226"/>
      <c r="K5" s="479"/>
      <c r="AF5" s="1549">
        <v>0</v>
      </c>
    </row>
    <row r="6" spans="1:32" ht="18.75" hidden="1" customHeight="1">
      <c r="B6" s="2313"/>
      <c r="C6" s="1085"/>
      <c r="D6" s="1556"/>
      <c r="E6" s="482" t="str">
        <f>B2&amp;".3"</f>
        <v>.3</v>
      </c>
      <c r="F6" s="489" t="s">
        <v>550</v>
      </c>
      <c r="G6" s="1564" t="s">
        <v>549</v>
      </c>
      <c r="H6" s="477"/>
      <c r="I6" s="477"/>
      <c r="J6" s="226"/>
      <c r="K6" s="479"/>
      <c r="AF6" s="1549">
        <v>0</v>
      </c>
    </row>
    <row r="7" spans="1:32" ht="18.75" hidden="1" customHeight="1">
      <c r="B7" s="2313"/>
      <c r="C7" s="1085"/>
      <c r="D7" s="1556"/>
      <c r="E7" s="482" t="str">
        <f>B2&amp;".4"</f>
        <v>.4</v>
      </c>
      <c r="F7" s="489" t="s">
        <v>551</v>
      </c>
      <c r="G7" s="1564" t="s">
        <v>543</v>
      </c>
      <c r="H7" s="491"/>
      <c r="I7" s="491"/>
      <c r="J7" s="226"/>
      <c r="K7" s="479"/>
      <c r="AF7" s="1549">
        <v>0</v>
      </c>
    </row>
    <row r="8" spans="1:32" s="2056" customFormat="1" ht="11.25" hidden="1" customHeight="1">
      <c r="A8" s="911"/>
      <c r="C8" s="1554"/>
      <c r="D8" s="473"/>
      <c r="H8" s="1078">
        <v>4</v>
      </c>
      <c r="I8" s="1078">
        <v>4</v>
      </c>
      <c r="L8" s="1554"/>
      <c r="M8" s="1554"/>
      <c r="R8" s="1554"/>
      <c r="AF8" s="1078">
        <v>0</v>
      </c>
    </row>
    <row r="9" spans="1:32" s="2056" customFormat="1" ht="22.5" hidden="1" customHeight="1">
      <c r="A9" s="911"/>
      <c r="C9" s="1554"/>
      <c r="D9" s="474"/>
      <c r="E9" s="1566"/>
      <c r="F9" s="476"/>
      <c r="G9" s="1564" t="s">
        <v>549</v>
      </c>
      <c r="H9" s="477"/>
      <c r="I9" s="477"/>
      <c r="J9" s="478" t="s">
        <v>552</v>
      </c>
      <c r="K9" s="479"/>
      <c r="L9" s="1554"/>
      <c r="M9" s="1554"/>
      <c r="R9" s="1554"/>
      <c r="U9" s="480"/>
      <c r="AA9" s="1550"/>
      <c r="AB9" s="1550"/>
      <c r="AC9" s="1550"/>
      <c r="AD9" s="1550"/>
      <c r="AE9" s="1550"/>
      <c r="AF9" s="1078">
        <v>0</v>
      </c>
    </row>
    <row r="10" spans="1:32" ht="11.25" hidden="1" customHeight="1">
      <c r="AF10" s="1549">
        <v>0</v>
      </c>
    </row>
    <row r="11" spans="1:32" ht="18.75" hidden="1" customHeight="1">
      <c r="D11" s="1556"/>
      <c r="E11" s="482"/>
      <c r="F11" s="476"/>
      <c r="G11" s="1564" t="s">
        <v>553</v>
      </c>
      <c r="H11" s="477"/>
      <c r="I11" s="477"/>
      <c r="J11" s="226" t="s">
        <v>554</v>
      </c>
      <c r="K11" s="479"/>
      <c r="AF11" s="1549">
        <v>0</v>
      </c>
    </row>
    <row r="12" spans="1:32" ht="11.25" hidden="1" customHeight="1">
      <c r="AF12" s="1549">
        <v>0</v>
      </c>
    </row>
    <row r="13" spans="1:32" ht="22.5" hidden="1" customHeight="1">
      <c r="D13" s="1556"/>
      <c r="E13" s="482"/>
      <c r="F13" s="476"/>
      <c r="G13" s="894" t="s">
        <v>555</v>
      </c>
      <c r="H13" s="481"/>
      <c r="I13" s="481"/>
      <c r="J13" s="681" t="s">
        <v>556</v>
      </c>
      <c r="K13" s="479"/>
      <c r="AF13" s="1549">
        <v>0</v>
      </c>
    </row>
    <row r="14" spans="1:32" ht="11.25" hidden="1" customHeight="1">
      <c r="AF14" s="1549">
        <v>0</v>
      </c>
    </row>
    <row r="15" spans="1:32" ht="22.5" hidden="1" customHeight="1">
      <c r="D15" s="1556"/>
      <c r="E15" s="482"/>
      <c r="F15" s="476"/>
      <c r="G15" s="1564" t="s">
        <v>557</v>
      </c>
      <c r="H15" s="481"/>
      <c r="I15" s="481"/>
      <c r="J15" s="226" t="s">
        <v>558</v>
      </c>
      <c r="K15" s="479"/>
      <c r="AF15" s="1549">
        <v>0</v>
      </c>
    </row>
    <row r="16" spans="1:32" ht="11.25" hidden="1" customHeight="1">
      <c r="AF16" s="1549">
        <v>0</v>
      </c>
    </row>
    <row r="17" spans="1:32" ht="22.5" hidden="1" customHeight="1">
      <c r="D17" s="1556"/>
      <c r="E17" s="482"/>
      <c r="F17" s="476"/>
      <c r="G17" s="1564" t="s">
        <v>559</v>
      </c>
      <c r="H17" s="481"/>
      <c r="I17" s="481"/>
      <c r="J17" s="226" t="s">
        <v>560</v>
      </c>
      <c r="K17" s="479"/>
      <c r="AF17" s="1549">
        <v>0</v>
      </c>
    </row>
    <row r="18" spans="1:32" ht="11.25" hidden="1" customHeight="1">
      <c r="AF18" s="1549">
        <v>0</v>
      </c>
    </row>
    <row r="19" spans="1:32" s="2071" customFormat="1" ht="11.25" hidden="1" customHeight="1">
      <c r="A19" s="911"/>
      <c r="B19" s="1078"/>
      <c r="C19" s="1554"/>
      <c r="D19" s="298"/>
      <c r="J19" s="1550">
        <v>4</v>
      </c>
      <c r="K19" s="1078"/>
      <c r="L19" s="1554"/>
      <c r="M19" s="1554"/>
      <c r="N19" s="1078"/>
      <c r="O19" s="1078"/>
      <c r="P19" s="1078"/>
      <c r="Q19" s="1078"/>
      <c r="R19" s="1554"/>
      <c r="S19" s="1078"/>
      <c r="T19" s="1078"/>
      <c r="U19" s="480"/>
      <c r="V19" s="1078"/>
      <c r="W19" s="1078"/>
      <c r="X19" s="1078"/>
      <c r="Y19" s="1078"/>
      <c r="Z19" s="1078"/>
      <c r="AF19" s="1550">
        <v>0</v>
      </c>
    </row>
    <row r="20" spans="1:32" ht="11.45" customHeight="1">
      <c r="AF20" s="1549">
        <v>11</v>
      </c>
    </row>
    <row r="21" spans="1:32" ht="25.15" customHeight="1">
      <c r="E21" s="243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37"/>
      <c r="G21" s="2437"/>
      <c r="H21" s="2437"/>
      <c r="I21" s="2437"/>
      <c r="J21" s="492"/>
      <c r="AF21" s="1549">
        <v>24</v>
      </c>
    </row>
    <row r="22" spans="1:32" ht="25.15" customHeight="1">
      <c r="E22" s="2409" t="str">
        <f>IF(org=0,"Не определено",org)</f>
        <v>ПАО "ТГК-1" филиал "Невский"</v>
      </c>
      <c r="F22" s="2409"/>
      <c r="G22" s="2409"/>
      <c r="H22" s="2409"/>
      <c r="I22" s="2409"/>
      <c r="AF22" s="1549">
        <v>24</v>
      </c>
    </row>
    <row r="23" spans="1:32" ht="11.45" customHeight="1">
      <c r="E23" s="1054"/>
      <c r="F23" s="1054"/>
      <c r="G23" s="1054"/>
      <c r="H23" s="1054"/>
      <c r="I23" s="1054"/>
      <c r="AF23" s="1549">
        <v>11</v>
      </c>
    </row>
    <row r="24" spans="1:32" s="2034" customFormat="1" ht="1.1499999999999999" customHeight="1">
      <c r="A24" s="1085"/>
      <c r="D24" s="1560"/>
      <c r="H24" s="814"/>
      <c r="I24" s="814" t="s">
        <v>116</v>
      </c>
      <c r="AF24" s="1554">
        <v>1</v>
      </c>
    </row>
    <row r="25" spans="1:32" ht="11.45" customHeight="1">
      <c r="E25" s="647"/>
      <c r="F25" s="2543" t="s">
        <v>104</v>
      </c>
      <c r="G25" s="2544"/>
      <c r="H25" s="1570" t="str">
        <f>IF(H24="","",INDEX(DIFFERENTIATION_UNMERGE_VD,MATCH(H24,DIFFERENTIATION_ID_DIFF,0)))</f>
        <v/>
      </c>
      <c r="I25" s="1570">
        <f>IF(I24="","",INDEX(DIFFERENTIATION_UNMERGE_VD,MATCH(I24,DIFFERENTIATION_ID_DIFF,0)))</f>
        <v>0</v>
      </c>
      <c r="J25" s="2328"/>
      <c r="AF25" s="1549">
        <v>11</v>
      </c>
    </row>
    <row r="26" spans="1:32" ht="11.45" customHeight="1">
      <c r="E26" s="647"/>
      <c r="F26" s="2543" t="s">
        <v>561</v>
      </c>
      <c r="G26" s="2544"/>
      <c r="H26" s="1570" t="str">
        <f>IF(H24="","",INDEX(DIFFERENTIATION_UNMERGE_AREA,MATCH(H24,DIFFERENTIATION_ID_DIFF,0)))</f>
        <v/>
      </c>
      <c r="I26" s="1570" t="str">
        <f>IF(I24="","",INDEX(DIFFERENTIATION_UNMERGE_AREA,MATCH(I24,DIFFERENTIATION_ID_DIFF,0)))</f>
        <v/>
      </c>
      <c r="J26" s="2328"/>
      <c r="AF26" s="1549">
        <v>11</v>
      </c>
    </row>
    <row r="27" spans="1:32" ht="11.45" customHeight="1">
      <c r="E27" s="647"/>
      <c r="F27" s="2543" t="s">
        <v>562</v>
      </c>
      <c r="G27" s="2544"/>
      <c r="H27" s="1570" t="str">
        <f>IF(H24="","",INDEX(DIFFERENTIATION_UNMERGE_SYSTEM,MATCH(H24,DIFFERENTIATION_ID_DIFF,0)))</f>
        <v/>
      </c>
      <c r="I27" s="1570" t="str">
        <f>IF(I24="","",INDEX(DIFFERENTIATION_UNMERGE_SYSTEM,MATCH(I24,DIFFERENTIATION_ID_DIFF,0)))</f>
        <v>без дифференциации</v>
      </c>
      <c r="J27" s="2328"/>
      <c r="AF27" s="1549">
        <v>11</v>
      </c>
    </row>
    <row r="28" spans="1:32" ht="11.45" customHeight="1">
      <c r="E28" s="2545" t="s">
        <v>297</v>
      </c>
      <c r="F28" s="2546"/>
      <c r="G28" s="2546"/>
      <c r="H28" s="1563"/>
      <c r="I28" s="1563"/>
      <c r="J28" s="2328"/>
      <c r="AF28" s="1549">
        <v>11</v>
      </c>
    </row>
    <row r="29" spans="1:32" ht="24" customHeight="1">
      <c r="E29" s="1564" t="s">
        <v>90</v>
      </c>
      <c r="F29" s="1571" t="s">
        <v>299</v>
      </c>
      <c r="G29" s="1571" t="s">
        <v>563</v>
      </c>
      <c r="H29" s="1571" t="s">
        <v>300</v>
      </c>
      <c r="I29" s="1571" t="s">
        <v>300</v>
      </c>
      <c r="J29" s="2328"/>
      <c r="AF29" s="1549">
        <v>23</v>
      </c>
    </row>
    <row r="30" spans="1:32" ht="19.899999999999999" customHeight="1">
      <c r="D30" s="1556"/>
      <c r="E30" s="482">
        <f>FHD_NUM_P_1</f>
        <v>1</v>
      </c>
      <c r="F30" s="1795" t="str">
        <f>FHD_P_1</f>
        <v>Выручка от регулируемого вида деятельности с распределением по видам деятельности</v>
      </c>
      <c r="G30" s="1793" t="s">
        <v>549</v>
      </c>
      <c r="H30" s="493"/>
      <c r="I30" s="493"/>
      <c r="J30" s="226" t="str">
        <f>FHD_NOTE_P_1</f>
        <v>Указывается выручка от регулируемого вида деятельности с распределением по видам деятельности.</v>
      </c>
      <c r="K30" s="479"/>
      <c r="AF30" s="1549">
        <v>19</v>
      </c>
    </row>
    <row r="31" spans="1:32" ht="11.45" customHeight="1">
      <c r="D31" s="1556"/>
      <c r="E31" s="482">
        <f>FHD_NUM_P_2</f>
        <v>2</v>
      </c>
      <c r="F31" s="1795" t="str">
        <f>FHD_P_2</f>
        <v>Себестоимость производимых товаров (оказываемых услуг) по регулируемому виду деятельности, включая:</v>
      </c>
      <c r="G31" s="1793" t="s">
        <v>549</v>
      </c>
      <c r="H31" s="494">
        <f>SUMIF($K33:$K71,$K31,H33:H71)</f>
        <v>0</v>
      </c>
      <c r="I31" s="494">
        <f>SUMIF($K33:$K71,$K31,I33:I71)</f>
        <v>0</v>
      </c>
      <c r="J31" s="226" t="str">
        <f>FHD_NOTE_P_2</f>
        <v>Указывается суммарная себестоимость производимых товаров.</v>
      </c>
      <c r="K31" s="1554" t="s">
        <v>564</v>
      </c>
      <c r="AF31" s="1549">
        <v>11</v>
      </c>
    </row>
    <row r="32" spans="1:32" ht="11.45" customHeight="1">
      <c r="D32" s="1556"/>
      <c r="E32" s="482" t="str">
        <f>FHD_NUM_P_3</f>
        <v>2.1</v>
      </c>
      <c r="F32" s="1442" t="str">
        <f>FHD_P_3</f>
        <v>Расходы на приобретаемую тепловую энергию (мощность), теплоноситель</v>
      </c>
      <c r="G32" s="1793" t="s">
        <v>549</v>
      </c>
      <c r="H32" s="493"/>
      <c r="I32" s="493"/>
      <c r="J32" s="226" t="str">
        <f>FHD_NOTE_P_3</f>
        <v/>
      </c>
      <c r="K32" s="1554" t="str">
        <f t="shared" ref="K32:K70" si="0">IF((LEN(E32)-LEN(SUBSTITUTE(E32,".","")))/LEN(".")=1,"p","")</f>
        <v>p</v>
      </c>
      <c r="AF32" s="1549">
        <v>11</v>
      </c>
    </row>
    <row r="33" spans="1:32" ht="11.25" customHeight="1">
      <c r="A33" s="2541" t="s">
        <v>565</v>
      </c>
      <c r="D33" s="1556"/>
      <c r="E33" s="482"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549</v>
      </c>
      <c r="H33" s="494">
        <f>SUMIF($F34:$F40,$F3,H34:H40)</f>
        <v>0</v>
      </c>
      <c r="I33" s="494">
        <f>SUMIF($F34:$F40,$F3,I34:I40)</f>
        <v>0</v>
      </c>
      <c r="J33" s="226" t="str">
        <f>FHD_NOTE_P_4</f>
        <v>Указываются суммарные расходы на приобретение топлива всех видов.</v>
      </c>
      <c r="K33" s="1554" t="str">
        <f t="shared" si="0"/>
        <v>p</v>
      </c>
      <c r="AF33" s="1549">
        <v>0</v>
      </c>
    </row>
    <row r="34" spans="1:32" s="2028" customFormat="1" ht="0.75" customHeight="1">
      <c r="A34" s="2541"/>
      <c r="B34" s="2542" t="str">
        <f>E33&amp;".0"</f>
        <v>2.2.0</v>
      </c>
      <c r="C34" s="1085"/>
      <c r="D34" s="496"/>
      <c r="E34" s="497"/>
      <c r="F34" s="498"/>
      <c r="G34" s="499"/>
      <c r="H34" s="433"/>
      <c r="I34" s="433"/>
      <c r="J34" s="500"/>
      <c r="K34" s="1554" t="str">
        <f t="shared" si="0"/>
        <v/>
      </c>
      <c r="L34" s="1554"/>
      <c r="M34" s="1554"/>
      <c r="N34" s="1554"/>
      <c r="O34" s="1554"/>
      <c r="P34" s="1554"/>
      <c r="Q34" s="1554"/>
      <c r="R34" s="1554"/>
      <c r="S34" s="1554"/>
      <c r="T34" s="1554"/>
      <c r="U34" s="501"/>
      <c r="V34" s="1554"/>
      <c r="W34" s="1554"/>
      <c r="X34" s="1554"/>
      <c r="Y34" s="1554"/>
      <c r="Z34" s="1554"/>
      <c r="AA34" s="502"/>
      <c r="AB34" s="502"/>
      <c r="AC34" s="502"/>
      <c r="AD34" s="502"/>
      <c r="AE34" s="502"/>
      <c r="AF34" s="1559">
        <v>0</v>
      </c>
    </row>
    <row r="35" spans="1:32" s="2028" customFormat="1" ht="0.75" customHeight="1">
      <c r="A35" s="2541"/>
      <c r="B35" s="2542"/>
      <c r="C35" s="1085"/>
      <c r="D35" s="496"/>
      <c r="E35" s="503"/>
      <c r="F35" s="504"/>
      <c r="G35" s="499"/>
      <c r="H35" s="505"/>
      <c r="I35" s="505"/>
      <c r="J35" s="500"/>
      <c r="K35" s="1554" t="str">
        <f t="shared" si="0"/>
        <v/>
      </c>
      <c r="L35" s="1554"/>
      <c r="M35" s="1554"/>
      <c r="N35" s="1554"/>
      <c r="O35" s="1554"/>
      <c r="P35" s="1554"/>
      <c r="Q35" s="1554"/>
      <c r="R35" s="1554"/>
      <c r="S35" s="1554"/>
      <c r="T35" s="1554"/>
      <c r="U35" s="501"/>
      <c r="V35" s="1554"/>
      <c r="W35" s="1554"/>
      <c r="X35" s="1554"/>
      <c r="Y35" s="1554"/>
      <c r="Z35" s="1554"/>
      <c r="AA35" s="502"/>
      <c r="AB35" s="502"/>
      <c r="AC35" s="502"/>
      <c r="AD35" s="502"/>
      <c r="AE35" s="502"/>
      <c r="AF35" s="1559">
        <v>0</v>
      </c>
    </row>
    <row r="36" spans="1:32" s="2028" customFormat="1" ht="0.75" customHeight="1">
      <c r="A36" s="2541"/>
      <c r="B36" s="2542"/>
      <c r="C36" s="1085"/>
      <c r="D36" s="496"/>
      <c r="E36" s="503"/>
      <c r="F36" s="504"/>
      <c r="G36" s="499"/>
      <c r="H36" s="505"/>
      <c r="I36" s="505"/>
      <c r="J36" s="500"/>
      <c r="K36" s="1554" t="str">
        <f t="shared" si="0"/>
        <v/>
      </c>
      <c r="L36" s="1554"/>
      <c r="M36" s="1554"/>
      <c r="N36" s="1554"/>
      <c r="O36" s="1554"/>
      <c r="P36" s="1554"/>
      <c r="Q36" s="1554"/>
      <c r="R36" s="1554"/>
      <c r="S36" s="1554"/>
      <c r="T36" s="1554"/>
      <c r="U36" s="501"/>
      <c r="V36" s="1554"/>
      <c r="W36" s="1554"/>
      <c r="X36" s="1554"/>
      <c r="Y36" s="1554"/>
      <c r="Z36" s="1554"/>
      <c r="AA36" s="502"/>
      <c r="AB36" s="502"/>
      <c r="AC36" s="502"/>
      <c r="AD36" s="502"/>
      <c r="AE36" s="502"/>
      <c r="AF36" s="1559">
        <v>0</v>
      </c>
    </row>
    <row r="37" spans="1:32" s="2028" customFormat="1" ht="0.75" customHeight="1">
      <c r="A37" s="2541"/>
      <c r="B37" s="2542"/>
      <c r="C37" s="1085"/>
      <c r="D37" s="496"/>
      <c r="E37" s="503"/>
      <c r="F37" s="504"/>
      <c r="G37" s="499"/>
      <c r="H37" s="505"/>
      <c r="I37" s="505"/>
      <c r="J37" s="500"/>
      <c r="K37" s="1554" t="str">
        <f t="shared" si="0"/>
        <v/>
      </c>
      <c r="L37" s="1554"/>
      <c r="M37" s="1554"/>
      <c r="N37" s="1554"/>
      <c r="O37" s="1554"/>
      <c r="P37" s="1554"/>
      <c r="Q37" s="1554"/>
      <c r="R37" s="1554"/>
      <c r="S37" s="1554"/>
      <c r="T37" s="1554"/>
      <c r="U37" s="501"/>
      <c r="V37" s="1554"/>
      <c r="W37" s="1554"/>
      <c r="X37" s="1554"/>
      <c r="Y37" s="1554"/>
      <c r="Z37" s="1554"/>
      <c r="AA37" s="502"/>
      <c r="AB37" s="502"/>
      <c r="AC37" s="502"/>
      <c r="AD37" s="502"/>
      <c r="AE37" s="502"/>
      <c r="AF37" s="1559">
        <v>0</v>
      </c>
    </row>
    <row r="38" spans="1:32" s="2028" customFormat="1" ht="0.75" customHeight="1">
      <c r="A38" s="2541"/>
      <c r="B38" s="2542"/>
      <c r="C38" s="1085"/>
      <c r="D38" s="496"/>
      <c r="E38" s="503"/>
      <c r="F38" s="504"/>
      <c r="G38" s="499"/>
      <c r="H38" s="505"/>
      <c r="I38" s="505"/>
      <c r="J38" s="500"/>
      <c r="K38" s="1554" t="str">
        <f t="shared" si="0"/>
        <v/>
      </c>
      <c r="L38" s="1554"/>
      <c r="M38" s="1554"/>
      <c r="N38" s="1554"/>
      <c r="O38" s="1554"/>
      <c r="P38" s="1554"/>
      <c r="Q38" s="1554"/>
      <c r="R38" s="1554"/>
      <c r="S38" s="1554"/>
      <c r="T38" s="1554"/>
      <c r="U38" s="501"/>
      <c r="V38" s="1554"/>
      <c r="W38" s="1554"/>
      <c r="X38" s="1554"/>
      <c r="Y38" s="1554"/>
      <c r="Z38" s="1554"/>
      <c r="AA38" s="502"/>
      <c r="AB38" s="502"/>
      <c r="AC38" s="502"/>
      <c r="AD38" s="502"/>
      <c r="AE38" s="502"/>
      <c r="AF38" s="1559">
        <v>0</v>
      </c>
    </row>
    <row r="39" spans="1:32" s="2028" customFormat="1" ht="0.75" customHeight="1">
      <c r="A39" s="2541"/>
      <c r="B39" s="2542"/>
      <c r="C39" s="1085"/>
      <c r="D39" s="496"/>
      <c r="E39" s="503"/>
      <c r="F39" s="504"/>
      <c r="G39" s="499"/>
      <c r="H39" s="433"/>
      <c r="I39" s="433"/>
      <c r="J39" s="500"/>
      <c r="K39" s="1554" t="str">
        <f t="shared" si="0"/>
        <v/>
      </c>
      <c r="L39" s="1554"/>
      <c r="M39" s="1554"/>
      <c r="N39" s="1554"/>
      <c r="O39" s="1554"/>
      <c r="P39" s="1554"/>
      <c r="Q39" s="1554"/>
      <c r="R39" s="1554"/>
      <c r="S39" s="1554"/>
      <c r="T39" s="1554"/>
      <c r="U39" s="501"/>
      <c r="V39" s="1554"/>
      <c r="W39" s="1554"/>
      <c r="X39" s="1554"/>
      <c r="Y39" s="1554"/>
      <c r="Z39" s="1554"/>
      <c r="AA39" s="502"/>
      <c r="AB39" s="502"/>
      <c r="AC39" s="502"/>
      <c r="AD39" s="502"/>
      <c r="AE39" s="502"/>
      <c r="AF39" s="1559">
        <v>0</v>
      </c>
    </row>
    <row r="40" spans="1:32" s="2056" customFormat="1" ht="15" customHeight="1">
      <c r="A40" s="2541"/>
      <c r="C40" s="1554"/>
      <c r="D40" s="1551"/>
      <c r="E40" s="506"/>
      <c r="F40" s="507" t="s">
        <v>566</v>
      </c>
      <c r="G40" s="508"/>
      <c r="H40" s="509"/>
      <c r="I40" s="509"/>
      <c r="J40" s="238"/>
      <c r="K40" s="1554" t="str">
        <f t="shared" si="0"/>
        <v/>
      </c>
      <c r="L40" s="1554"/>
      <c r="M40" s="1554"/>
      <c r="R40" s="1554"/>
      <c r="U40" s="480"/>
      <c r="AA40" s="1550"/>
      <c r="AB40" s="1550"/>
      <c r="AC40" s="1550"/>
      <c r="AD40" s="1550"/>
      <c r="AE40" s="1550"/>
      <c r="AF40" s="1078">
        <v>0</v>
      </c>
    </row>
    <row r="41" spans="1:32" ht="11.25" hidden="1" customHeight="1">
      <c r="A41" s="2541" t="s">
        <v>567</v>
      </c>
      <c r="D41" s="1556"/>
      <c r="E41" s="482" t="str">
        <f>FHD_NUM_P_5</f>
        <v/>
      </c>
      <c r="F41" s="1442" t="str">
        <f>FHD_P_5</f>
        <v/>
      </c>
      <c r="G41" s="1793" t="s">
        <v>549</v>
      </c>
      <c r="H41" s="493"/>
      <c r="I41" s="493"/>
      <c r="J41" s="226" t="str">
        <f>FHD_NOTE_P_5</f>
        <v/>
      </c>
      <c r="K41" s="1554" t="str">
        <f t="shared" si="0"/>
        <v/>
      </c>
      <c r="AF41" s="1549">
        <v>0</v>
      </c>
    </row>
    <row r="42" spans="1:32" ht="11.25" hidden="1" customHeight="1">
      <c r="A42" s="2541"/>
      <c r="D42" s="1556"/>
      <c r="E42" s="482" t="str">
        <f>FHD_NUM_P_6</f>
        <v/>
      </c>
      <c r="F42" s="1442" t="str">
        <f>FHD_P_6</f>
        <v/>
      </c>
      <c r="G42" s="1793" t="s">
        <v>549</v>
      </c>
      <c r="H42" s="493"/>
      <c r="I42" s="493"/>
      <c r="J42" s="226" t="str">
        <f>FHD_NOTE_P_6</f>
        <v/>
      </c>
      <c r="K42" s="1554" t="str">
        <f t="shared" si="0"/>
        <v/>
      </c>
      <c r="AF42" s="1549">
        <v>0</v>
      </c>
    </row>
    <row r="43" spans="1:32" ht="11.25" hidden="1" customHeight="1">
      <c r="A43" s="2541"/>
      <c r="D43" s="1556"/>
      <c r="E43" s="482" t="str">
        <f>FHD_NUM_P_7</f>
        <v/>
      </c>
      <c r="F43" s="1442" t="str">
        <f>FHD_P_7</f>
        <v/>
      </c>
      <c r="G43" s="1793" t="s">
        <v>549</v>
      </c>
      <c r="H43" s="493"/>
      <c r="I43" s="493"/>
      <c r="J43" s="226" t="str">
        <f>FHD_NOTE_P_7</f>
        <v/>
      </c>
      <c r="K43" s="1554" t="str">
        <f t="shared" si="0"/>
        <v/>
      </c>
      <c r="AF43" s="1549">
        <v>0</v>
      </c>
    </row>
    <row r="44" spans="1:32" ht="11.45" customHeight="1">
      <c r="D44" s="1556"/>
      <c r="E44" s="482" t="str">
        <f>FHD_NUM_P_8</f>
        <v>2.3</v>
      </c>
      <c r="F44" s="1442" t="str">
        <f>FHD_P_8</f>
        <v>Расходы на приобретаемую электрическую энергию (мощность), используемую в технологическом процессе</v>
      </c>
      <c r="G44" s="1793" t="s">
        <v>549</v>
      </c>
      <c r="H44" s="493"/>
      <c r="I44" s="493"/>
      <c r="J44" s="226" t="str">
        <f>FHD_NOTE_P_8</f>
        <v/>
      </c>
      <c r="K44" s="1554" t="str">
        <f t="shared" si="0"/>
        <v>p</v>
      </c>
      <c r="AF44" s="1549">
        <v>11</v>
      </c>
    </row>
    <row r="45" spans="1:32" ht="11.45" customHeight="1">
      <c r="D45" s="1556"/>
      <c r="E45" s="482" t="str">
        <f>FHD_NUM_P_9</f>
        <v>2.3.1</v>
      </c>
      <c r="F45" s="1568" t="str">
        <f>FHD_P_9</f>
        <v>Средневзвешенная стоимость 1 кВт.ч (с учетом мощности)</v>
      </c>
      <c r="G45" s="1793" t="s">
        <v>568</v>
      </c>
      <c r="H45" s="493"/>
      <c r="I45" s="493"/>
      <c r="J45" s="226" t="str">
        <f>FHD_NOTE_P_9</f>
        <v/>
      </c>
      <c r="K45" s="1554" t="str">
        <f t="shared" si="0"/>
        <v/>
      </c>
      <c r="AF45" s="1549">
        <v>11</v>
      </c>
    </row>
    <row r="46" spans="1:32" s="2056" customFormat="1" ht="11.45" customHeight="1">
      <c r="A46" s="911"/>
      <c r="C46" s="1554"/>
      <c r="D46" s="510"/>
      <c r="E46" s="482" t="str">
        <f>FHD_NUM_P_10</f>
        <v>2.3.2</v>
      </c>
      <c r="F46" s="1568" t="str">
        <f>FHD_P_10</f>
        <v>Объём приобретения электрической энергии</v>
      </c>
      <c r="G46" s="1793" t="s">
        <v>569</v>
      </c>
      <c r="H46" s="493"/>
      <c r="I46" s="493"/>
      <c r="J46" s="226" t="str">
        <f>FHD_NOTE_P_10</f>
        <v/>
      </c>
      <c r="K46" s="1554" t="str">
        <f t="shared" si="0"/>
        <v/>
      </c>
      <c r="L46" s="1554"/>
      <c r="M46" s="1554"/>
      <c r="R46" s="1554"/>
      <c r="U46" s="480"/>
      <c r="AA46" s="1550"/>
      <c r="AB46" s="1550"/>
      <c r="AC46" s="1550"/>
      <c r="AD46" s="1550"/>
      <c r="AE46" s="1550"/>
      <c r="AF46" s="1078">
        <v>11</v>
      </c>
    </row>
    <row r="47" spans="1:32" s="2056" customFormat="1" ht="11.25" customHeight="1">
      <c r="A47" s="913" t="s">
        <v>570</v>
      </c>
      <c r="C47" s="1554"/>
      <c r="D47" s="511"/>
      <c r="E47" s="482" t="str">
        <f>FHD_NUM_P_11</f>
        <v>2.4</v>
      </c>
      <c r="F47" s="1442" t="str">
        <f>FHD_P_11</f>
        <v>Расходы на приобретение холодной воды, используемой в технологическом процессе</v>
      </c>
      <c r="G47" s="1793" t="s">
        <v>549</v>
      </c>
      <c r="H47" s="493"/>
      <c r="I47" s="493"/>
      <c r="J47" s="226" t="str">
        <f>FHD_NOTE_P_11</f>
        <v/>
      </c>
      <c r="K47" s="1554" t="str">
        <f t="shared" si="0"/>
        <v>p</v>
      </c>
      <c r="L47" s="1554"/>
      <c r="M47" s="1554"/>
      <c r="R47" s="1554"/>
      <c r="U47" s="480"/>
      <c r="AA47" s="1550"/>
      <c r="AB47" s="1550"/>
      <c r="AC47" s="1550"/>
      <c r="AD47" s="1550"/>
      <c r="AE47" s="1550"/>
      <c r="AF47" s="1078">
        <v>0</v>
      </c>
    </row>
    <row r="48" spans="1:32" s="2056" customFormat="1" ht="18.75" customHeight="1">
      <c r="A48" s="913" t="s">
        <v>571</v>
      </c>
      <c r="C48" s="1554"/>
      <c r="D48" s="1556"/>
      <c r="E48" s="482" t="str">
        <f>FHD_NUM_P_12</f>
        <v>2.5</v>
      </c>
      <c r="F48" s="1442" t="str">
        <f>FHD_P_12</f>
        <v>Расходы на  химические реагенты, используемые в технологическом процессе</v>
      </c>
      <c r="G48" s="1793" t="s">
        <v>549</v>
      </c>
      <c r="H48" s="513"/>
      <c r="I48" s="513"/>
      <c r="J48" s="226" t="str">
        <f>FHD_NOTE_P_12</f>
        <v/>
      </c>
      <c r="K48" s="1554" t="str">
        <f t="shared" si="0"/>
        <v>p</v>
      </c>
      <c r="L48" s="1554"/>
      <c r="M48" s="1554"/>
      <c r="R48" s="1554"/>
      <c r="U48" s="480"/>
      <c r="AA48" s="1550"/>
      <c r="AB48" s="1550"/>
      <c r="AC48" s="1550"/>
      <c r="AD48" s="1550"/>
      <c r="AE48" s="1550"/>
      <c r="AF48" s="1078">
        <v>18</v>
      </c>
    </row>
    <row r="49" spans="1:32" s="2024" customFormat="1" ht="11.45" customHeight="1">
      <c r="A49" s="912"/>
      <c r="C49" s="666"/>
      <c r="D49" s="609"/>
      <c r="E49" s="482"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549</v>
      </c>
      <c r="H49" s="493"/>
      <c r="I49" s="493"/>
      <c r="J49" s="226" t="str">
        <f>FHD_NOTE_P_13</f>
        <v/>
      </c>
      <c r="K49" s="1554" t="str">
        <f t="shared" si="0"/>
        <v>p</v>
      </c>
      <c r="L49" s="666"/>
      <c r="M49" s="666"/>
      <c r="R49" s="666"/>
      <c r="U49" s="667"/>
      <c r="AA49" s="668"/>
      <c r="AB49" s="668"/>
      <c r="AC49" s="668"/>
      <c r="AD49" s="668"/>
      <c r="AE49" s="668"/>
      <c r="AF49" s="665">
        <v>11</v>
      </c>
    </row>
    <row r="50" spans="1:32" s="2024" customFormat="1" ht="11.45" customHeight="1">
      <c r="A50" s="912"/>
      <c r="C50" s="666"/>
      <c r="D50" s="609"/>
      <c r="E50" s="482" t="str">
        <f>FHD_NUM_P_14</f>
        <v>2.6.1</v>
      </c>
      <c r="F50" s="1568" t="str">
        <f>FHD_P_14</f>
        <v>Расходы на оплату труда основного производственного персонала</v>
      </c>
      <c r="G50" s="1793" t="s">
        <v>549</v>
      </c>
      <c r="H50" s="493"/>
      <c r="I50" s="493"/>
      <c r="J50" s="226" t="str">
        <f>FHD_NOTE_P_14</f>
        <v/>
      </c>
      <c r="K50" s="1554" t="str">
        <f t="shared" si="0"/>
        <v/>
      </c>
      <c r="L50" s="666"/>
      <c r="M50" s="666"/>
      <c r="R50" s="666"/>
      <c r="U50" s="667"/>
      <c r="AA50" s="668"/>
      <c r="AB50" s="668"/>
      <c r="AC50" s="668"/>
      <c r="AD50" s="668"/>
      <c r="AE50" s="668"/>
      <c r="AF50" s="665">
        <v>11</v>
      </c>
    </row>
    <row r="51" spans="1:32" s="2024" customFormat="1" ht="11.45" customHeight="1">
      <c r="A51" s="912"/>
      <c r="C51" s="666"/>
      <c r="D51" s="609"/>
      <c r="E51" s="482"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549</v>
      </c>
      <c r="H51" s="493"/>
      <c r="I51" s="493"/>
      <c r="J51" s="226" t="str">
        <f>FHD_NOTE_P_15</f>
        <v/>
      </c>
      <c r="K51" s="1554" t="str">
        <f t="shared" si="0"/>
        <v/>
      </c>
      <c r="L51" s="666"/>
      <c r="M51" s="666"/>
      <c r="R51" s="666"/>
      <c r="U51" s="667"/>
      <c r="AA51" s="668"/>
      <c r="AB51" s="668"/>
      <c r="AC51" s="668"/>
      <c r="AD51" s="668"/>
      <c r="AE51" s="668"/>
      <c r="AF51" s="665">
        <v>11</v>
      </c>
    </row>
    <row r="52" spans="1:32" s="2056" customFormat="1" ht="11.45" customHeight="1">
      <c r="A52" s="911"/>
      <c r="C52" s="1554"/>
      <c r="D52" s="1556"/>
      <c r="E52" s="482"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549</v>
      </c>
      <c r="H52" s="493"/>
      <c r="I52" s="493"/>
      <c r="J52" s="226" t="str">
        <f>FHD_NOTE_P_16</f>
        <v/>
      </c>
      <c r="K52" s="1554" t="str">
        <f t="shared" si="0"/>
        <v>p</v>
      </c>
      <c r="L52" s="1554"/>
      <c r="M52" s="1560"/>
      <c r="N52" s="473"/>
      <c r="O52" s="473"/>
      <c r="R52" s="1554"/>
      <c r="U52" s="480"/>
      <c r="AA52" s="1550"/>
      <c r="AB52" s="1550"/>
      <c r="AC52" s="1550"/>
      <c r="AD52" s="1550"/>
      <c r="AE52" s="1550"/>
      <c r="AF52" s="1078">
        <v>11</v>
      </c>
    </row>
    <row r="53" spans="1:32" s="2056" customFormat="1" ht="11.45" customHeight="1">
      <c r="A53" s="911"/>
      <c r="C53" s="1554"/>
      <c r="D53" s="1556"/>
      <c r="E53" s="482" t="str">
        <f>FHD_NUM_P_17</f>
        <v>2.7.1</v>
      </c>
      <c r="F53" s="1568" t="str">
        <f>FHD_P_17</f>
        <v>Расходы на оплату труда административно-управленческого персонала</v>
      </c>
      <c r="G53" s="1793" t="s">
        <v>549</v>
      </c>
      <c r="H53" s="493"/>
      <c r="I53" s="493"/>
      <c r="J53" s="226" t="str">
        <f>FHD_NOTE_P_17</f>
        <v/>
      </c>
      <c r="K53" s="1554" t="str">
        <f t="shared" si="0"/>
        <v/>
      </c>
      <c r="L53" s="1554"/>
      <c r="M53" s="1560"/>
      <c r="N53" s="473"/>
      <c r="O53" s="473"/>
      <c r="R53" s="1554"/>
      <c r="U53" s="480"/>
      <c r="AA53" s="1550"/>
      <c r="AB53" s="1550"/>
      <c r="AC53" s="1550"/>
      <c r="AD53" s="1550"/>
      <c r="AE53" s="1550"/>
      <c r="AF53" s="1078">
        <v>11</v>
      </c>
    </row>
    <row r="54" spans="1:32" s="2056" customFormat="1" ht="11.45" customHeight="1">
      <c r="A54" s="911"/>
      <c r="C54" s="1554"/>
      <c r="D54" s="1556"/>
      <c r="E54" s="482"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549</v>
      </c>
      <c r="H54" s="493"/>
      <c r="I54" s="493"/>
      <c r="J54" s="226" t="str">
        <f>FHD_NOTE_P_18</f>
        <v/>
      </c>
      <c r="K54" s="1554" t="str">
        <f t="shared" si="0"/>
        <v/>
      </c>
      <c r="L54" s="1554"/>
      <c r="M54" s="1560"/>
      <c r="N54" s="473"/>
      <c r="O54" s="473"/>
      <c r="R54" s="1554"/>
      <c r="U54" s="480"/>
      <c r="AA54" s="1550"/>
      <c r="AB54" s="1550"/>
      <c r="AC54" s="1550"/>
      <c r="AD54" s="1550"/>
      <c r="AE54" s="1550"/>
      <c r="AF54" s="1078">
        <v>11</v>
      </c>
    </row>
    <row r="55" spans="1:32" s="2056" customFormat="1" ht="11.45" customHeight="1">
      <c r="A55" s="911"/>
      <c r="C55" s="1554"/>
      <c r="D55" s="511"/>
      <c r="E55" s="482" t="str">
        <f>FHD_NUM_P_19</f>
        <v>2.8</v>
      </c>
      <c r="F55" s="1442" t="str">
        <f>FHD_P_19</f>
        <v>Расходы на амортизацию основных средств и нематериальных активов</v>
      </c>
      <c r="G55" s="1793" t="s">
        <v>549</v>
      </c>
      <c r="H55" s="493"/>
      <c r="I55" s="493"/>
      <c r="J55" s="226" t="str">
        <f>FHD_NOTE_P_19</f>
        <v/>
      </c>
      <c r="K55" s="1554" t="str">
        <f t="shared" si="0"/>
        <v>p</v>
      </c>
      <c r="L55" s="1554"/>
      <c r="M55" s="1554"/>
      <c r="R55" s="1554"/>
      <c r="U55" s="480"/>
      <c r="AA55" s="1550"/>
      <c r="AB55" s="1550"/>
      <c r="AC55" s="1550"/>
      <c r="AD55" s="1550"/>
      <c r="AE55" s="1550"/>
      <c r="AF55" s="1078">
        <v>11</v>
      </c>
    </row>
    <row r="56" spans="1:32" s="2056" customFormat="1" ht="11.45" customHeight="1">
      <c r="A56" s="911"/>
      <c r="C56" s="1554"/>
      <c r="D56" s="511"/>
      <c r="E56" s="482" t="str">
        <f>FHD_NUM_P_20</f>
        <v>2.8.1</v>
      </c>
      <c r="F56" s="1568" t="str">
        <f>FHD_P_20</f>
        <v>Расходы на амортизацию основных средств</v>
      </c>
      <c r="G56" s="1793" t="s">
        <v>549</v>
      </c>
      <c r="H56" s="493"/>
      <c r="I56" s="493"/>
      <c r="J56" s="226" t="str">
        <f>FHD_NOTE_P_20</f>
        <v/>
      </c>
      <c r="K56" s="1554" t="str">
        <f t="shared" si="0"/>
        <v/>
      </c>
      <c r="L56" s="1554"/>
      <c r="M56" s="1554"/>
      <c r="R56" s="1554"/>
      <c r="U56" s="480"/>
      <c r="AA56" s="1550"/>
      <c r="AB56" s="1550"/>
      <c r="AC56" s="1550"/>
      <c r="AD56" s="1550"/>
      <c r="AE56" s="1550"/>
      <c r="AF56" s="1078">
        <v>11</v>
      </c>
    </row>
    <row r="57" spans="1:32" s="2056" customFormat="1" ht="11.45" customHeight="1">
      <c r="A57" s="911"/>
      <c r="C57" s="1554"/>
      <c r="D57" s="511"/>
      <c r="E57" s="482" t="str">
        <f>FHD_NUM_P_21</f>
        <v>2.8.2</v>
      </c>
      <c r="F57" s="1568" t="str">
        <f>FHD_P_21</f>
        <v>Расходы на амортизацию нематериальных активов</v>
      </c>
      <c r="G57" s="1793" t="s">
        <v>549</v>
      </c>
      <c r="H57" s="493"/>
      <c r="I57" s="493"/>
      <c r="J57" s="226" t="str">
        <f>FHD_NOTE_P_21</f>
        <v/>
      </c>
      <c r="K57" s="1554" t="str">
        <f t="shared" si="0"/>
        <v/>
      </c>
      <c r="L57" s="1554"/>
      <c r="M57" s="1554"/>
      <c r="R57" s="1554"/>
      <c r="U57" s="480"/>
      <c r="AA57" s="1550"/>
      <c r="AB57" s="1550"/>
      <c r="AC57" s="1550"/>
      <c r="AD57" s="1550"/>
      <c r="AE57" s="1550"/>
      <c r="AF57" s="1078">
        <v>11</v>
      </c>
    </row>
    <row r="58" spans="1:32" s="2056" customFormat="1" ht="11.45" customHeight="1">
      <c r="A58" s="911"/>
      <c r="C58" s="1554"/>
      <c r="D58" s="1556"/>
      <c r="E58" s="482" t="str">
        <f>FHD_NUM_P_22</f>
        <v>2.9</v>
      </c>
      <c r="F58" s="1442" t="str">
        <f>FHD_P_22</f>
        <v>Расходы на аренду имущества, используемого для осуществления регулируемого вида деятельности</v>
      </c>
      <c r="G58" s="1793" t="s">
        <v>549</v>
      </c>
      <c r="H58" s="493"/>
      <c r="I58" s="493"/>
      <c r="J58" s="226" t="str">
        <f>FHD_NOTE_P_22</f>
        <v/>
      </c>
      <c r="K58" s="1554" t="str">
        <f t="shared" si="0"/>
        <v>p</v>
      </c>
      <c r="L58" s="1554"/>
      <c r="M58" s="1554"/>
      <c r="R58" s="1554"/>
      <c r="U58" s="480"/>
      <c r="AA58" s="1550"/>
      <c r="AB58" s="1550"/>
      <c r="AC58" s="1550"/>
      <c r="AD58" s="1550"/>
      <c r="AE58" s="1550"/>
      <c r="AF58" s="1078">
        <v>11</v>
      </c>
    </row>
    <row r="59" spans="1:32" s="2056" customFormat="1" ht="11.45" customHeight="1">
      <c r="A59" s="911"/>
      <c r="C59" s="1554"/>
      <c r="D59" s="511"/>
      <c r="E59" s="482" t="str">
        <f>FHD_NUM_P_23</f>
        <v>2.10</v>
      </c>
      <c r="F59" s="1442" t="str">
        <f>FHD_P_23</f>
        <v>Общепроизводственные расходы, в том числе:</v>
      </c>
      <c r="G59" s="1793" t="s">
        <v>549</v>
      </c>
      <c r="H59" s="493"/>
      <c r="I59" s="493"/>
      <c r="J59" s="226" t="str">
        <f>FHD_NOTE_P_23</f>
        <v>Указывается общая сумма общепроизводственных расходов.</v>
      </c>
      <c r="K59" s="1554" t="str">
        <f t="shared" si="0"/>
        <v>p</v>
      </c>
      <c r="L59" s="1554"/>
      <c r="M59" s="1554"/>
      <c r="R59" s="1554"/>
      <c r="U59" s="480"/>
      <c r="AA59" s="1550"/>
      <c r="AB59" s="1550"/>
      <c r="AC59" s="1550"/>
      <c r="AD59" s="1550"/>
      <c r="AE59" s="1550"/>
      <c r="AF59" s="1078">
        <v>11</v>
      </c>
    </row>
    <row r="60" spans="1:32" s="2056" customFormat="1" ht="11.45" customHeight="1">
      <c r="A60" s="911"/>
      <c r="C60" s="1554"/>
      <c r="D60" s="511"/>
      <c r="E60" s="482" t="str">
        <f>FHD_NUM_P_24</f>
        <v>2.10.1</v>
      </c>
      <c r="F60" s="1568" t="str">
        <f>FHD_P_24</f>
        <v>Расходы на текущий ремонт</v>
      </c>
      <c r="G60" s="1793" t="s">
        <v>549</v>
      </c>
      <c r="H60" s="493"/>
      <c r="I60" s="493"/>
      <c r="J60" s="226" t="str">
        <f>FHD_NOTE_P_24</f>
        <v>Указываются расходы на текущий ремонт, отнесенные к общепроизводственным расходам.</v>
      </c>
      <c r="K60" s="1554" t="str">
        <f t="shared" si="0"/>
        <v/>
      </c>
      <c r="L60" s="1554"/>
      <c r="M60" s="1554"/>
      <c r="R60" s="1554"/>
      <c r="U60" s="480"/>
      <c r="AA60" s="1550"/>
      <c r="AB60" s="1550"/>
      <c r="AC60" s="1550"/>
      <c r="AD60" s="1550"/>
      <c r="AE60" s="1550"/>
      <c r="AF60" s="1078">
        <v>11</v>
      </c>
    </row>
    <row r="61" spans="1:32" s="2056" customFormat="1" ht="11.45" customHeight="1">
      <c r="A61" s="911"/>
      <c r="C61" s="1554"/>
      <c r="D61" s="511"/>
      <c r="E61" s="482" t="str">
        <f>FHD_NUM_P_25</f>
        <v>2.10.2</v>
      </c>
      <c r="F61" s="1568" t="str">
        <f>FHD_P_25</f>
        <v>Расходы на капитальный ремонт</v>
      </c>
      <c r="G61" s="1793" t="s">
        <v>549</v>
      </c>
      <c r="H61" s="493"/>
      <c r="I61" s="493"/>
      <c r="J61" s="226" t="str">
        <f>FHD_NOTE_P_25</f>
        <v>Указываются расходы на капитальный ремонт, отнесенные к общепроизводственным расходам.</v>
      </c>
      <c r="K61" s="1554" t="str">
        <f t="shared" si="0"/>
        <v/>
      </c>
      <c r="L61" s="1554"/>
      <c r="M61" s="1554"/>
      <c r="R61" s="1554"/>
      <c r="U61" s="480"/>
      <c r="AA61" s="1550"/>
      <c r="AB61" s="1550"/>
      <c r="AC61" s="1550"/>
      <c r="AD61" s="1550"/>
      <c r="AE61" s="1550"/>
      <c r="AF61" s="1078">
        <v>11</v>
      </c>
    </row>
    <row r="62" spans="1:32" s="2056" customFormat="1" ht="11.45" customHeight="1">
      <c r="A62" s="911"/>
      <c r="C62" s="1554"/>
      <c r="D62" s="1556"/>
      <c r="E62" s="482" t="str">
        <f>FHD_NUM_P_26</f>
        <v>2.11</v>
      </c>
      <c r="F62" s="1442" t="str">
        <f>FHD_P_26</f>
        <v>Общехозяйственные расходы, в том числе:</v>
      </c>
      <c r="G62" s="1793" t="s">
        <v>549</v>
      </c>
      <c r="H62" s="493"/>
      <c r="I62" s="493"/>
      <c r="J62" s="226" t="str">
        <f>FHD_NOTE_P_26</f>
        <v>Указывается общая сумма общехозяйственных расходов.</v>
      </c>
      <c r="K62" s="1554" t="str">
        <f t="shared" si="0"/>
        <v>p</v>
      </c>
      <c r="L62" s="1554"/>
      <c r="M62" s="1554"/>
      <c r="R62" s="1554"/>
      <c r="U62" s="480"/>
      <c r="AA62" s="1550"/>
      <c r="AB62" s="1550"/>
      <c r="AC62" s="1550"/>
      <c r="AD62" s="1550"/>
      <c r="AE62" s="1550"/>
      <c r="AF62" s="1078">
        <v>11</v>
      </c>
    </row>
    <row r="63" spans="1:32" s="2056" customFormat="1" ht="11.45" customHeight="1">
      <c r="A63" s="911"/>
      <c r="C63" s="1554"/>
      <c r="D63" s="1556"/>
      <c r="E63" s="482" t="str">
        <f>FHD_NUM_P_27</f>
        <v>2.11.1</v>
      </c>
      <c r="F63" s="1568" t="str">
        <f>FHD_P_27</f>
        <v>Расходы на текущий ремонт</v>
      </c>
      <c r="G63" s="1793" t="s">
        <v>549</v>
      </c>
      <c r="H63" s="493"/>
      <c r="I63" s="493"/>
      <c r="J63" s="226" t="str">
        <f>FHD_NOTE_P_27</f>
        <v>Указываются расходы на текущий ремонт, отнесенные к общехозяйственным расходам.</v>
      </c>
      <c r="K63" s="1554" t="str">
        <f t="shared" si="0"/>
        <v/>
      </c>
      <c r="L63" s="1554"/>
      <c r="M63" s="1554"/>
      <c r="R63" s="1554"/>
      <c r="U63" s="480"/>
      <c r="AA63" s="1550"/>
      <c r="AB63" s="1550"/>
      <c r="AC63" s="1550"/>
      <c r="AD63" s="1550"/>
      <c r="AE63" s="1550"/>
      <c r="AF63" s="1078">
        <v>11</v>
      </c>
    </row>
    <row r="64" spans="1:32" s="2056" customFormat="1" ht="11.45" customHeight="1">
      <c r="A64" s="911"/>
      <c r="C64" s="1554"/>
      <c r="D64" s="1556"/>
      <c r="E64" s="482" t="str">
        <f>FHD_NUM_P_28</f>
        <v>2.11.2</v>
      </c>
      <c r="F64" s="1568" t="str">
        <f>FHD_P_28</f>
        <v>Расходы на капитальный ремонт</v>
      </c>
      <c r="G64" s="1793" t="s">
        <v>549</v>
      </c>
      <c r="H64" s="493"/>
      <c r="I64" s="493"/>
      <c r="J64" s="226" t="str">
        <f>FHD_NOTE_P_28</f>
        <v>Указываются расходы на капитальный ремонт, отнесенные к общехозяйственным расходам.</v>
      </c>
      <c r="K64" s="1554" t="str">
        <f t="shared" si="0"/>
        <v/>
      </c>
      <c r="L64" s="1554"/>
      <c r="M64" s="1554"/>
      <c r="R64" s="1554"/>
      <c r="U64" s="480"/>
      <c r="AA64" s="1550"/>
      <c r="AB64" s="1550"/>
      <c r="AC64" s="1550"/>
      <c r="AD64" s="1550"/>
      <c r="AE64" s="1550"/>
      <c r="AF64" s="1078">
        <v>11</v>
      </c>
    </row>
    <row r="65" spans="1:32" s="2056" customFormat="1" ht="11.45" customHeight="1">
      <c r="A65" s="911"/>
      <c r="C65" s="1554"/>
      <c r="D65" s="1556"/>
      <c r="E65" s="482" t="str">
        <f>FHD_NUM_P_29</f>
        <v>2.12</v>
      </c>
      <c r="F65" s="1442" t="str">
        <f>FHD_P_29</f>
        <v>Расходы на капитальный и текущий ремонт основных средств</v>
      </c>
      <c r="G65" s="1793" t="s">
        <v>549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80"/>
      <c r="AA65" s="1550"/>
      <c r="AB65" s="1550"/>
      <c r="AC65" s="1550"/>
      <c r="AD65" s="1550"/>
      <c r="AE65" s="1550"/>
      <c r="AF65" s="1078">
        <v>11</v>
      </c>
    </row>
    <row r="66" spans="1:32" s="2056" customFormat="1" ht="11.45" customHeight="1">
      <c r="A66" s="911"/>
      <c r="C66" s="1554"/>
      <c r="D66" s="1556"/>
      <c r="E66" s="482"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303</v>
      </c>
      <c r="H66" s="1567" t="s">
        <v>572</v>
      </c>
      <c r="I66" s="1567" t="s">
        <v>572</v>
      </c>
      <c r="J66" s="226" t="str">
        <f>FHD_NOTE_P_30</f>
        <v/>
      </c>
      <c r="K66" s="1554" t="str">
        <f t="shared" si="0"/>
        <v/>
      </c>
      <c r="L66" s="1554">
        <f>IFERROR(MATCH("есть",B_FHD_FLAG_INDEX_1,0),0)</f>
        <v>0</v>
      </c>
      <c r="M66" s="1554"/>
      <c r="R66" s="1554"/>
      <c r="U66" s="480"/>
      <c r="AA66" s="1550"/>
      <c r="AB66" s="1550"/>
      <c r="AC66" s="1550"/>
      <c r="AD66" s="1550"/>
      <c r="AE66" s="1550"/>
      <c r="AF66" s="1078">
        <v>11</v>
      </c>
    </row>
    <row r="67" spans="1:32" s="2056" customFormat="1" ht="23.25" hidden="1" customHeight="1">
      <c r="A67" s="2541" t="s">
        <v>573</v>
      </c>
      <c r="C67" s="1554"/>
      <c r="D67" s="1556"/>
      <c r="E67" s="482" t="str">
        <f>FHD_NUM_P_31</f>
        <v/>
      </c>
      <c r="F67" s="1442" t="str">
        <f>FHD_P_31</f>
        <v/>
      </c>
      <c r="G67" s="1793" t="s">
        <v>549</v>
      </c>
      <c r="H67" s="493"/>
      <c r="I67" s="493"/>
      <c r="J67" s="226" t="str">
        <f>FHD_NOTE_P_31</f>
        <v/>
      </c>
      <c r="K67" s="1554" t="str">
        <f t="shared" si="0"/>
        <v/>
      </c>
      <c r="L67" s="1554"/>
      <c r="M67" s="1554"/>
      <c r="R67" s="1554"/>
      <c r="U67" s="480"/>
      <c r="AA67" s="1550"/>
      <c r="AB67" s="1550"/>
      <c r="AC67" s="1550"/>
      <c r="AD67" s="1550"/>
      <c r="AE67" s="1550"/>
      <c r="AF67" s="1078">
        <v>22</v>
      </c>
    </row>
    <row r="68" spans="1:32" s="2056" customFormat="1" ht="47.25" hidden="1" customHeight="1">
      <c r="A68" s="2541"/>
      <c r="C68" s="1554"/>
      <c r="D68" s="1556"/>
      <c r="E68" s="482" t="str">
        <f>FHD_NUM_P_32</f>
        <v/>
      </c>
      <c r="F68" s="1568" t="str">
        <f>FHD_P_32</f>
        <v/>
      </c>
      <c r="G68" s="1793" t="s">
        <v>303</v>
      </c>
      <c r="H68" s="1567" t="s">
        <v>572</v>
      </c>
      <c r="I68" s="1567" t="s">
        <v>572</v>
      </c>
      <c r="J68" s="226" t="str">
        <f>FHD_NOTE_P_32</f>
        <v/>
      </c>
      <c r="K68" s="1554" t="str">
        <f t="shared" si="0"/>
        <v/>
      </c>
      <c r="L68" s="1554">
        <f>IFERROR(MATCH("есть",B_FHD_FLAG_INDEX_2,0),0)</f>
        <v>0</v>
      </c>
      <c r="M68" s="1554"/>
      <c r="R68" s="1554"/>
      <c r="U68" s="480"/>
      <c r="AA68" s="1550"/>
      <c r="AB68" s="1550"/>
      <c r="AC68" s="1550"/>
      <c r="AD68" s="1550"/>
      <c r="AE68" s="1550"/>
      <c r="AF68" s="1078">
        <v>45</v>
      </c>
    </row>
    <row r="69" spans="1:32" s="2056" customFormat="1" ht="11.45" customHeight="1">
      <c r="A69" s="911"/>
      <c r="C69" s="1554"/>
      <c r="D69" s="1556"/>
      <c r="E69" s="482"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549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80"/>
      <c r="AA69" s="1550"/>
      <c r="AB69" s="1550"/>
      <c r="AC69" s="1550"/>
      <c r="AD69" s="1550"/>
      <c r="AE69" s="1550"/>
      <c r="AF69" s="1078">
        <v>11</v>
      </c>
    </row>
    <row r="70" spans="1:32" s="2034" customFormat="1" ht="1.1499999999999999" customHeight="1">
      <c r="A70" s="1085"/>
      <c r="D70" s="484"/>
      <c r="E70" s="936" t="str">
        <f>E69&amp;".0"</f>
        <v>2.13.0</v>
      </c>
      <c r="F70" s="915"/>
      <c r="G70" s="936"/>
      <c r="H70" s="916"/>
      <c r="I70" s="916"/>
      <c r="J70" s="917"/>
      <c r="K70" s="1554" t="str">
        <f t="shared" si="0"/>
        <v/>
      </c>
      <c r="AF70" s="1554">
        <v>1</v>
      </c>
    </row>
    <row r="71" spans="1:32" s="2056" customFormat="1" ht="14.65" customHeight="1">
      <c r="A71" s="911"/>
      <c r="C71" s="1554"/>
      <c r="D71" s="1551"/>
      <c r="E71" s="506"/>
      <c r="F71" s="507" t="s">
        <v>574</v>
      </c>
      <c r="G71" s="508"/>
      <c r="H71" s="509"/>
      <c r="I71" s="509"/>
      <c r="J71" s="238"/>
      <c r="K71" s="1554"/>
      <c r="L71" s="1554"/>
      <c r="M71" s="1554"/>
      <c r="R71" s="1554"/>
      <c r="U71" s="480"/>
      <c r="AA71" s="1550"/>
      <c r="AB71" s="1550"/>
      <c r="AC71" s="1550"/>
      <c r="AD71" s="1550"/>
      <c r="AE71" s="1550"/>
      <c r="AF71" s="1078">
        <v>14</v>
      </c>
    </row>
    <row r="72" spans="1:32" s="2056" customFormat="1" ht="18.75" customHeight="1">
      <c r="A72" s="913" t="s">
        <v>575</v>
      </c>
      <c r="C72" s="1554"/>
      <c r="D72" s="1556"/>
      <c r="E72" s="482" t="str">
        <f>FHD_NUM_P_34</f>
        <v>3</v>
      </c>
      <c r="F72" s="1795" t="str">
        <f>FHD_P_34</f>
        <v>Валовая прибыль (убытки) от реализации товаров и оказания услуг по регулируемому виду деятельности</v>
      </c>
      <c r="G72" s="1793" t="s">
        <v>549</v>
      </c>
      <c r="H72" s="493"/>
      <c r="I72" s="493"/>
      <c r="J72" s="226" t="str">
        <f>FHD_NOTE_P_34</f>
        <v/>
      </c>
      <c r="K72" s="479"/>
      <c r="L72" s="1554"/>
      <c r="M72" s="1554"/>
      <c r="R72" s="1554"/>
      <c r="U72" s="480"/>
      <c r="AA72" s="1550"/>
      <c r="AB72" s="1550"/>
      <c r="AC72" s="1550"/>
      <c r="AD72" s="1550"/>
      <c r="AE72" s="1550"/>
      <c r="AF72" s="1078">
        <v>0</v>
      </c>
    </row>
    <row r="73" spans="1:32" s="2056" customFormat="1" ht="19.899999999999999" customHeight="1">
      <c r="A73" s="911"/>
      <c r="C73" s="1554"/>
      <c r="D73" s="511"/>
      <c r="E73" s="482" t="str">
        <f>FHD_NUM_P_35</f>
        <v>4</v>
      </c>
      <c r="F73" s="1795" t="str">
        <f>FHD_P_35</f>
        <v>Чистая прибыль, полученная от регулируемого вида деятельности, в том числе:</v>
      </c>
      <c r="G73" s="1793" t="s">
        <v>549</v>
      </c>
      <c r="H73" s="493"/>
      <c r="I73" s="493"/>
      <c r="J73" s="226" t="str">
        <f>FHD_NOTE_P_35</f>
        <v>Указывается общая сумма чистой прибыли, полученной от регулируемого вида деятельности.</v>
      </c>
      <c r="K73" s="479"/>
      <c r="L73" s="1554"/>
      <c r="M73" s="1554"/>
      <c r="R73" s="1554"/>
      <c r="U73" s="480"/>
      <c r="AA73" s="1550"/>
      <c r="AB73" s="1550"/>
      <c r="AC73" s="1550"/>
      <c r="AD73" s="1550"/>
      <c r="AE73" s="1550"/>
      <c r="AF73" s="1078">
        <v>19</v>
      </c>
    </row>
    <row r="74" spans="1:32" s="2056" customFormat="1" ht="19.899999999999999" customHeight="1">
      <c r="A74" s="911"/>
      <c r="C74" s="1554"/>
      <c r="D74" s="1556"/>
      <c r="E74" s="482"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549</v>
      </c>
      <c r="H74" s="493"/>
      <c r="I74" s="493"/>
      <c r="J74" s="226" t="str">
        <f>FHD_NOTE_P_36</f>
        <v/>
      </c>
      <c r="K74" s="479"/>
      <c r="L74" s="1554"/>
      <c r="M74" s="1554"/>
      <c r="R74" s="1554"/>
      <c r="U74" s="480"/>
      <c r="AA74" s="1550"/>
      <c r="AB74" s="1550"/>
      <c r="AC74" s="1550"/>
      <c r="AD74" s="1550"/>
      <c r="AE74" s="1550"/>
      <c r="AF74" s="1078">
        <v>19</v>
      </c>
    </row>
    <row r="75" spans="1:32" s="2056" customFormat="1" ht="19.899999999999999" customHeight="1">
      <c r="A75" s="911"/>
      <c r="C75" s="1554"/>
      <c r="D75" s="1556"/>
      <c r="E75" s="482" t="str">
        <f>FHD_NUM_P_37</f>
        <v>5</v>
      </c>
      <c r="F75" s="1795" t="str">
        <f>FHD_P_37</f>
        <v>Изменение стоимости основных фондов, в том числе:</v>
      </c>
      <c r="G75" s="1793" t="s">
        <v>549</v>
      </c>
      <c r="H75" s="493"/>
      <c r="I75" s="493"/>
      <c r="J75" s="226" t="str">
        <f>FHD_NOTE_P_37</f>
        <v>Указывается общее изменение стоимости основных фондов.</v>
      </c>
      <c r="K75" s="479"/>
      <c r="L75" s="1554"/>
      <c r="M75" s="1554"/>
      <c r="R75" s="1554"/>
      <c r="U75" s="480"/>
      <c r="AA75" s="1550"/>
      <c r="AB75" s="1550"/>
      <c r="AC75" s="1550"/>
      <c r="AD75" s="1550"/>
      <c r="AE75" s="1550"/>
      <c r="AF75" s="1078">
        <v>19</v>
      </c>
    </row>
    <row r="76" spans="1:32" s="2056" customFormat="1" ht="19.899999999999999" customHeight="1">
      <c r="A76" s="911"/>
      <c r="C76" s="1554"/>
      <c r="D76" s="1556"/>
      <c r="E76" s="482" t="str">
        <f>FHD_NUM_P_38</f>
        <v>5.1</v>
      </c>
      <c r="F76" s="1442" t="str">
        <f>FHD_P_38</f>
        <v>Изменение стоимости основных фондов за счет:</v>
      </c>
      <c r="G76" s="1793" t="s">
        <v>549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4"/>
      <c r="M76" s="1554"/>
      <c r="R76" s="1554"/>
      <c r="U76" s="480"/>
      <c r="AA76" s="1550"/>
      <c r="AB76" s="1550"/>
      <c r="AC76" s="1550"/>
      <c r="AD76" s="1550"/>
      <c r="AE76" s="1550"/>
      <c r="AF76" s="1078">
        <v>19</v>
      </c>
    </row>
    <row r="77" spans="1:32" s="2056" customFormat="1" ht="19.899999999999999" customHeight="1">
      <c r="A77" s="911"/>
      <c r="C77" s="1554"/>
      <c r="D77" s="1556"/>
      <c r="E77" s="482" t="str">
        <f>FHD_NUM_P_39</f>
        <v>5.1.1</v>
      </c>
      <c r="F77" s="1568" t="str">
        <f>FHD_P_39</f>
        <v>Изменения стоимости основных фондов за счет их ввода в эксплуатацию</v>
      </c>
      <c r="G77" s="1984" t="s">
        <v>549</v>
      </c>
      <c r="H77" s="493"/>
      <c r="I77" s="493"/>
      <c r="J77" s="226" t="str">
        <f>FHD_NOTE_P_39</f>
        <v>Указываются изменение стоимости основных фондов за счет их ввода в эксплуатацию.</v>
      </c>
      <c r="K77" s="479"/>
      <c r="L77" s="1554"/>
      <c r="M77" s="1554"/>
      <c r="R77" s="1554"/>
      <c r="U77" s="480"/>
      <c r="AA77" s="1550"/>
      <c r="AB77" s="1550"/>
      <c r="AC77" s="1550"/>
      <c r="AD77" s="1550"/>
      <c r="AE77" s="1550"/>
      <c r="AF77" s="1078">
        <v>19</v>
      </c>
    </row>
    <row r="78" spans="1:32" s="2056" customFormat="1" ht="19.899999999999999" customHeight="1">
      <c r="A78" s="911"/>
      <c r="C78" s="1554"/>
      <c r="D78" s="1556"/>
      <c r="E78" s="482" t="str">
        <f>FHD_NUM_P_40</f>
        <v>5.1.2</v>
      </c>
      <c r="F78" s="1988" t="str">
        <f>FHD_P_40</f>
        <v>Изменения стоимости основных фондов за счет их вывода в эксплуатацию</v>
      </c>
      <c r="G78" s="1983" t="s">
        <v>549</v>
      </c>
      <c r="H78" s="901"/>
      <c r="I78" s="493"/>
      <c r="J78" s="226" t="str">
        <f>FHD_NOTE_P_40</f>
        <v>Указываются изменение стоимости основных фондов за счет их вывода из эксплуатации.</v>
      </c>
      <c r="K78" s="479"/>
      <c r="L78" s="1554"/>
      <c r="M78" s="1554"/>
      <c r="R78" s="1554"/>
      <c r="U78" s="480"/>
      <c r="AA78" s="1550"/>
      <c r="AB78" s="1550"/>
      <c r="AC78" s="1550"/>
      <c r="AD78" s="1550"/>
      <c r="AE78" s="1550"/>
      <c r="AF78" s="1078">
        <v>19</v>
      </c>
    </row>
    <row r="79" spans="1:32" s="2056" customFormat="1" ht="19.899999999999999" customHeight="1">
      <c r="A79" s="911"/>
      <c r="C79" s="1554"/>
      <c r="D79" s="1556"/>
      <c r="E79" s="482" t="str">
        <f>FHD_NUM_P_41</f>
        <v>5.2</v>
      </c>
      <c r="F79" s="1987" t="str">
        <f>FHD_P_41</f>
        <v>Изменение стоимости основных фондов за счет их переоценки</v>
      </c>
      <c r="G79" s="1983" t="s">
        <v>549</v>
      </c>
      <c r="H79" s="901"/>
      <c r="I79" s="493"/>
      <c r="J79" s="226" t="str">
        <f>FHD_NOTE_P_41</f>
        <v/>
      </c>
      <c r="K79" s="479"/>
      <c r="L79" s="1554"/>
      <c r="M79" s="1554"/>
      <c r="R79" s="1554"/>
      <c r="U79" s="480"/>
      <c r="AA79" s="1550"/>
      <c r="AB79" s="1550"/>
      <c r="AC79" s="1550"/>
      <c r="AD79" s="1550"/>
      <c r="AE79" s="1550"/>
      <c r="AF79" s="1078">
        <v>19</v>
      </c>
    </row>
    <row r="80" spans="1:32" s="2056" customFormat="1" ht="20.25" hidden="1" customHeight="1">
      <c r="A80" s="913" t="s">
        <v>576</v>
      </c>
      <c r="C80" s="1554"/>
      <c r="D80" s="1556"/>
      <c r="E80" s="482" t="str">
        <f>FHD_NUM_P_42</f>
        <v/>
      </c>
      <c r="F80" s="1985" t="str">
        <f>FHD_P_42</f>
        <v/>
      </c>
      <c r="G80" s="1983" t="s">
        <v>549</v>
      </c>
      <c r="H80" s="901"/>
      <c r="I80" s="493"/>
      <c r="J80" s="226" t="str">
        <f>FHD_NOTE_P_42</f>
        <v/>
      </c>
      <c r="K80" s="479"/>
      <c r="L80" s="1554"/>
      <c r="M80" s="1554"/>
      <c r="R80" s="1554"/>
      <c r="U80" s="480"/>
      <c r="AA80" s="1550"/>
      <c r="AB80" s="1550"/>
      <c r="AC80" s="1550"/>
      <c r="AD80" s="1550"/>
      <c r="AE80" s="1550"/>
      <c r="AF80" s="1078">
        <v>19</v>
      </c>
    </row>
    <row r="81" spans="1:32" s="2056" customFormat="1" ht="19.899999999999999" customHeight="1">
      <c r="A81" s="911"/>
      <c r="C81" s="1554"/>
      <c r="D81" s="1556"/>
      <c r="E81" s="482" t="str">
        <f>FHD_NUM_P_43</f>
        <v>6</v>
      </c>
      <c r="F81" s="1795" t="str">
        <f>FHD_P_43</f>
        <v>Годовая бухгалтерская (финансовая) отчетность, включая бухгалтерский баланс и приложения к нему</v>
      </c>
      <c r="G81" s="1986" t="s">
        <v>303</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4"/>
      <c r="M81" s="1554"/>
      <c r="R81" s="1554"/>
      <c r="U81" s="480"/>
      <c r="AA81" s="1550"/>
      <c r="AB81" s="1550"/>
      <c r="AC81" s="1550"/>
      <c r="AD81" s="1550"/>
      <c r="AE81" s="1550"/>
      <c r="AF81" s="1078">
        <v>19</v>
      </c>
    </row>
    <row r="82" spans="1:32" s="2056" customFormat="1" ht="18.75" hidden="1" customHeight="1">
      <c r="A82" s="2541" t="s">
        <v>577</v>
      </c>
      <c r="C82" s="671"/>
      <c r="D82" s="669"/>
      <c r="E82" s="482" t="str">
        <f>FHD_NUM_P_44</f>
        <v/>
      </c>
      <c r="F82" s="1795" t="str">
        <f>FHD_P_44</f>
        <v/>
      </c>
      <c r="G82" s="1796" t="s">
        <v>578</v>
      </c>
      <c r="H82" s="902"/>
      <c r="I82" s="513"/>
      <c r="J82" s="226" t="str">
        <f>FHD_NOTE_P_44</f>
        <v/>
      </c>
      <c r="K82" s="670"/>
      <c r="L82" s="671"/>
      <c r="M82" s="671"/>
      <c r="R82" s="671"/>
      <c r="U82" s="672"/>
      <c r="AA82" s="673"/>
      <c r="AB82" s="673"/>
      <c r="AC82" s="673"/>
      <c r="AD82" s="673"/>
      <c r="AE82" s="673"/>
      <c r="AF82" s="835">
        <v>0</v>
      </c>
    </row>
    <row r="83" spans="1:32" s="2056" customFormat="1" ht="18.75" hidden="1" customHeight="1">
      <c r="A83" s="2541"/>
      <c r="C83" s="671"/>
      <c r="D83" s="669"/>
      <c r="E83" s="482" t="str">
        <f>FHD_NUM_P_45</f>
        <v/>
      </c>
      <c r="F83" s="1795" t="str">
        <f>FHD_P_45</f>
        <v/>
      </c>
      <c r="G83" s="1796" t="s">
        <v>578</v>
      </c>
      <c r="H83" s="902"/>
      <c r="I83" s="513"/>
      <c r="J83" s="226" t="str">
        <f>FHD_NOTE_P_45</f>
        <v/>
      </c>
      <c r="K83" s="670"/>
      <c r="L83" s="671"/>
      <c r="M83" s="671"/>
      <c r="R83" s="671"/>
      <c r="U83" s="672"/>
      <c r="AA83" s="673"/>
      <c r="AB83" s="673"/>
      <c r="AC83" s="673"/>
      <c r="AD83" s="673"/>
      <c r="AE83" s="673"/>
      <c r="AF83" s="835">
        <v>0</v>
      </c>
    </row>
    <row r="84" spans="1:32" s="2056" customFormat="1" ht="18.75" hidden="1" customHeight="1">
      <c r="A84" s="2541"/>
      <c r="C84" s="671"/>
      <c r="D84" s="674"/>
      <c r="E84" s="482" t="str">
        <f>FHD_NUM_P_46</f>
        <v/>
      </c>
      <c r="F84" s="1795" t="str">
        <f>FHD_P_46</f>
        <v/>
      </c>
      <c r="G84" s="1796" t="s">
        <v>578</v>
      </c>
      <c r="H84" s="902"/>
      <c r="I84" s="513"/>
      <c r="J84" s="226" t="str">
        <f>FHD_NOTE_P_46</f>
        <v/>
      </c>
      <c r="K84" s="670"/>
      <c r="L84" s="671"/>
      <c r="M84" s="671"/>
      <c r="R84" s="671"/>
      <c r="U84" s="672"/>
      <c r="AA84" s="673"/>
      <c r="AB84" s="673"/>
      <c r="AC84" s="673"/>
      <c r="AD84" s="673"/>
      <c r="AE84" s="673"/>
      <c r="AF84" s="835">
        <v>0</v>
      </c>
    </row>
    <row r="85" spans="1:32" s="2056" customFormat="1" ht="18.75" hidden="1" customHeight="1">
      <c r="A85" s="2541"/>
      <c r="C85" s="671"/>
      <c r="D85" s="669"/>
      <c r="E85" s="482" t="str">
        <f>FHD_NUM_P_47</f>
        <v/>
      </c>
      <c r="F85" s="1795" t="str">
        <f>FHD_P_47</f>
        <v/>
      </c>
      <c r="G85" s="1796" t="s">
        <v>578</v>
      </c>
      <c r="H85" s="902"/>
      <c r="I85" s="513"/>
      <c r="J85" s="226" t="str">
        <f>FHD_NOTE_P_47</f>
        <v/>
      </c>
      <c r="K85" s="670"/>
      <c r="L85" s="671"/>
      <c r="M85" s="671"/>
      <c r="R85" s="671"/>
      <c r="U85" s="672"/>
      <c r="AA85" s="673"/>
      <c r="AB85" s="673"/>
      <c r="AC85" s="673"/>
      <c r="AD85" s="673"/>
      <c r="AE85" s="673"/>
      <c r="AF85" s="835">
        <v>0</v>
      </c>
    </row>
    <row r="86" spans="1:32" s="2062" customFormat="1" ht="18.75" hidden="1" customHeight="1">
      <c r="A86" s="2541"/>
      <c r="B86" s="835"/>
      <c r="C86" s="671"/>
      <c r="D86" s="669"/>
      <c r="E86" s="482" t="str">
        <f>FHD_NUM_P_48</f>
        <v/>
      </c>
      <c r="F86" s="1795" t="str">
        <f>FHD_P_48</f>
        <v/>
      </c>
      <c r="G86" s="1796" t="s">
        <v>578</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62" customFormat="1" ht="18.75" hidden="1" customHeight="1">
      <c r="A87" s="2541"/>
      <c r="B87" s="835"/>
      <c r="C87" s="671"/>
      <c r="D87" s="669"/>
      <c r="E87" s="482" t="str">
        <f>FHD_NUM_P_49</f>
        <v/>
      </c>
      <c r="F87" s="1795" t="str">
        <f>FHD_P_49</f>
        <v/>
      </c>
      <c r="G87" s="1796" t="s">
        <v>578</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62" customFormat="1" ht="18.75" hidden="1" customHeight="1">
      <c r="A88" s="2541"/>
      <c r="B88" s="835"/>
      <c r="C88" s="671"/>
      <c r="D88" s="669"/>
      <c r="E88" s="482" t="str">
        <f>FHD_NUM_P_50</f>
        <v/>
      </c>
      <c r="F88" s="1795" t="str">
        <f>FHD_P_50</f>
        <v/>
      </c>
      <c r="G88" s="1796" t="s">
        <v>578</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62" customFormat="1" ht="18.75" hidden="1" customHeight="1">
      <c r="A89" s="2541"/>
      <c r="B89" s="835"/>
      <c r="C89" s="671"/>
      <c r="D89" s="669"/>
      <c r="E89" s="482" t="str">
        <f>FHD_NUM_P_51</f>
        <v/>
      </c>
      <c r="F89" s="1795" t="str">
        <f>FHD_P_51</f>
        <v/>
      </c>
      <c r="G89" s="1796" t="s">
        <v>578</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62" customFormat="1" ht="18.75" hidden="1" customHeight="1">
      <c r="A90" s="2541"/>
      <c r="B90" s="835"/>
      <c r="C90" s="671"/>
      <c r="D90" s="669"/>
      <c r="E90" s="482" t="str">
        <f>FHD_NUM_P_52</f>
        <v/>
      </c>
      <c r="F90" s="1795" t="str">
        <f>FHD_P_52</f>
        <v/>
      </c>
      <c r="G90" s="1796" t="s">
        <v>555</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56" customFormat="1" ht="18.75" hidden="1" customHeight="1">
      <c r="A91" s="2541" t="s">
        <v>579</v>
      </c>
      <c r="C91" s="671"/>
      <c r="D91" s="669"/>
      <c r="E91" s="482" t="str">
        <f>FHD_NUM_P_53</f>
        <v/>
      </c>
      <c r="F91" s="1795" t="str">
        <f>FHD_P_53</f>
        <v/>
      </c>
      <c r="G91" s="1796" t="s">
        <v>578</v>
      </c>
      <c r="H91" s="902"/>
      <c r="I91" s="513"/>
      <c r="J91" s="226" t="str">
        <f>FHD_NOTE_P_53</f>
        <v/>
      </c>
      <c r="K91" s="670"/>
      <c r="L91" s="671"/>
      <c r="M91" s="671"/>
      <c r="R91" s="671"/>
      <c r="U91" s="672"/>
      <c r="AA91" s="673"/>
      <c r="AB91" s="673"/>
      <c r="AC91" s="673"/>
      <c r="AD91" s="673"/>
      <c r="AE91" s="673"/>
      <c r="AF91" s="835">
        <v>0</v>
      </c>
    </row>
    <row r="92" spans="1:32" s="2056" customFormat="1" ht="18.75" hidden="1" customHeight="1">
      <c r="A92" s="2541"/>
      <c r="C92" s="671"/>
      <c r="D92" s="669"/>
      <c r="E92" s="482" t="str">
        <f>FHD_NUM_P_54</f>
        <v/>
      </c>
      <c r="F92" s="1795" t="str">
        <f>FHD_P_54</f>
        <v/>
      </c>
      <c r="G92" s="1796" t="s">
        <v>578</v>
      </c>
      <c r="H92" s="902"/>
      <c r="I92" s="513"/>
      <c r="J92" s="226" t="str">
        <f>FHD_NOTE_P_54</f>
        <v/>
      </c>
      <c r="K92" s="670"/>
      <c r="L92" s="671"/>
      <c r="M92" s="671"/>
      <c r="R92" s="671"/>
      <c r="U92" s="672"/>
      <c r="AA92" s="673"/>
      <c r="AB92" s="673"/>
      <c r="AC92" s="673"/>
      <c r="AD92" s="673"/>
      <c r="AE92" s="673"/>
      <c r="AF92" s="835">
        <v>0</v>
      </c>
    </row>
    <row r="93" spans="1:32" s="2056" customFormat="1" ht="18.75" hidden="1" customHeight="1">
      <c r="A93" s="2541"/>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56" customFormat="1" ht="18.75" hidden="1" customHeight="1">
      <c r="A94" s="2541"/>
      <c r="C94" s="671"/>
      <c r="D94" s="669"/>
      <c r="E94" s="482" t="str">
        <f>FHD_NUM_P_56</f>
        <v/>
      </c>
      <c r="F94" s="1795" t="str">
        <f>FHD_P_56</f>
        <v/>
      </c>
      <c r="G94" s="1796" t="s">
        <v>580</v>
      </c>
      <c r="H94" s="902"/>
      <c r="I94" s="513"/>
      <c r="J94" s="226" t="str">
        <f>FHD_NOTE_P_56</f>
        <v/>
      </c>
      <c r="K94" s="670"/>
      <c r="L94" s="671"/>
      <c r="M94" s="671"/>
      <c r="R94" s="671"/>
      <c r="U94" s="672"/>
      <c r="AA94" s="673"/>
      <c r="AB94" s="673"/>
      <c r="AC94" s="673"/>
      <c r="AD94" s="673"/>
      <c r="AE94" s="673"/>
      <c r="AF94" s="835">
        <v>0</v>
      </c>
    </row>
    <row r="95" spans="1:32" s="2062" customFormat="1" ht="18.75" hidden="1" customHeight="1">
      <c r="A95" s="2541"/>
      <c r="B95" s="835"/>
      <c r="C95" s="671"/>
      <c r="D95" s="669"/>
      <c r="E95" s="482" t="str">
        <f>FHD_NUM_P_57</f>
        <v/>
      </c>
      <c r="F95" s="1795" t="str">
        <f>FHD_P_57</f>
        <v/>
      </c>
      <c r="G95" s="1796" t="s">
        <v>555</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41" t="s">
        <v>581</v>
      </c>
      <c r="D96" s="1556"/>
      <c r="E96" s="482" t="str">
        <f>FHD_NUM_P_58</f>
        <v/>
      </c>
      <c r="F96" s="1795" t="str">
        <f>FHD_P_58</f>
        <v/>
      </c>
      <c r="G96" s="1796" t="s">
        <v>578</v>
      </c>
      <c r="H96" s="902"/>
      <c r="I96" s="513"/>
      <c r="J96" s="226" t="str">
        <f>FHD_NOTE_P_58</f>
        <v/>
      </c>
      <c r="K96" s="479"/>
      <c r="AF96" s="1549">
        <v>0</v>
      </c>
    </row>
    <row r="97" spans="1:32" ht="18.75" hidden="1" customHeight="1">
      <c r="A97" s="2541"/>
      <c r="D97" s="1556"/>
      <c r="E97" s="482" t="str">
        <f>FHD_NUM_P_59</f>
        <v/>
      </c>
      <c r="F97" s="1795" t="str">
        <f>FHD_P_59</f>
        <v/>
      </c>
      <c r="G97" s="1796" t="s">
        <v>578</v>
      </c>
      <c r="H97" s="902"/>
      <c r="I97" s="513"/>
      <c r="J97" s="226" t="str">
        <f>FHD_NOTE_P_59</f>
        <v/>
      </c>
      <c r="K97" s="479"/>
      <c r="AF97" s="1549">
        <v>0</v>
      </c>
    </row>
    <row r="98" spans="1:32" ht="18.75" hidden="1" customHeight="1">
      <c r="A98" s="2541"/>
      <c r="D98" s="1556"/>
      <c r="E98" s="482" t="str">
        <f>FHD_NUM_P_60</f>
        <v/>
      </c>
      <c r="F98" s="1795" t="str">
        <f>FHD_P_60</f>
        <v/>
      </c>
      <c r="G98" s="1796" t="s">
        <v>578</v>
      </c>
      <c r="H98" s="902"/>
      <c r="I98" s="513"/>
      <c r="J98" s="226" t="str">
        <f>FHD_NOTE_P_60</f>
        <v/>
      </c>
      <c r="K98" s="479"/>
      <c r="AF98" s="1549">
        <v>0</v>
      </c>
    </row>
    <row r="99" spans="1:32" s="2056" customFormat="1" ht="18.75" customHeight="1">
      <c r="A99" s="2541" t="s">
        <v>582</v>
      </c>
      <c r="C99" s="1554"/>
      <c r="D99" s="1556"/>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553</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4"/>
      <c r="M99" s="1554"/>
      <c r="R99" s="1554"/>
      <c r="U99" s="480"/>
      <c r="AA99" s="1550"/>
      <c r="AB99" s="1550"/>
      <c r="AC99" s="1550"/>
      <c r="AD99" s="1550"/>
      <c r="AE99" s="1550"/>
      <c r="AF99" s="1078">
        <v>0</v>
      </c>
    </row>
    <row r="100" spans="1:32" s="2034" customFormat="1" ht="0.75" customHeight="1">
      <c r="A100" s="2541"/>
      <c r="D100" s="484"/>
      <c r="E100" s="936" t="str">
        <f>E99&amp;".0"</f>
        <v>7.0</v>
      </c>
      <c r="F100" s="918"/>
      <c r="G100" s="919"/>
      <c r="H100" s="916"/>
      <c r="I100" s="916"/>
      <c r="J100" s="920"/>
      <c r="AF100" s="1554">
        <v>0</v>
      </c>
    </row>
    <row r="101" spans="1:32" ht="15" customHeight="1">
      <c r="A101" s="2541"/>
      <c r="D101" s="1551"/>
      <c r="E101" s="896"/>
      <c r="F101" s="897" t="s">
        <v>583</v>
      </c>
      <c r="G101" s="508"/>
      <c r="H101" s="509"/>
      <c r="I101" s="509"/>
      <c r="J101" s="927" t="s">
        <v>584</v>
      </c>
      <c r="K101" s="479"/>
      <c r="AF101" s="1549">
        <v>0</v>
      </c>
    </row>
    <row r="102" spans="1:32" s="2056" customFormat="1" ht="18.75" customHeight="1">
      <c r="A102" s="2541"/>
      <c r="C102" s="1554"/>
      <c r="D102" s="1556"/>
      <c r="E102" s="482" t="str">
        <f>FHD_NUM_P_62</f>
        <v>8</v>
      </c>
      <c r="F102" s="1795" t="str">
        <f>FHD_P_62</f>
        <v>Тепловая нагрузка по договорам, заключенным в рамках осуществления регулируемых видов деятельности</v>
      </c>
      <c r="G102" s="1792" t="s">
        <v>553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4"/>
      <c r="M102" s="1554"/>
      <c r="R102" s="1554"/>
      <c r="U102" s="480"/>
      <c r="AA102" s="1550"/>
      <c r="AB102" s="1550"/>
      <c r="AC102" s="1550"/>
      <c r="AD102" s="1550"/>
      <c r="AE102" s="1550"/>
      <c r="AF102" s="1078">
        <v>0</v>
      </c>
    </row>
    <row r="103" spans="1:32" s="2056" customFormat="1" ht="18.75" customHeight="1">
      <c r="A103" s="2541"/>
      <c r="C103" s="1554"/>
      <c r="D103" s="1556"/>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4"/>
      <c r="M103" s="1554"/>
      <c r="R103" s="1554"/>
      <c r="U103" s="480"/>
      <c r="AA103" s="1550"/>
      <c r="AB103" s="1550"/>
      <c r="AC103" s="1550"/>
      <c r="AD103" s="1550"/>
      <c r="AE103" s="1550"/>
      <c r="AF103" s="1078">
        <v>0</v>
      </c>
    </row>
    <row r="104" spans="1:32" s="2056" customFormat="1" ht="18.75" customHeight="1">
      <c r="A104" s="2541"/>
      <c r="C104" s="1554" t="s">
        <v>585</v>
      </c>
      <c r="D104" s="1556"/>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580</v>
      </c>
      <c r="H104" s="481"/>
      <c r="I104" s="481"/>
      <c r="J104" s="226" t="str">
        <f>FHD_NOTE_P_64</f>
        <v>Информация указывается только едиными теплоснабжающими организациями.</v>
      </c>
      <c r="K104" s="479"/>
      <c r="L104" s="1554"/>
      <c r="M104" s="1554"/>
      <c r="R104" s="1554"/>
      <c r="U104" s="480"/>
      <c r="AA104" s="1550"/>
      <c r="AB104" s="1550"/>
      <c r="AC104" s="1550"/>
      <c r="AD104" s="1550"/>
      <c r="AE104" s="1550"/>
      <c r="AF104" s="1078">
        <v>0</v>
      </c>
    </row>
    <row r="105" spans="1:32" s="2056" customFormat="1" ht="18.75" customHeight="1">
      <c r="A105" s="2541"/>
      <c r="C105" s="1554"/>
      <c r="D105" s="1556"/>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4"/>
      <c r="M105" s="1554"/>
      <c r="R105" s="1554"/>
      <c r="U105" s="480"/>
      <c r="AA105" s="1550"/>
      <c r="AB105" s="1550"/>
      <c r="AC105" s="1550"/>
      <c r="AD105" s="1550"/>
      <c r="AE105" s="1550"/>
      <c r="AF105" s="1078">
        <v>0</v>
      </c>
    </row>
    <row r="106" spans="1:32" s="2056" customFormat="1" ht="18.75" customHeight="1">
      <c r="A106" s="2541"/>
      <c r="C106" s="1554"/>
      <c r="D106" s="1556"/>
      <c r="E106" s="482" t="str">
        <f>FHD_NUM_P_66</f>
        <v>10.1</v>
      </c>
      <c r="F106" s="1442" t="str">
        <f>FHD_P_66</f>
        <v xml:space="preserve">По приборам учёта </v>
      </c>
      <c r="G106" s="1792" t="s">
        <v>580</v>
      </c>
      <c r="H106" s="513"/>
      <c r="I106" s="513"/>
      <c r="J106" s="226" t="str">
        <f>FHD_NOTE_P_66</f>
        <v/>
      </c>
      <c r="K106" s="479"/>
      <c r="L106" s="1554"/>
      <c r="M106" s="1554"/>
      <c r="R106" s="1554"/>
      <c r="U106" s="480"/>
      <c r="AA106" s="1550"/>
      <c r="AB106" s="1550"/>
      <c r="AC106" s="1550"/>
      <c r="AD106" s="1550"/>
      <c r="AE106" s="1550"/>
      <c r="AF106" s="1078">
        <v>0</v>
      </c>
    </row>
    <row r="107" spans="1:32" s="2056" customFormat="1" ht="18.75" customHeight="1">
      <c r="A107" s="2541"/>
      <c r="C107" s="1554"/>
      <c r="D107" s="1556"/>
      <c r="E107" s="482"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580</v>
      </c>
      <c r="H107" s="513"/>
      <c r="I107" s="513"/>
      <c r="J107" s="226" t="str">
        <f>FHD_NOTE_P_67</f>
        <v/>
      </c>
      <c r="K107" s="479"/>
      <c r="L107" s="1554"/>
      <c r="M107" s="1554"/>
      <c r="R107" s="1554"/>
      <c r="U107" s="480"/>
      <c r="AA107" s="1550"/>
      <c r="AB107" s="1550"/>
      <c r="AC107" s="1550"/>
      <c r="AD107" s="1550"/>
      <c r="AE107" s="1550"/>
      <c r="AF107" s="1078">
        <v>0</v>
      </c>
    </row>
    <row r="108" spans="1:32" s="2056" customFormat="1" ht="18.75" customHeight="1">
      <c r="A108" s="2541"/>
      <c r="C108" s="1554"/>
      <c r="D108" s="1556"/>
      <c r="E108" s="482" t="str">
        <f>FHD_NUM_P_68</f>
        <v>10.2</v>
      </c>
      <c r="F108" s="1442" t="str">
        <f>FHD_P_68</f>
        <v>Расчётным путём</v>
      </c>
      <c r="G108" s="1792" t="s">
        <v>580</v>
      </c>
      <c r="H108" s="513"/>
      <c r="I108" s="513"/>
      <c r="J108" s="226" t="str">
        <f>FHD_NOTE_P_68</f>
        <v/>
      </c>
      <c r="K108" s="479"/>
      <c r="L108" s="1554"/>
      <c r="M108" s="1554"/>
      <c r="R108" s="1554"/>
      <c r="U108" s="480"/>
      <c r="AA108" s="1550"/>
      <c r="AB108" s="1550"/>
      <c r="AC108" s="1550"/>
      <c r="AD108" s="1550"/>
      <c r="AE108" s="1550"/>
      <c r="AF108" s="1078">
        <v>0</v>
      </c>
    </row>
    <row r="109" spans="1:32" s="2056" customFormat="1" ht="18.75" customHeight="1">
      <c r="A109" s="2541"/>
      <c r="C109" s="1554"/>
      <c r="D109" s="1556"/>
      <c r="E109" s="482" t="str">
        <f>FHD_NUM_P_69</f>
        <v>10.3</v>
      </c>
      <c r="F109" s="1442" t="str">
        <f>FHD_P_69</f>
        <v>По нормативам потребления коммунальных услуг и нормативам потребления коммунальных ресурсов</v>
      </c>
      <c r="G109" s="1792" t="s">
        <v>580</v>
      </c>
      <c r="H109" s="513"/>
      <c r="I109" s="513"/>
      <c r="J109" s="226" t="str">
        <f>FHD_NOTE_P_69</f>
        <v/>
      </c>
      <c r="K109" s="479"/>
      <c r="L109" s="1554"/>
      <c r="M109" s="1554"/>
      <c r="R109" s="1554"/>
      <c r="U109" s="480"/>
      <c r="AA109" s="1550"/>
      <c r="AB109" s="1550"/>
      <c r="AC109" s="1550"/>
      <c r="AD109" s="1550"/>
      <c r="AE109" s="1550"/>
      <c r="AF109" s="1078">
        <v>0</v>
      </c>
    </row>
    <row r="110" spans="1:32" s="2056" customFormat="1" ht="22.5" customHeight="1">
      <c r="A110" s="2541"/>
      <c r="C110" s="1554"/>
      <c r="D110" s="1556"/>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586</v>
      </c>
      <c r="H110" s="493"/>
      <c r="I110" s="493"/>
      <c r="J110" s="226" t="str">
        <f>FHD_NOTE_P_70</f>
        <v/>
      </c>
      <c r="K110" s="479"/>
      <c r="L110" s="1554"/>
      <c r="M110" s="1554"/>
      <c r="R110" s="1554"/>
      <c r="U110" s="480"/>
      <c r="AA110" s="1550"/>
      <c r="AB110" s="1550"/>
      <c r="AC110" s="1550"/>
      <c r="AD110" s="1550"/>
      <c r="AE110" s="1550"/>
      <c r="AF110" s="1078">
        <v>0</v>
      </c>
    </row>
    <row r="111" spans="1:32" s="2056" customFormat="1" ht="22.5" customHeight="1">
      <c r="A111" s="2541"/>
      <c r="C111" s="1554"/>
      <c r="D111" s="1556"/>
      <c r="E111" s="482" t="str">
        <f>FHD_NUM_P_71</f>
        <v>12</v>
      </c>
      <c r="F111" s="1795" t="str">
        <f>FHD_P_71</f>
        <v>Фактический объем потерь при передаче тепловой энергии</v>
      </c>
      <c r="G111" s="1792" t="s">
        <v>586</v>
      </c>
      <c r="H111" s="493"/>
      <c r="I111" s="493"/>
      <c r="J111" s="226" t="str">
        <f>FHD_NOTE_P_71</f>
        <v/>
      </c>
      <c r="K111" s="479"/>
      <c r="L111" s="1554"/>
      <c r="M111" s="1554"/>
      <c r="R111" s="1554"/>
      <c r="U111" s="480"/>
      <c r="AA111" s="1550"/>
      <c r="AB111" s="1550"/>
      <c r="AC111" s="1550"/>
      <c r="AD111" s="1550"/>
      <c r="AE111" s="1550"/>
      <c r="AF111" s="1078">
        <v>0</v>
      </c>
    </row>
    <row r="112" spans="1:32" ht="19.899999999999999" customHeight="1">
      <c r="D112" s="1556"/>
      <c r="E112" s="482" t="str">
        <f>FHD_NUM_P_72</f>
        <v>13</v>
      </c>
      <c r="F112" s="1795" t="str">
        <f>FHD_P_72</f>
        <v>Среднесписочная численность основного производственного персонала</v>
      </c>
      <c r="G112" s="1791" t="s">
        <v>587</v>
      </c>
      <c r="H112" s="513"/>
      <c r="I112" s="513"/>
      <c r="J112" s="226" t="str">
        <f>FHD_NOTE_P_72</f>
        <v/>
      </c>
      <c r="K112" s="479"/>
      <c r="AF112" s="1549">
        <v>19</v>
      </c>
    </row>
    <row r="113" spans="1:32" ht="18.75" customHeight="1">
      <c r="A113" s="913" t="s">
        <v>588</v>
      </c>
      <c r="D113" s="1556"/>
      <c r="E113" s="482" t="str">
        <f>FHD_NUM_P_73</f>
        <v>14</v>
      </c>
      <c r="F113" s="1795" t="str">
        <f>FHD_P_73</f>
        <v>Среднесписочная численность административно-управленческого персонала</v>
      </c>
      <c r="G113" s="895" t="s">
        <v>587</v>
      </c>
      <c r="H113" s="893"/>
      <c r="I113" s="893"/>
      <c r="J113" s="226" t="str">
        <f>FHD_NOTE_P_73</f>
        <v/>
      </c>
      <c r="K113" s="479"/>
      <c r="AF113" s="1549">
        <v>0</v>
      </c>
    </row>
    <row r="114" spans="1:32" ht="33.75" hidden="1" customHeight="1">
      <c r="A114" s="913" t="s">
        <v>589</v>
      </c>
      <c r="D114" s="1556"/>
      <c r="E114" s="482" t="str">
        <f>FHD_NUM_P_74</f>
        <v/>
      </c>
      <c r="F114" s="1795" t="str">
        <f>FHD_P_74</f>
        <v/>
      </c>
      <c r="G114" s="1791" t="s">
        <v>590</v>
      </c>
      <c r="H114" s="513"/>
      <c r="I114" s="513"/>
      <c r="J114" s="226" t="str">
        <f>FHD_NOTE_P_74</f>
        <v/>
      </c>
      <c r="K114" s="479"/>
      <c r="AF114" s="1549">
        <v>0</v>
      </c>
    </row>
    <row r="115" spans="1:32" s="2062" customFormat="1" ht="18.75" hidden="1" customHeight="1">
      <c r="A115" s="2541" t="s">
        <v>591</v>
      </c>
      <c r="B115" s="835"/>
      <c r="C115" s="671"/>
      <c r="D115" s="669"/>
      <c r="E115" s="482" t="str">
        <f>FHD_NUM_P_75</f>
        <v/>
      </c>
      <c r="F115" s="1795" t="str">
        <f>FHD_P_75</f>
        <v/>
      </c>
      <c r="G115" s="1791" t="s">
        <v>555</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62" customFormat="1" ht="18.75" hidden="1" customHeight="1">
      <c r="A116" s="2541"/>
      <c r="B116" s="835"/>
      <c r="C116" s="671"/>
      <c r="D116" s="669"/>
      <c r="E116" s="482" t="str">
        <f>FHD_NUM_P_76</f>
        <v/>
      </c>
      <c r="F116" s="1795" t="str">
        <f>FHD_P_76</f>
        <v/>
      </c>
      <c r="G116" s="1791" t="s">
        <v>555</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62" customFormat="1" ht="18.75" hidden="1" customHeight="1">
      <c r="A117" s="2541"/>
      <c r="B117" s="835"/>
      <c r="C117" s="671"/>
      <c r="D117" s="669"/>
      <c r="E117" s="482" t="str">
        <f>FHD_NUM_P_77</f>
        <v/>
      </c>
      <c r="F117" s="1795" t="str">
        <f>FHD_P_77</f>
        <v/>
      </c>
      <c r="G117" s="1791" t="s">
        <v>555</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34" customFormat="1" ht="0.75" hidden="1" customHeight="1">
      <c r="A118" s="2541"/>
      <c r="D118" s="484"/>
      <c r="E118" s="936" t="str">
        <f>E117&amp;".0"</f>
        <v>.0</v>
      </c>
      <c r="F118" s="921"/>
      <c r="G118" s="1569"/>
      <c r="H118" s="916"/>
      <c r="I118" s="916"/>
      <c r="J118" s="920"/>
      <c r="AF118" s="1554">
        <v>0</v>
      </c>
    </row>
    <row r="119" spans="1:32" s="2062" customFormat="1" ht="15" hidden="1" customHeight="1">
      <c r="A119" s="2541"/>
      <c r="B119" s="835"/>
      <c r="C119" s="671"/>
      <c r="D119" s="682"/>
      <c r="E119" s="898"/>
      <c r="F119" s="899" t="s">
        <v>592</v>
      </c>
      <c r="G119" s="683"/>
      <c r="H119" s="684"/>
      <c r="I119" s="684"/>
      <c r="J119" s="926" t="s">
        <v>593</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541" t="s">
        <v>594</v>
      </c>
      <c r="D120" s="1556"/>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557</v>
      </c>
      <c r="H120" s="513"/>
      <c r="I120" s="513"/>
      <c r="J120" s="226" t="str">
        <f>FHD_NOTE_P_78</f>
        <v/>
      </c>
      <c r="K120" s="479"/>
      <c r="AF120" s="1549">
        <v>0</v>
      </c>
    </row>
    <row r="121" spans="1:32" s="2034" customFormat="1" ht="0.75" customHeight="1">
      <c r="A121" s="2541"/>
      <c r="D121" s="484"/>
      <c r="E121" s="936" t="str">
        <f>E120&amp;".0"</f>
        <v>15.0</v>
      </c>
      <c r="F121" s="921"/>
      <c r="G121" s="1569"/>
      <c r="H121" s="916"/>
      <c r="I121" s="916"/>
      <c r="J121" s="920"/>
      <c r="AF121" s="1554">
        <v>0</v>
      </c>
    </row>
    <row r="122" spans="1:32" ht="15" customHeight="1">
      <c r="A122" s="2541"/>
      <c r="D122" s="1551"/>
      <c r="E122" s="506"/>
      <c r="F122" s="1086" t="s">
        <v>583</v>
      </c>
      <c r="G122" s="508"/>
      <c r="H122" s="509"/>
      <c r="I122" s="509"/>
      <c r="J122" s="927" t="s">
        <v>595</v>
      </c>
      <c r="K122" s="479"/>
      <c r="AF122" s="1549">
        <v>0</v>
      </c>
    </row>
    <row r="123" spans="1:32" ht="22.5" customHeight="1">
      <c r="A123" s="2541"/>
      <c r="D123" s="1556"/>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559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49">
        <v>0</v>
      </c>
    </row>
    <row r="124" spans="1:32" s="2034" customFormat="1" ht="0.75" customHeight="1">
      <c r="A124" s="2541"/>
      <c r="D124" s="484"/>
      <c r="E124" s="936" t="str">
        <f>E123&amp;".0"</f>
        <v>16.0</v>
      </c>
      <c r="F124" s="922"/>
      <c r="G124" s="1569"/>
      <c r="H124" s="916"/>
      <c r="I124" s="916"/>
      <c r="J124" s="920"/>
      <c r="AF124" s="1554">
        <v>0</v>
      </c>
    </row>
    <row r="125" spans="1:32" ht="15" customHeight="1">
      <c r="A125" s="2541"/>
      <c r="D125" s="1551"/>
      <c r="E125" s="506"/>
      <c r="F125" s="1086" t="s">
        <v>583</v>
      </c>
      <c r="G125" s="508"/>
      <c r="H125" s="509"/>
      <c r="I125" s="509"/>
      <c r="J125" s="927" t="s">
        <v>596</v>
      </c>
      <c r="K125" s="479"/>
      <c r="AF125" s="1549">
        <v>0</v>
      </c>
    </row>
    <row r="126" spans="1:32" ht="22.5" customHeight="1">
      <c r="A126" s="2541"/>
      <c r="D126" s="1556"/>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597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49">
        <v>0</v>
      </c>
    </row>
    <row r="127" spans="1:32" ht="18.75" customHeight="1">
      <c r="A127" s="2541"/>
      <c r="D127" s="1556"/>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598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49">
        <v>0</v>
      </c>
    </row>
    <row r="128" spans="1:32" ht="18.75" customHeight="1">
      <c r="A128" s="2541"/>
      <c r="C128" s="1554" t="s">
        <v>585</v>
      </c>
      <c r="D128" s="1556"/>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303</v>
      </c>
      <c r="H128" s="337"/>
      <c r="I128" s="337"/>
      <c r="J128" s="226" t="str">
        <f>FHD_NOTE_P_82</f>
        <v>Указывается ссылка на документ, предварительно загруженный в хранилище файлов ФГИС ЕИАС.</v>
      </c>
      <c r="K128" s="479"/>
      <c r="AF128" s="1549">
        <v>0</v>
      </c>
    </row>
    <row r="129" spans="1:32" ht="18.75" customHeight="1">
      <c r="A129" s="2541"/>
      <c r="C129" s="1554" t="s">
        <v>585</v>
      </c>
      <c r="D129" s="1556"/>
      <c r="E129" s="482" t="str">
        <f>FHD_NUM_P_83</f>
        <v>19.1</v>
      </c>
      <c r="F129" s="1442" t="str">
        <f>FHD_P_83</f>
        <v>Информация о показателях физического износа объектов теплоснабжения</v>
      </c>
      <c r="G129" s="1793" t="s">
        <v>303</v>
      </c>
      <c r="H129" s="337"/>
      <c r="I129" s="337"/>
      <c r="J129" s="226" t="str">
        <f>FHD_NOTE_P_83</f>
        <v>Указывается ссылка на документ, предварительно загруженный в хранилище файлов ФГИС ЕИАС.</v>
      </c>
      <c r="K129" s="479"/>
      <c r="AF129" s="1549">
        <v>0</v>
      </c>
    </row>
    <row r="130" spans="1:32" ht="18.75" customHeight="1">
      <c r="A130" s="2541"/>
      <c r="C130" s="1554" t="s">
        <v>585</v>
      </c>
      <c r="D130" s="1556"/>
      <c r="E130" s="482" t="str">
        <f>FHD_NUM_P_84</f>
        <v>19.2</v>
      </c>
      <c r="F130" s="1442" t="str">
        <f>FHD_P_84</f>
        <v>Информация о показателях энергетической эффективности объектов теплоснабжения</v>
      </c>
      <c r="G130" s="1793" t="s">
        <v>303</v>
      </c>
      <c r="H130" s="337"/>
      <c r="I130" s="337"/>
      <c r="J130" s="226" t="str">
        <f>FHD_NOTE_P_84</f>
        <v>Указывается ссылка на документ, предварительно загруженный в хранилище файлов ФГИС ЕИАС.</v>
      </c>
      <c r="K130" s="479"/>
      <c r="AF130" s="1549">
        <v>0</v>
      </c>
    </row>
    <row r="131" spans="1:32" ht="11.45" customHeight="1">
      <c r="D131" s="1556"/>
      <c r="AF131" s="1549">
        <v>11</v>
      </c>
    </row>
    <row r="132" spans="1:32" ht="13.5" customHeight="1">
      <c r="D132" s="1556"/>
      <c r="E132" s="273"/>
      <c r="F132" s="305"/>
      <c r="G132" s="305"/>
      <c r="H132" s="305"/>
      <c r="I132" s="1565"/>
      <c r="J132" s="517"/>
      <c r="AF132" s="1549">
        <v>13</v>
      </c>
    </row>
    <row r="133" spans="1:32" s="2028" customFormat="1" ht="11.45" customHeight="1">
      <c r="A133" s="911"/>
      <c r="B133" s="1554"/>
      <c r="C133" s="1554"/>
      <c r="D133" s="287"/>
      <c r="F133" s="1558"/>
      <c r="G133" s="1549"/>
      <c r="H133" s="1549"/>
      <c r="I133" s="1549"/>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028"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028"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028" customFormat="1" ht="11.45" customHeight="1">
      <c r="A136" s="911"/>
      <c r="B136" s="1554"/>
      <c r="C136" s="1554"/>
      <c r="D136" s="287"/>
      <c r="H136" s="502" t="str">
        <f>IF(H30-H31&lt;&gt;H72,"WARNING","")</f>
        <v/>
      </c>
      <c r="I136" s="502" t="str">
        <f>IF(I30-I31&lt;&gt;I72,"WARNING","")</f>
        <v/>
      </c>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028"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028"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028"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028"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028"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028"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028"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028"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028"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028"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028"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028"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028"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028"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028"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028"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028"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028"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028"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028"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028"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028"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028"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028"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028"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028"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028"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028"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028"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028"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028"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028"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028"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028"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028"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028"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028"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028"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028"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028"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028"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028"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028"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028"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028"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028"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028"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028"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028"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028"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028"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028"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028"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028"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028"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028"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028"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028"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028"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028"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028"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028"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028"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028"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028"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028"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s="2028" customFormat="1" ht="11.45" customHeight="1">
      <c r="A203" s="911"/>
      <c r="B203" s="1554"/>
      <c r="C203" s="1554"/>
      <c r="D203" s="287"/>
      <c r="K203" s="1078"/>
      <c r="L203" s="1554"/>
      <c r="M203" s="1554"/>
      <c r="N203" s="1078"/>
      <c r="O203" s="1078"/>
      <c r="P203" s="1078"/>
      <c r="Q203" s="1078"/>
      <c r="R203" s="1554"/>
      <c r="S203" s="1078"/>
      <c r="T203" s="1078"/>
      <c r="U203" s="480"/>
      <c r="V203" s="1078"/>
      <c r="W203" s="1078"/>
      <c r="X203" s="1078"/>
      <c r="Y203" s="1078"/>
      <c r="Z203" s="1078"/>
      <c r="AA203" s="1550"/>
      <c r="AB203" s="502"/>
      <c r="AC203" s="502"/>
      <c r="AD203" s="502"/>
      <c r="AE203" s="502"/>
      <c r="AF203" s="1559">
        <v>11</v>
      </c>
    </row>
    <row r="204" spans="1:32" s="2028" customFormat="1" ht="11.45" customHeight="1">
      <c r="A204" s="911"/>
      <c r="B204" s="1554"/>
      <c r="C204" s="1554"/>
      <c r="D204" s="287"/>
      <c r="K204" s="1078"/>
      <c r="L204" s="1554"/>
      <c r="M204" s="1554"/>
      <c r="N204" s="1078"/>
      <c r="O204" s="1078"/>
      <c r="P204" s="1078"/>
      <c r="Q204" s="1078"/>
      <c r="R204" s="1554"/>
      <c r="S204" s="1078"/>
      <c r="T204" s="1078"/>
      <c r="U204" s="480"/>
      <c r="V204" s="1078"/>
      <c r="W204" s="1078"/>
      <c r="X204" s="1078"/>
      <c r="Y204" s="1078"/>
      <c r="Z204" s="1078"/>
      <c r="AA204" s="1550"/>
      <c r="AB204" s="502"/>
      <c r="AC204" s="502"/>
      <c r="AD204" s="502"/>
      <c r="AE204" s="502"/>
      <c r="AF204" s="1559">
        <v>11</v>
      </c>
    </row>
    <row r="205" spans="1:32" s="2028" customFormat="1" ht="11.45" customHeight="1">
      <c r="A205" s="911"/>
      <c r="B205" s="1554"/>
      <c r="C205" s="1554"/>
      <c r="D205" s="287"/>
      <c r="K205" s="1078"/>
      <c r="L205" s="1554"/>
      <c r="M205" s="1554"/>
      <c r="N205" s="1078"/>
      <c r="O205" s="1078"/>
      <c r="P205" s="1078"/>
      <c r="Q205" s="1078"/>
      <c r="R205" s="1554"/>
      <c r="S205" s="1078"/>
      <c r="T205" s="1078"/>
      <c r="U205" s="480"/>
      <c r="V205" s="1078"/>
      <c r="W205" s="1078"/>
      <c r="X205" s="1078"/>
      <c r="Y205" s="1078"/>
      <c r="Z205" s="1078"/>
      <c r="AA205" s="1550"/>
      <c r="AB205" s="502"/>
      <c r="AC205" s="502"/>
      <c r="AD205" s="502"/>
      <c r="AE205" s="502"/>
      <c r="AF205" s="1559">
        <v>11</v>
      </c>
    </row>
    <row r="206" spans="1:32" s="2028" customFormat="1" ht="11.45" customHeight="1">
      <c r="A206" s="911"/>
      <c r="B206" s="1554"/>
      <c r="C206" s="1554"/>
      <c r="D206" s="287"/>
      <c r="K206" s="1078"/>
      <c r="L206" s="1554"/>
      <c r="M206" s="1554"/>
      <c r="N206" s="1078"/>
      <c r="O206" s="1078"/>
      <c r="P206" s="1078"/>
      <c r="Q206" s="1078"/>
      <c r="R206" s="1554"/>
      <c r="S206" s="1078"/>
      <c r="T206" s="1078"/>
      <c r="U206" s="480"/>
      <c r="V206" s="1078"/>
      <c r="W206" s="1078"/>
      <c r="X206" s="1078"/>
      <c r="Y206" s="1078"/>
      <c r="Z206" s="1078"/>
      <c r="AA206" s="1550"/>
      <c r="AB206" s="502"/>
      <c r="AC206" s="502"/>
      <c r="AD206" s="502"/>
      <c r="AE206" s="502"/>
      <c r="AF206" s="1559">
        <v>11</v>
      </c>
    </row>
    <row r="207" spans="1:32" s="2028" customFormat="1" ht="11.45" customHeight="1">
      <c r="A207" s="911"/>
      <c r="B207" s="1554"/>
      <c r="C207" s="1554"/>
      <c r="D207" s="287"/>
      <c r="K207" s="1078"/>
      <c r="L207" s="1554"/>
      <c r="M207" s="1554"/>
      <c r="N207" s="1078"/>
      <c r="O207" s="1078"/>
      <c r="P207" s="1078"/>
      <c r="Q207" s="1078"/>
      <c r="R207" s="1554"/>
      <c r="S207" s="1078"/>
      <c r="T207" s="1078"/>
      <c r="U207" s="480"/>
      <c r="V207" s="1078"/>
      <c r="W207" s="1078"/>
      <c r="X207" s="1078"/>
      <c r="Y207" s="1078"/>
      <c r="Z207" s="1078"/>
      <c r="AA207" s="1550"/>
      <c r="AB207" s="502"/>
      <c r="AC207" s="502"/>
      <c r="AD207" s="502"/>
      <c r="AE207" s="502"/>
      <c r="AF207" s="1559">
        <v>11</v>
      </c>
    </row>
    <row r="208" spans="1:32" s="2028" customFormat="1" ht="11.45" customHeight="1">
      <c r="A208" s="911"/>
      <c r="B208" s="1554"/>
      <c r="C208" s="1554"/>
      <c r="D208" s="287"/>
      <c r="K208" s="1078"/>
      <c r="L208" s="1554"/>
      <c r="M208" s="1554"/>
      <c r="N208" s="1078"/>
      <c r="O208" s="1078"/>
      <c r="P208" s="1078"/>
      <c r="Q208" s="1078"/>
      <c r="R208" s="1554"/>
      <c r="S208" s="1078"/>
      <c r="T208" s="1078"/>
      <c r="U208" s="480"/>
      <c r="V208" s="1078"/>
      <c r="W208" s="1078"/>
      <c r="X208" s="1078"/>
      <c r="Y208" s="1078"/>
      <c r="Z208" s="1078"/>
      <c r="AA208" s="1550"/>
      <c r="AB208" s="502"/>
      <c r="AC208" s="502"/>
      <c r="AD208" s="502"/>
      <c r="AE208" s="502"/>
      <c r="AF208" s="1559">
        <v>11</v>
      </c>
    </row>
    <row r="209" spans="1:32" s="2028" customFormat="1" ht="11.45" customHeight="1">
      <c r="A209" s="911"/>
      <c r="B209" s="1554"/>
      <c r="C209" s="1554"/>
      <c r="D209" s="287"/>
      <c r="K209" s="1078"/>
      <c r="L209" s="1554"/>
      <c r="M209" s="1554"/>
      <c r="N209" s="1078"/>
      <c r="O209" s="1078"/>
      <c r="P209" s="1078"/>
      <c r="Q209" s="1078"/>
      <c r="R209" s="1554"/>
      <c r="S209" s="1078"/>
      <c r="T209" s="1078"/>
      <c r="U209" s="480"/>
      <c r="V209" s="1078"/>
      <c r="W209" s="1078"/>
      <c r="X209" s="1078"/>
      <c r="Y209" s="1078"/>
      <c r="Z209" s="1078"/>
      <c r="AA209" s="1550"/>
      <c r="AB209" s="502"/>
      <c r="AC209" s="502"/>
      <c r="AD209" s="502"/>
      <c r="AE209" s="502"/>
      <c r="AF209" s="1559">
        <v>11</v>
      </c>
    </row>
    <row r="210" spans="1:32" s="2028" customFormat="1" ht="11.45" customHeight="1">
      <c r="A210" s="911"/>
      <c r="B210" s="1554"/>
      <c r="C210" s="1554"/>
      <c r="D210" s="287"/>
      <c r="K210" s="1078"/>
      <c r="L210" s="1554"/>
      <c r="M210" s="1554"/>
      <c r="N210" s="1078"/>
      <c r="O210" s="1078"/>
      <c r="P210" s="1078"/>
      <c r="Q210" s="1078"/>
      <c r="R210" s="1554"/>
      <c r="S210" s="1078"/>
      <c r="T210" s="1078"/>
      <c r="U210" s="480"/>
      <c r="V210" s="1078"/>
      <c r="W210" s="1078"/>
      <c r="X210" s="1078"/>
      <c r="Y210" s="1078"/>
      <c r="Z210" s="1078"/>
      <c r="AA210" s="1550"/>
      <c r="AB210" s="502"/>
      <c r="AC210" s="502"/>
      <c r="AD210" s="502"/>
      <c r="AE210" s="502"/>
      <c r="AF210" s="1559">
        <v>11</v>
      </c>
    </row>
    <row r="211" spans="1:32" s="2028" customFormat="1" ht="11.45" customHeight="1">
      <c r="A211" s="911"/>
      <c r="B211" s="1554"/>
      <c r="C211" s="1554"/>
      <c r="D211" s="287"/>
      <c r="K211" s="1078"/>
      <c r="L211" s="1554"/>
      <c r="M211" s="1554"/>
      <c r="N211" s="1078"/>
      <c r="O211" s="1078"/>
      <c r="P211" s="1078"/>
      <c r="Q211" s="1078"/>
      <c r="R211" s="1554"/>
      <c r="S211" s="1078"/>
      <c r="T211" s="1078"/>
      <c r="U211" s="480"/>
      <c r="V211" s="1078"/>
      <c r="W211" s="1078"/>
      <c r="X211" s="1078"/>
      <c r="Y211" s="1078"/>
      <c r="Z211" s="1078"/>
      <c r="AA211" s="1550"/>
      <c r="AB211" s="502"/>
      <c r="AC211" s="502"/>
      <c r="AD211" s="502"/>
      <c r="AE211" s="502"/>
      <c r="AF211" s="1559">
        <v>11</v>
      </c>
    </row>
    <row r="212" spans="1:32" s="2028" customFormat="1" ht="11.45" customHeight="1">
      <c r="A212" s="911"/>
      <c r="B212" s="1554"/>
      <c r="C212" s="1554"/>
      <c r="D212" s="287"/>
      <c r="K212" s="1078"/>
      <c r="L212" s="1554"/>
      <c r="M212" s="1554"/>
      <c r="N212" s="1078"/>
      <c r="O212" s="1078"/>
      <c r="P212" s="1078"/>
      <c r="Q212" s="1078"/>
      <c r="R212" s="1554"/>
      <c r="S212" s="1078"/>
      <c r="T212" s="1078"/>
      <c r="U212" s="480"/>
      <c r="V212" s="1078"/>
      <c r="W212" s="1078"/>
      <c r="X212" s="1078"/>
      <c r="Y212" s="1078"/>
      <c r="Z212" s="1078"/>
      <c r="AA212" s="1550"/>
      <c r="AB212" s="502"/>
      <c r="AC212" s="502"/>
      <c r="AD212" s="502"/>
      <c r="AE212" s="502"/>
      <c r="AF212" s="1559">
        <v>11</v>
      </c>
    </row>
    <row r="213" spans="1:32" s="2028" customFormat="1" ht="11.45" customHeight="1">
      <c r="A213" s="911"/>
      <c r="B213" s="1554"/>
      <c r="C213" s="1554"/>
      <c r="D213" s="287"/>
      <c r="K213" s="1078"/>
      <c r="L213" s="1554"/>
      <c r="M213" s="1554"/>
      <c r="N213" s="1078"/>
      <c r="O213" s="1078"/>
      <c r="P213" s="1078"/>
      <c r="Q213" s="1078"/>
      <c r="R213" s="1554"/>
      <c r="S213" s="1078"/>
      <c r="T213" s="1078"/>
      <c r="U213" s="480"/>
      <c r="V213" s="1078"/>
      <c r="W213" s="1078"/>
      <c r="X213" s="1078"/>
      <c r="Y213" s="1078"/>
      <c r="Z213" s="1078"/>
      <c r="AA213" s="1550"/>
      <c r="AB213" s="502"/>
      <c r="AC213" s="502"/>
      <c r="AD213" s="502"/>
      <c r="AE213" s="502"/>
      <c r="AF213" s="1559">
        <v>11</v>
      </c>
    </row>
    <row r="214" spans="1:32" s="2028" customFormat="1" ht="11.45" customHeight="1">
      <c r="A214" s="911"/>
      <c r="B214" s="1554"/>
      <c r="C214" s="1554"/>
      <c r="D214" s="287"/>
      <c r="K214" s="1078"/>
      <c r="L214" s="1554"/>
      <c r="M214" s="1554"/>
      <c r="N214" s="1078"/>
      <c r="O214" s="1078"/>
      <c r="P214" s="1078"/>
      <c r="Q214" s="1078"/>
      <c r="R214" s="1554"/>
      <c r="S214" s="1078"/>
      <c r="T214" s="1078"/>
      <c r="U214" s="480"/>
      <c r="V214" s="1078"/>
      <c r="W214" s="1078"/>
      <c r="X214" s="1078"/>
      <c r="Y214" s="1078"/>
      <c r="Z214" s="1078"/>
      <c r="AA214" s="1550"/>
      <c r="AB214" s="502"/>
      <c r="AC214" s="502"/>
      <c r="AD214" s="502"/>
      <c r="AE214" s="502"/>
      <c r="AF214" s="1559">
        <v>11</v>
      </c>
    </row>
    <row r="215" spans="1:32" s="2028" customFormat="1" ht="11.45" customHeight="1">
      <c r="A215" s="911"/>
      <c r="B215" s="1554"/>
      <c r="C215" s="1554"/>
      <c r="D215" s="287"/>
      <c r="K215" s="1078"/>
      <c r="L215" s="1554"/>
      <c r="M215" s="1554"/>
      <c r="N215" s="1078"/>
      <c r="O215" s="1078"/>
      <c r="P215" s="1078"/>
      <c r="Q215" s="1078"/>
      <c r="R215" s="1554"/>
      <c r="S215" s="1078"/>
      <c r="T215" s="1078"/>
      <c r="U215" s="480"/>
      <c r="V215" s="1078"/>
      <c r="W215" s="1078"/>
      <c r="X215" s="1078"/>
      <c r="Y215" s="1078"/>
      <c r="Z215" s="1078"/>
      <c r="AA215" s="1550"/>
      <c r="AB215" s="502"/>
      <c r="AC215" s="502"/>
      <c r="AD215" s="502"/>
      <c r="AE215" s="502"/>
      <c r="AF215" s="1559">
        <v>11</v>
      </c>
    </row>
    <row r="216" spans="1:32" s="2028" customFormat="1" ht="11.45" customHeight="1">
      <c r="A216" s="911"/>
      <c r="B216" s="1554"/>
      <c r="C216" s="1554"/>
      <c r="D216" s="287"/>
      <c r="K216" s="1078"/>
      <c r="L216" s="1554"/>
      <c r="M216" s="1554"/>
      <c r="N216" s="1078"/>
      <c r="O216" s="1078"/>
      <c r="P216" s="1078"/>
      <c r="Q216" s="1078"/>
      <c r="R216" s="1554"/>
      <c r="S216" s="1078"/>
      <c r="T216" s="1078"/>
      <c r="U216" s="480"/>
      <c r="V216" s="1078"/>
      <c r="W216" s="1078"/>
      <c r="X216" s="1078"/>
      <c r="Y216" s="1078"/>
      <c r="Z216" s="1078"/>
      <c r="AA216" s="1550"/>
      <c r="AB216" s="502"/>
      <c r="AC216" s="502"/>
      <c r="AD216" s="502"/>
      <c r="AE216" s="502"/>
      <c r="AF216" s="1559">
        <v>11</v>
      </c>
    </row>
    <row r="217" spans="1:32" s="2028" customFormat="1" ht="11.45" customHeight="1">
      <c r="A217" s="911"/>
      <c r="B217" s="1554"/>
      <c r="C217" s="1554"/>
      <c r="D217" s="287"/>
      <c r="K217" s="1078"/>
      <c r="L217" s="1554"/>
      <c r="M217" s="1554"/>
      <c r="N217" s="1078"/>
      <c r="O217" s="1078"/>
      <c r="P217" s="1078"/>
      <c r="Q217" s="1078"/>
      <c r="R217" s="1554"/>
      <c r="S217" s="1078"/>
      <c r="T217" s="1078"/>
      <c r="U217" s="480"/>
      <c r="V217" s="1078"/>
      <c r="W217" s="1078"/>
      <c r="X217" s="1078"/>
      <c r="Y217" s="1078"/>
      <c r="Z217" s="1078"/>
      <c r="AA217" s="1550"/>
      <c r="AB217" s="502"/>
      <c r="AC217" s="502"/>
      <c r="AD217" s="502"/>
      <c r="AE217" s="502"/>
      <c r="AF217" s="1559">
        <v>11</v>
      </c>
    </row>
    <row r="218" spans="1:32" s="2028" customFormat="1" ht="11.45" customHeight="1">
      <c r="A218" s="911"/>
      <c r="B218" s="1554"/>
      <c r="C218" s="1554"/>
      <c r="D218" s="287"/>
      <c r="K218" s="1078"/>
      <c r="L218" s="1554"/>
      <c r="M218" s="1554"/>
      <c r="N218" s="1078"/>
      <c r="O218" s="1078"/>
      <c r="P218" s="1078"/>
      <c r="Q218" s="1078"/>
      <c r="R218" s="1554"/>
      <c r="S218" s="1078"/>
      <c r="T218" s="1078"/>
      <c r="U218" s="480"/>
      <c r="V218" s="1078"/>
      <c r="W218" s="1078"/>
      <c r="X218" s="1078"/>
      <c r="Y218" s="1078"/>
      <c r="Z218" s="1078"/>
      <c r="AA218" s="1550"/>
      <c r="AB218" s="502"/>
      <c r="AC218" s="502"/>
      <c r="AD218" s="502"/>
      <c r="AE218" s="502"/>
      <c r="AF218" s="1559">
        <v>11</v>
      </c>
    </row>
    <row r="219" spans="1:32" s="2028" customFormat="1" ht="11.45" customHeight="1">
      <c r="A219" s="911"/>
      <c r="B219" s="1554"/>
      <c r="C219" s="1554"/>
      <c r="D219" s="287"/>
      <c r="K219" s="1078"/>
      <c r="L219" s="1554"/>
      <c r="M219" s="1554"/>
      <c r="N219" s="1078"/>
      <c r="O219" s="1078"/>
      <c r="P219" s="1078"/>
      <c r="Q219" s="1078"/>
      <c r="R219" s="1554"/>
      <c r="S219" s="1078"/>
      <c r="T219" s="1078"/>
      <c r="U219" s="480"/>
      <c r="V219" s="1078"/>
      <c r="W219" s="1078"/>
      <c r="X219" s="1078"/>
      <c r="Y219" s="1078"/>
      <c r="Z219" s="1078"/>
      <c r="AA219" s="1550"/>
      <c r="AB219" s="502"/>
      <c r="AC219" s="502"/>
      <c r="AD219" s="502"/>
      <c r="AE219" s="502"/>
      <c r="AF219" s="1559">
        <v>11</v>
      </c>
    </row>
    <row r="220" spans="1:32" s="2028" customFormat="1" ht="11.45" customHeight="1">
      <c r="A220" s="911"/>
      <c r="B220" s="1554"/>
      <c r="C220" s="1554"/>
      <c r="D220" s="287"/>
      <c r="K220" s="1078"/>
      <c r="L220" s="1554"/>
      <c r="M220" s="1554"/>
      <c r="N220" s="1078"/>
      <c r="O220" s="1078"/>
      <c r="P220" s="1078"/>
      <c r="Q220" s="1078"/>
      <c r="R220" s="1554"/>
      <c r="S220" s="1078"/>
      <c r="T220" s="1078"/>
      <c r="U220" s="480"/>
      <c r="V220" s="1078"/>
      <c r="W220" s="1078"/>
      <c r="X220" s="1078"/>
      <c r="Y220" s="1078"/>
      <c r="Z220" s="1078"/>
      <c r="AA220" s="1550"/>
      <c r="AB220" s="502"/>
      <c r="AC220" s="502"/>
      <c r="AD220" s="502"/>
      <c r="AE220" s="502"/>
      <c r="AF220" s="1559">
        <v>11</v>
      </c>
    </row>
    <row r="221" spans="1:32" s="2028" customFormat="1" ht="11.45" customHeight="1">
      <c r="A221" s="911"/>
      <c r="B221" s="1554"/>
      <c r="C221" s="1554"/>
      <c r="D221" s="287"/>
      <c r="K221" s="1078"/>
      <c r="L221" s="1554"/>
      <c r="M221" s="1554"/>
      <c r="N221" s="1078"/>
      <c r="O221" s="1078"/>
      <c r="P221" s="1078"/>
      <c r="Q221" s="1078"/>
      <c r="R221" s="1554"/>
      <c r="S221" s="1078"/>
      <c r="T221" s="1078"/>
      <c r="U221" s="480"/>
      <c r="V221" s="1078"/>
      <c r="W221" s="1078"/>
      <c r="X221" s="1078"/>
      <c r="Y221" s="1078"/>
      <c r="Z221" s="1078"/>
      <c r="AA221" s="1550"/>
      <c r="AB221" s="502"/>
      <c r="AC221" s="502"/>
      <c r="AD221" s="502"/>
      <c r="AE221" s="502"/>
      <c r="AF221" s="1559">
        <v>11</v>
      </c>
    </row>
    <row r="222" spans="1:32" s="2028" customFormat="1" ht="11.45" customHeight="1">
      <c r="A222" s="911"/>
      <c r="B222" s="1554"/>
      <c r="C222" s="1554"/>
      <c r="D222" s="287"/>
      <c r="K222" s="1078"/>
      <c r="L222" s="1554"/>
      <c r="M222" s="1554"/>
      <c r="N222" s="1078"/>
      <c r="O222" s="1078"/>
      <c r="P222" s="1078"/>
      <c r="Q222" s="1078"/>
      <c r="R222" s="1554"/>
      <c r="S222" s="1078"/>
      <c r="T222" s="1078"/>
      <c r="U222" s="480"/>
      <c r="V222" s="1078"/>
      <c r="W222" s="1078"/>
      <c r="X222" s="1078"/>
      <c r="Y222" s="1078"/>
      <c r="Z222" s="1078"/>
      <c r="AA222" s="1550"/>
      <c r="AB222" s="502"/>
      <c r="AC222" s="502"/>
      <c r="AD222" s="502"/>
      <c r="AE222" s="502"/>
      <c r="AF222" s="1559">
        <v>11</v>
      </c>
    </row>
    <row r="223" spans="1:32" s="2028" customFormat="1" ht="11.45" customHeight="1">
      <c r="A223" s="911"/>
      <c r="B223" s="1554"/>
      <c r="C223" s="1554"/>
      <c r="D223" s="287"/>
      <c r="K223" s="1078"/>
      <c r="L223" s="1554"/>
      <c r="M223" s="1554"/>
      <c r="N223" s="1078"/>
      <c r="O223" s="1078"/>
      <c r="P223" s="1078"/>
      <c r="Q223" s="1078"/>
      <c r="R223" s="1554"/>
      <c r="S223" s="1078"/>
      <c r="T223" s="1078"/>
      <c r="U223" s="480"/>
      <c r="V223" s="1078"/>
      <c r="W223" s="1078"/>
      <c r="X223" s="1078"/>
      <c r="Y223" s="1078"/>
      <c r="Z223" s="1078"/>
      <c r="AA223" s="1550"/>
      <c r="AB223" s="502"/>
      <c r="AC223" s="502"/>
      <c r="AD223" s="502"/>
      <c r="AE223" s="502"/>
      <c r="AF223" s="1559">
        <v>11</v>
      </c>
    </row>
    <row r="224" spans="1:32" s="2028" customFormat="1" ht="11.45" customHeight="1">
      <c r="A224" s="911"/>
      <c r="B224" s="1554"/>
      <c r="C224" s="1554"/>
      <c r="D224" s="287"/>
      <c r="K224" s="1078"/>
      <c r="L224" s="1554"/>
      <c r="M224" s="1554"/>
      <c r="N224" s="1078"/>
      <c r="O224" s="1078"/>
      <c r="P224" s="1078"/>
      <c r="Q224" s="1078"/>
      <c r="R224" s="1554"/>
      <c r="S224" s="1078"/>
      <c r="T224" s="1078"/>
      <c r="U224" s="480"/>
      <c r="V224" s="1078"/>
      <c r="W224" s="1078"/>
      <c r="X224" s="1078"/>
      <c r="Y224" s="1078"/>
      <c r="Z224" s="1078"/>
      <c r="AA224" s="1550"/>
      <c r="AB224" s="502"/>
      <c r="AC224" s="502"/>
      <c r="AD224" s="502"/>
      <c r="AE224" s="502"/>
      <c r="AF224" s="1559">
        <v>11</v>
      </c>
    </row>
    <row r="225" spans="1:32" s="2028" customFormat="1" ht="11.45" customHeight="1">
      <c r="A225" s="911"/>
      <c r="B225" s="1554"/>
      <c r="C225" s="1554"/>
      <c r="D225" s="287"/>
      <c r="K225" s="1078"/>
      <c r="L225" s="1554"/>
      <c r="M225" s="1554"/>
      <c r="N225" s="1078"/>
      <c r="O225" s="1078"/>
      <c r="P225" s="1078"/>
      <c r="Q225" s="1078"/>
      <c r="R225" s="1554"/>
      <c r="S225" s="1078"/>
      <c r="T225" s="1078"/>
      <c r="U225" s="480"/>
      <c r="V225" s="1078"/>
      <c r="W225" s="1078"/>
      <c r="X225" s="1078"/>
      <c r="Y225" s="1078"/>
      <c r="Z225" s="1078"/>
      <c r="AA225" s="1550"/>
      <c r="AB225" s="502"/>
      <c r="AC225" s="502"/>
      <c r="AD225" s="502"/>
      <c r="AE225" s="502"/>
      <c r="AF225" s="1559">
        <v>11</v>
      </c>
    </row>
    <row r="226" spans="1:32" s="2028" customFormat="1" ht="11.45" customHeight="1">
      <c r="A226" s="911"/>
      <c r="B226" s="1554"/>
      <c r="C226" s="1554"/>
      <c r="D226" s="287"/>
      <c r="K226" s="1078"/>
      <c r="L226" s="1554"/>
      <c r="M226" s="1554"/>
      <c r="N226" s="1078"/>
      <c r="O226" s="1078"/>
      <c r="P226" s="1078"/>
      <c r="Q226" s="1078"/>
      <c r="R226" s="1554"/>
      <c r="S226" s="1078"/>
      <c r="T226" s="1078"/>
      <c r="U226" s="480"/>
      <c r="V226" s="1078"/>
      <c r="W226" s="1078"/>
      <c r="X226" s="1078"/>
      <c r="Y226" s="1078"/>
      <c r="Z226" s="1078"/>
      <c r="AA226" s="1550"/>
      <c r="AB226" s="502"/>
      <c r="AC226" s="502"/>
      <c r="AD226" s="502"/>
      <c r="AE226" s="502"/>
      <c r="AF226" s="1559">
        <v>11</v>
      </c>
    </row>
    <row r="227" spans="1:32" s="2028" customFormat="1" ht="11.45" customHeight="1">
      <c r="A227" s="911"/>
      <c r="B227" s="1554"/>
      <c r="C227" s="1554"/>
      <c r="D227" s="287"/>
      <c r="K227" s="1078"/>
      <c r="L227" s="1554"/>
      <c r="M227" s="1554"/>
      <c r="N227" s="1078"/>
      <c r="O227" s="1078"/>
      <c r="P227" s="1078"/>
      <c r="Q227" s="1078"/>
      <c r="R227" s="1554"/>
      <c r="S227" s="1078"/>
      <c r="T227" s="1078"/>
      <c r="U227" s="480"/>
      <c r="V227" s="1078"/>
      <c r="W227" s="1078"/>
      <c r="X227" s="1078"/>
      <c r="Y227" s="1078"/>
      <c r="Z227" s="1078"/>
      <c r="AA227" s="1550"/>
      <c r="AB227" s="502"/>
      <c r="AC227" s="502"/>
      <c r="AD227" s="502"/>
      <c r="AE227" s="502"/>
      <c r="AF227" s="1559">
        <v>11</v>
      </c>
    </row>
    <row r="228" spans="1:32" s="2028" customFormat="1" ht="11.45" customHeight="1">
      <c r="A228" s="911"/>
      <c r="B228" s="1554"/>
      <c r="C228" s="1554"/>
      <c r="D228" s="287"/>
      <c r="K228" s="1078"/>
      <c r="L228" s="1554"/>
      <c r="M228" s="1554"/>
      <c r="N228" s="1078"/>
      <c r="O228" s="1078"/>
      <c r="P228" s="1078"/>
      <c r="Q228" s="1078"/>
      <c r="R228" s="1554"/>
      <c r="S228" s="1078"/>
      <c r="T228" s="1078"/>
      <c r="U228" s="480"/>
      <c r="V228" s="1078"/>
      <c r="W228" s="1078"/>
      <c r="X228" s="1078"/>
      <c r="Y228" s="1078"/>
      <c r="Z228" s="1078"/>
      <c r="AA228" s="1550"/>
      <c r="AB228" s="502"/>
      <c r="AC228" s="502"/>
      <c r="AD228" s="502"/>
      <c r="AE228" s="502"/>
      <c r="AF228" s="1559">
        <v>11</v>
      </c>
    </row>
    <row r="229" spans="1:32" s="2028" customFormat="1" ht="11.45" customHeight="1">
      <c r="A229" s="911"/>
      <c r="B229" s="1554"/>
      <c r="C229" s="1554"/>
      <c r="D229" s="287"/>
      <c r="K229" s="1078"/>
      <c r="L229" s="1554"/>
      <c r="M229" s="1554"/>
      <c r="N229" s="1078"/>
      <c r="O229" s="1078"/>
      <c r="P229" s="1078"/>
      <c r="Q229" s="1078"/>
      <c r="R229" s="1554"/>
      <c r="S229" s="1078"/>
      <c r="T229" s="1078"/>
      <c r="U229" s="480"/>
      <c r="V229" s="1078"/>
      <c r="W229" s="1078"/>
      <c r="X229" s="1078"/>
      <c r="Y229" s="1078"/>
      <c r="Z229" s="1078"/>
      <c r="AA229" s="1550"/>
      <c r="AB229" s="502"/>
      <c r="AC229" s="502"/>
      <c r="AD229" s="502"/>
      <c r="AE229" s="502"/>
      <c r="AF229" s="1559">
        <v>11</v>
      </c>
    </row>
    <row r="230" spans="1:32" s="2028" customFormat="1" ht="11.45" customHeight="1">
      <c r="A230" s="911"/>
      <c r="B230" s="1554"/>
      <c r="C230" s="1554"/>
      <c r="D230" s="287"/>
      <c r="K230" s="1078"/>
      <c r="L230" s="1554"/>
      <c r="M230" s="1554"/>
      <c r="N230" s="1078"/>
      <c r="O230" s="1078"/>
      <c r="P230" s="1078"/>
      <c r="Q230" s="1078"/>
      <c r="R230" s="1554"/>
      <c r="S230" s="1078"/>
      <c r="T230" s="1078"/>
      <c r="U230" s="480"/>
      <c r="V230" s="1078"/>
      <c r="W230" s="1078"/>
      <c r="X230" s="1078"/>
      <c r="Y230" s="1078"/>
      <c r="Z230" s="1078"/>
      <c r="AA230" s="1550"/>
      <c r="AB230" s="502"/>
      <c r="AC230" s="502"/>
      <c r="AD230" s="502"/>
      <c r="AE230" s="502"/>
      <c r="AF230" s="1559">
        <v>11</v>
      </c>
    </row>
    <row r="231" spans="1:32" s="2028" customFormat="1" ht="11.45" customHeight="1">
      <c r="A231" s="911"/>
      <c r="B231" s="1554"/>
      <c r="C231" s="1554"/>
      <c r="D231" s="287"/>
      <c r="K231" s="1078"/>
      <c r="L231" s="1554"/>
      <c r="M231" s="1554"/>
      <c r="N231" s="1078"/>
      <c r="O231" s="1078"/>
      <c r="P231" s="1078"/>
      <c r="Q231" s="1078"/>
      <c r="R231" s="1554"/>
      <c r="S231" s="1078"/>
      <c r="T231" s="1078"/>
      <c r="U231" s="480"/>
      <c r="V231" s="1078"/>
      <c r="W231" s="1078"/>
      <c r="X231" s="1078"/>
      <c r="Y231" s="1078"/>
      <c r="Z231" s="1078"/>
      <c r="AA231" s="1550"/>
      <c r="AB231" s="502"/>
      <c r="AC231" s="502"/>
      <c r="AD231" s="502"/>
      <c r="AE231" s="502"/>
      <c r="AF231" s="1559">
        <v>11</v>
      </c>
    </row>
    <row r="232" spans="1:32" s="2028" customFormat="1" ht="11.45" customHeight="1">
      <c r="A232" s="911"/>
      <c r="B232" s="1554"/>
      <c r="C232" s="1554"/>
      <c r="D232" s="287"/>
      <c r="K232" s="1078"/>
      <c r="L232" s="1554"/>
      <c r="M232" s="1554"/>
      <c r="N232" s="1078"/>
      <c r="O232" s="1078"/>
      <c r="P232" s="1078"/>
      <c r="Q232" s="1078"/>
      <c r="R232" s="1554"/>
      <c r="S232" s="1078"/>
      <c r="T232" s="1078"/>
      <c r="U232" s="480"/>
      <c r="V232" s="1078"/>
      <c r="W232" s="1078"/>
      <c r="X232" s="1078"/>
      <c r="Y232" s="1078"/>
      <c r="Z232" s="1078"/>
      <c r="AA232" s="1550"/>
      <c r="AB232" s="502"/>
      <c r="AC232" s="502"/>
      <c r="AD232" s="502"/>
      <c r="AE232" s="502"/>
      <c r="AF232" s="1559">
        <v>11</v>
      </c>
    </row>
    <row r="233" spans="1:32" s="2028" customFormat="1" ht="11.45" customHeight="1">
      <c r="A233" s="911"/>
      <c r="B233" s="1554"/>
      <c r="C233" s="1554"/>
      <c r="D233" s="287"/>
      <c r="K233" s="1078"/>
      <c r="L233" s="1554"/>
      <c r="M233" s="1554"/>
      <c r="N233" s="1078"/>
      <c r="O233" s="1078"/>
      <c r="P233" s="1078"/>
      <c r="Q233" s="1078"/>
      <c r="R233" s="1554"/>
      <c r="S233" s="1078"/>
      <c r="T233" s="1078"/>
      <c r="U233" s="480"/>
      <c r="V233" s="1078"/>
      <c r="W233" s="1078"/>
      <c r="X233" s="1078"/>
      <c r="Y233" s="1078"/>
      <c r="Z233" s="1078"/>
      <c r="AA233" s="1550"/>
      <c r="AB233" s="502"/>
      <c r="AC233" s="502"/>
      <c r="AD233" s="502"/>
      <c r="AE233" s="502"/>
      <c r="AF233" s="1559">
        <v>11</v>
      </c>
    </row>
    <row r="234" spans="1:32" s="2028" customFormat="1" ht="11.45" customHeight="1">
      <c r="A234" s="911"/>
      <c r="B234" s="1554"/>
      <c r="C234" s="1554"/>
      <c r="D234" s="287"/>
      <c r="K234" s="1078"/>
      <c r="L234" s="1554"/>
      <c r="M234" s="1554"/>
      <c r="N234" s="1078"/>
      <c r="O234" s="1078"/>
      <c r="P234" s="1078"/>
      <c r="Q234" s="1078"/>
      <c r="R234" s="1554"/>
      <c r="S234" s="1078"/>
      <c r="T234" s="1078"/>
      <c r="U234" s="480"/>
      <c r="V234" s="1078"/>
      <c r="W234" s="1078"/>
      <c r="X234" s="1078"/>
      <c r="Y234" s="1078"/>
      <c r="Z234" s="1078"/>
      <c r="AA234" s="1550"/>
      <c r="AB234" s="502"/>
      <c r="AC234" s="502"/>
      <c r="AD234" s="502"/>
      <c r="AE234" s="502"/>
      <c r="AF234" s="1559">
        <v>11</v>
      </c>
    </row>
    <row r="235" spans="1:32" s="2028" customFormat="1" ht="11.45" customHeight="1">
      <c r="A235" s="911"/>
      <c r="B235" s="1554"/>
      <c r="C235" s="1554"/>
      <c r="D235" s="287"/>
      <c r="K235" s="1078"/>
      <c r="L235" s="1554"/>
      <c r="M235" s="1554"/>
      <c r="N235" s="1078"/>
      <c r="O235" s="1078"/>
      <c r="P235" s="1078"/>
      <c r="Q235" s="1078"/>
      <c r="R235" s="1554"/>
      <c r="S235" s="1078"/>
      <c r="T235" s="1078"/>
      <c r="U235" s="480"/>
      <c r="V235" s="1078"/>
      <c r="W235" s="1078"/>
      <c r="X235" s="1078"/>
      <c r="Y235" s="1078"/>
      <c r="Z235" s="1078"/>
      <c r="AA235" s="1550"/>
      <c r="AB235" s="502"/>
      <c r="AC235" s="502"/>
      <c r="AD235" s="502"/>
      <c r="AE235" s="502"/>
      <c r="AF235" s="1559">
        <v>11</v>
      </c>
    </row>
    <row r="236" spans="1:32" s="2028" customFormat="1" ht="11.45" customHeight="1">
      <c r="A236" s="911"/>
      <c r="B236" s="1554"/>
      <c r="C236" s="1554"/>
      <c r="D236" s="287"/>
      <c r="K236" s="1078"/>
      <c r="L236" s="1554"/>
      <c r="M236" s="1554"/>
      <c r="N236" s="1078"/>
      <c r="O236" s="1078"/>
      <c r="P236" s="1078"/>
      <c r="Q236" s="1078"/>
      <c r="R236" s="1554"/>
      <c r="S236" s="1078"/>
      <c r="T236" s="1078"/>
      <c r="U236" s="480"/>
      <c r="V236" s="1078"/>
      <c r="W236" s="1078"/>
      <c r="X236" s="1078"/>
      <c r="Y236" s="1078"/>
      <c r="Z236" s="1078"/>
      <c r="AA236" s="1550"/>
      <c r="AB236" s="502"/>
      <c r="AC236" s="502"/>
      <c r="AD236" s="502"/>
      <c r="AE236" s="502"/>
      <c r="AF236" s="1559">
        <v>11</v>
      </c>
    </row>
    <row r="237" spans="1:32" s="2028" customFormat="1" ht="11.45" customHeight="1">
      <c r="A237" s="911"/>
      <c r="B237" s="1554"/>
      <c r="C237" s="1554"/>
      <c r="D237" s="287"/>
      <c r="K237" s="1078"/>
      <c r="L237" s="1554"/>
      <c r="M237" s="1554"/>
      <c r="N237" s="1078"/>
      <c r="O237" s="1078"/>
      <c r="P237" s="1078"/>
      <c r="Q237" s="1078"/>
      <c r="R237" s="1554"/>
      <c r="S237" s="1078"/>
      <c r="T237" s="1078"/>
      <c r="U237" s="480"/>
      <c r="V237" s="1078"/>
      <c r="W237" s="1078"/>
      <c r="X237" s="1078"/>
      <c r="Y237" s="1078"/>
      <c r="Z237" s="1078"/>
      <c r="AA237" s="1550"/>
      <c r="AB237" s="502"/>
      <c r="AC237" s="502"/>
      <c r="AD237" s="502"/>
      <c r="AE237" s="502"/>
      <c r="AF237" s="1559">
        <v>11</v>
      </c>
    </row>
    <row r="238" spans="1:32" s="2028" customFormat="1" ht="11.45" customHeight="1">
      <c r="A238" s="911"/>
      <c r="B238" s="1554"/>
      <c r="C238" s="1554"/>
      <c r="D238" s="287"/>
      <c r="K238" s="1078"/>
      <c r="L238" s="1554"/>
      <c r="M238" s="1554"/>
      <c r="N238" s="1078"/>
      <c r="O238" s="1078"/>
      <c r="P238" s="1078"/>
      <c r="Q238" s="1078"/>
      <c r="R238" s="1554"/>
      <c r="S238" s="1078"/>
      <c r="T238" s="1078"/>
      <c r="U238" s="480"/>
      <c r="V238" s="1078"/>
      <c r="W238" s="1078"/>
      <c r="X238" s="1078"/>
      <c r="Y238" s="1078"/>
      <c r="Z238" s="1078"/>
      <c r="AA238" s="1550"/>
      <c r="AB238" s="502"/>
      <c r="AC238" s="502"/>
      <c r="AD238" s="502"/>
      <c r="AE238" s="502"/>
      <c r="AF238" s="1559">
        <v>11</v>
      </c>
    </row>
    <row r="239" spans="1:32" s="2028" customFormat="1" ht="11.45" customHeight="1">
      <c r="A239" s="911"/>
      <c r="B239" s="1554"/>
      <c r="C239" s="1554"/>
      <c r="D239" s="287"/>
      <c r="K239" s="1078"/>
      <c r="L239" s="1554"/>
      <c r="M239" s="1554"/>
      <c r="N239" s="1078"/>
      <c r="O239" s="1078"/>
      <c r="P239" s="1078"/>
      <c r="Q239" s="1078"/>
      <c r="R239" s="1554"/>
      <c r="S239" s="1078"/>
      <c r="T239" s="1078"/>
      <c r="U239" s="480"/>
      <c r="V239" s="1078"/>
      <c r="W239" s="1078"/>
      <c r="X239" s="1078"/>
      <c r="Y239" s="1078"/>
      <c r="Z239" s="1078"/>
      <c r="AA239" s="1550"/>
      <c r="AB239" s="502"/>
      <c r="AC239" s="502"/>
      <c r="AD239" s="502"/>
      <c r="AE239" s="502"/>
      <c r="AF239" s="1559">
        <v>11</v>
      </c>
    </row>
    <row r="240" spans="1:32" s="2028" customFormat="1" ht="11.45" customHeight="1">
      <c r="A240" s="911"/>
      <c r="B240" s="1554"/>
      <c r="C240" s="1554"/>
      <c r="D240" s="287"/>
      <c r="K240" s="1078"/>
      <c r="L240" s="1554"/>
      <c r="M240" s="1554"/>
      <c r="N240" s="1078"/>
      <c r="O240" s="1078"/>
      <c r="P240" s="1078"/>
      <c r="Q240" s="1078"/>
      <c r="R240" s="1554"/>
      <c r="S240" s="1078"/>
      <c r="T240" s="1078"/>
      <c r="U240" s="480"/>
      <c r="V240" s="1078"/>
      <c r="W240" s="1078"/>
      <c r="X240" s="1078"/>
      <c r="Y240" s="1078"/>
      <c r="Z240" s="1078"/>
      <c r="AA240" s="1550"/>
      <c r="AB240" s="502"/>
      <c r="AC240" s="502"/>
      <c r="AD240" s="502"/>
      <c r="AE240" s="502"/>
      <c r="AF240" s="1559">
        <v>11</v>
      </c>
    </row>
    <row r="241" spans="1:32" s="2028" customFormat="1" ht="11.45" customHeight="1">
      <c r="A241" s="911"/>
      <c r="B241" s="1554"/>
      <c r="C241" s="1554"/>
      <c r="D241" s="287"/>
      <c r="K241" s="1078"/>
      <c r="L241" s="1554"/>
      <c r="M241" s="1554"/>
      <c r="N241" s="1078"/>
      <c r="O241" s="1078"/>
      <c r="P241" s="1078"/>
      <c r="Q241" s="1078"/>
      <c r="R241" s="1554"/>
      <c r="S241" s="1078"/>
      <c r="T241" s="1078"/>
      <c r="U241" s="480"/>
      <c r="V241" s="1078"/>
      <c r="W241" s="1078"/>
      <c r="X241" s="1078"/>
      <c r="Y241" s="1078"/>
      <c r="Z241" s="1078"/>
      <c r="AA241" s="1550"/>
      <c r="AB241" s="502"/>
      <c r="AC241" s="502"/>
      <c r="AD241" s="502"/>
      <c r="AE241" s="502"/>
      <c r="AF241" s="1559">
        <v>11</v>
      </c>
    </row>
    <row r="242" spans="1:32" s="2028" customFormat="1" ht="11.45" customHeight="1">
      <c r="A242" s="911"/>
      <c r="B242" s="1554"/>
      <c r="C242" s="1554"/>
      <c r="D242" s="287"/>
      <c r="K242" s="1078"/>
      <c r="L242" s="1554"/>
      <c r="M242" s="1554"/>
      <c r="N242" s="1078"/>
      <c r="O242" s="1078"/>
      <c r="P242" s="1078"/>
      <c r="Q242" s="1078"/>
      <c r="R242" s="1554"/>
      <c r="S242" s="1078"/>
      <c r="T242" s="1078"/>
      <c r="U242" s="480"/>
      <c r="V242" s="1078"/>
      <c r="W242" s="1078"/>
      <c r="X242" s="1078"/>
      <c r="Y242" s="1078"/>
      <c r="Z242" s="1078"/>
      <c r="AA242" s="1550"/>
      <c r="AB242" s="502"/>
      <c r="AC242" s="502"/>
      <c r="AD242" s="502"/>
      <c r="AE242" s="502"/>
      <c r="AF242" s="1559">
        <v>11</v>
      </c>
    </row>
    <row r="243" spans="1:32" s="2028" customFormat="1" ht="11.45" customHeight="1">
      <c r="A243" s="911"/>
      <c r="B243" s="1554"/>
      <c r="C243" s="1554"/>
      <c r="D243" s="287"/>
      <c r="K243" s="1078"/>
      <c r="L243" s="1554"/>
      <c r="M243" s="1554"/>
      <c r="N243" s="1078"/>
      <c r="O243" s="1078"/>
      <c r="P243" s="1078"/>
      <c r="Q243" s="1078"/>
      <c r="R243" s="1554"/>
      <c r="S243" s="1078"/>
      <c r="T243" s="1078"/>
      <c r="U243" s="480"/>
      <c r="V243" s="1078"/>
      <c r="W243" s="1078"/>
      <c r="X243" s="1078"/>
      <c r="Y243" s="1078"/>
      <c r="Z243" s="1078"/>
      <c r="AA243" s="1550"/>
      <c r="AB243" s="502"/>
      <c r="AC243" s="502"/>
      <c r="AD243" s="502"/>
      <c r="AE243" s="502"/>
      <c r="AF243" s="1559">
        <v>11</v>
      </c>
    </row>
    <row r="244" spans="1:32" s="2028" customFormat="1" ht="11.45" customHeight="1">
      <c r="A244" s="911"/>
      <c r="B244" s="1554"/>
      <c r="C244" s="1554"/>
      <c r="D244" s="287"/>
      <c r="K244" s="1078"/>
      <c r="L244" s="1554"/>
      <c r="M244" s="1554"/>
      <c r="N244" s="1078"/>
      <c r="O244" s="1078"/>
      <c r="P244" s="1078"/>
      <c r="Q244" s="1078"/>
      <c r="R244" s="1554"/>
      <c r="S244" s="1078"/>
      <c r="T244" s="1078"/>
      <c r="U244" s="480"/>
      <c r="V244" s="1078"/>
      <c r="W244" s="1078"/>
      <c r="X244" s="1078"/>
      <c r="Y244" s="1078"/>
      <c r="Z244" s="1078"/>
      <c r="AA244" s="1550"/>
      <c r="AB244" s="502"/>
      <c r="AC244" s="502"/>
      <c r="AD244" s="502"/>
      <c r="AE244" s="502"/>
      <c r="AF244" s="1559">
        <v>11</v>
      </c>
    </row>
    <row r="245" spans="1:32" s="2028" customFormat="1" ht="11.45" customHeight="1">
      <c r="A245" s="911"/>
      <c r="B245" s="1554"/>
      <c r="C245" s="1554"/>
      <c r="D245" s="287"/>
      <c r="K245" s="1078"/>
      <c r="L245" s="1554"/>
      <c r="M245" s="1554"/>
      <c r="N245" s="1078"/>
      <c r="O245" s="1078"/>
      <c r="P245" s="1078"/>
      <c r="Q245" s="1078"/>
      <c r="R245" s="1554"/>
      <c r="S245" s="1078"/>
      <c r="T245" s="1078"/>
      <c r="U245" s="480"/>
      <c r="V245" s="1078"/>
      <c r="W245" s="1078"/>
      <c r="X245" s="1078"/>
      <c r="Y245" s="1078"/>
      <c r="Z245" s="1078"/>
      <c r="AA245" s="1550"/>
      <c r="AB245" s="502"/>
      <c r="AC245" s="502"/>
      <c r="AD245" s="502"/>
      <c r="AE245" s="502"/>
      <c r="AF245" s="1559">
        <v>11</v>
      </c>
    </row>
    <row r="246" spans="1:32" s="2028" customFormat="1" ht="11.45" customHeight="1">
      <c r="A246" s="911"/>
      <c r="B246" s="1554"/>
      <c r="C246" s="1554"/>
      <c r="D246" s="287"/>
      <c r="K246" s="1078"/>
      <c r="L246" s="1554"/>
      <c r="M246" s="1554"/>
      <c r="N246" s="1078"/>
      <c r="O246" s="1078"/>
      <c r="P246" s="1078"/>
      <c r="Q246" s="1078"/>
      <c r="R246" s="1554"/>
      <c r="S246" s="1078"/>
      <c r="T246" s="1078"/>
      <c r="U246" s="480"/>
      <c r="V246" s="1078"/>
      <c r="W246" s="1078"/>
      <c r="X246" s="1078"/>
      <c r="Y246" s="1078"/>
      <c r="Z246" s="1078"/>
      <c r="AA246" s="1550"/>
      <c r="AB246" s="502"/>
      <c r="AC246" s="502"/>
      <c r="AD246" s="502"/>
      <c r="AE246" s="502"/>
      <c r="AF246" s="1559">
        <v>11</v>
      </c>
    </row>
    <row r="247" spans="1:32" s="2028" customFormat="1" ht="11.45" customHeight="1">
      <c r="A247" s="911"/>
      <c r="B247" s="1554"/>
      <c r="C247" s="1554"/>
      <c r="D247" s="287"/>
      <c r="K247" s="1078"/>
      <c r="L247" s="1554"/>
      <c r="M247" s="1554"/>
      <c r="N247" s="1078"/>
      <c r="O247" s="1078"/>
      <c r="P247" s="1078"/>
      <c r="Q247" s="1078"/>
      <c r="R247" s="1554"/>
      <c r="S247" s="1078"/>
      <c r="T247" s="1078"/>
      <c r="U247" s="480"/>
      <c r="V247" s="1078"/>
      <c r="W247" s="1078"/>
      <c r="X247" s="1078"/>
      <c r="Y247" s="1078"/>
      <c r="Z247" s="1078"/>
      <c r="AA247" s="1550"/>
      <c r="AB247" s="502"/>
      <c r="AC247" s="502"/>
      <c r="AD247" s="502"/>
      <c r="AE247" s="502"/>
      <c r="AF247" s="1559">
        <v>11</v>
      </c>
    </row>
    <row r="248" spans="1:32" s="2028" customFormat="1" ht="11.45" customHeight="1">
      <c r="A248" s="911"/>
      <c r="B248" s="1554"/>
      <c r="C248" s="1554"/>
      <c r="D248" s="287"/>
      <c r="K248" s="1078"/>
      <c r="L248" s="1554"/>
      <c r="M248" s="1554"/>
      <c r="N248" s="1078"/>
      <c r="O248" s="1078"/>
      <c r="P248" s="1078"/>
      <c r="Q248" s="1078"/>
      <c r="R248" s="1554"/>
      <c r="S248" s="1078"/>
      <c r="T248" s="1078"/>
      <c r="U248" s="480"/>
      <c r="V248" s="1078"/>
      <c r="W248" s="1078"/>
      <c r="X248" s="1078"/>
      <c r="Y248" s="1078"/>
      <c r="Z248" s="1078"/>
      <c r="AA248" s="1550"/>
      <c r="AB248" s="502"/>
      <c r="AC248" s="502"/>
      <c r="AD248" s="502"/>
      <c r="AE248" s="502"/>
      <c r="AF248" s="1559">
        <v>11</v>
      </c>
    </row>
    <row r="249" spans="1:32" s="2028" customFormat="1" ht="11.45" customHeight="1">
      <c r="A249" s="911"/>
      <c r="B249" s="1554"/>
      <c r="C249" s="1554"/>
      <c r="D249" s="287"/>
      <c r="K249" s="1078"/>
      <c r="L249" s="1554"/>
      <c r="M249" s="1554"/>
      <c r="N249" s="1078"/>
      <c r="O249" s="1078"/>
      <c r="P249" s="1078"/>
      <c r="Q249" s="1078"/>
      <c r="R249" s="1554"/>
      <c r="S249" s="1078"/>
      <c r="T249" s="1078"/>
      <c r="U249" s="480"/>
      <c r="V249" s="1078"/>
      <c r="W249" s="1078"/>
      <c r="X249" s="1078"/>
      <c r="Y249" s="1078"/>
      <c r="Z249" s="1078"/>
      <c r="AA249" s="1550"/>
      <c r="AB249" s="502"/>
      <c r="AC249" s="502"/>
      <c r="AD249" s="502"/>
      <c r="AE249" s="502"/>
      <c r="AF249" s="1559">
        <v>11</v>
      </c>
    </row>
    <row r="250" spans="1:32" s="2028" customFormat="1" ht="11.45" customHeight="1">
      <c r="A250" s="911"/>
      <c r="B250" s="1554"/>
      <c r="C250" s="1554"/>
      <c r="D250" s="287"/>
      <c r="K250" s="1078"/>
      <c r="L250" s="1554"/>
      <c r="M250" s="1554"/>
      <c r="N250" s="1078"/>
      <c r="O250" s="1078"/>
      <c r="P250" s="1078"/>
      <c r="Q250" s="1078"/>
      <c r="R250" s="1554"/>
      <c r="S250" s="1078"/>
      <c r="T250" s="1078"/>
      <c r="U250" s="480"/>
      <c r="V250" s="1078"/>
      <c r="W250" s="1078"/>
      <c r="X250" s="1078"/>
      <c r="Y250" s="1078"/>
      <c r="Z250" s="1078"/>
      <c r="AA250" s="1550"/>
      <c r="AB250" s="502"/>
      <c r="AC250" s="502"/>
      <c r="AD250" s="502"/>
      <c r="AE250" s="502"/>
      <c r="AF250" s="1559">
        <v>11</v>
      </c>
    </row>
    <row r="251" spans="1:32" s="2028" customFormat="1" ht="11.45" customHeight="1">
      <c r="A251" s="911"/>
      <c r="B251" s="1554"/>
      <c r="C251" s="1554"/>
      <c r="D251" s="287"/>
      <c r="K251" s="1078"/>
      <c r="L251" s="1554"/>
      <c r="M251" s="1554"/>
      <c r="N251" s="1078"/>
      <c r="O251" s="1078"/>
      <c r="P251" s="1078"/>
      <c r="Q251" s="1078"/>
      <c r="R251" s="1554"/>
      <c r="S251" s="1078"/>
      <c r="T251" s="1078"/>
      <c r="U251" s="480"/>
      <c r="V251" s="1078"/>
      <c r="W251" s="1078"/>
      <c r="X251" s="1078"/>
      <c r="Y251" s="1078"/>
      <c r="Z251" s="1078"/>
      <c r="AA251" s="1550"/>
      <c r="AB251" s="502"/>
      <c r="AC251" s="502"/>
      <c r="AD251" s="502"/>
      <c r="AE251" s="502"/>
      <c r="AF251" s="1559">
        <v>11</v>
      </c>
    </row>
    <row r="252" spans="1:32" s="2028" customFormat="1" ht="11.45" customHeight="1">
      <c r="A252" s="911"/>
      <c r="B252" s="1554"/>
      <c r="C252" s="1554"/>
      <c r="D252" s="287"/>
      <c r="K252" s="1078"/>
      <c r="L252" s="1554"/>
      <c r="M252" s="1554"/>
      <c r="N252" s="1078"/>
      <c r="O252" s="1078"/>
      <c r="P252" s="1078"/>
      <c r="Q252" s="1078"/>
      <c r="R252" s="1554"/>
      <c r="S252" s="1078"/>
      <c r="T252" s="1078"/>
      <c r="U252" s="480"/>
      <c r="V252" s="1078"/>
      <c r="W252" s="1078"/>
      <c r="X252" s="1078"/>
      <c r="Y252" s="1078"/>
      <c r="Z252" s="1078"/>
      <c r="AA252" s="1550"/>
      <c r="AB252" s="502"/>
      <c r="AC252" s="502"/>
      <c r="AD252" s="502"/>
      <c r="AE252" s="502"/>
      <c r="AF252" s="1559">
        <v>11</v>
      </c>
    </row>
    <row r="253" spans="1:32" s="2028" customFormat="1" ht="11.45" customHeight="1">
      <c r="A253" s="911"/>
      <c r="B253" s="1554"/>
      <c r="C253" s="1554"/>
      <c r="D253" s="287"/>
      <c r="K253" s="1078"/>
      <c r="L253" s="1554"/>
      <c r="M253" s="1554"/>
      <c r="N253" s="1078"/>
      <c r="O253" s="1078"/>
      <c r="P253" s="1078"/>
      <c r="Q253" s="1078"/>
      <c r="R253" s="1554"/>
      <c r="S253" s="1078"/>
      <c r="T253" s="1078"/>
      <c r="U253" s="480"/>
      <c r="V253" s="1078"/>
      <c r="W253" s="1078"/>
      <c r="X253" s="1078"/>
      <c r="Y253" s="1078"/>
      <c r="Z253" s="1078"/>
      <c r="AA253" s="1550"/>
      <c r="AB253" s="502"/>
      <c r="AC253" s="502"/>
      <c r="AD253" s="502"/>
      <c r="AE253" s="502"/>
      <c r="AF253" s="1559">
        <v>11</v>
      </c>
    </row>
    <row r="254" spans="1:32" s="2028" customFormat="1" ht="11.45" customHeight="1">
      <c r="A254" s="911"/>
      <c r="B254" s="1554"/>
      <c r="C254" s="1554"/>
      <c r="D254" s="287"/>
      <c r="K254" s="1078"/>
      <c r="L254" s="1554"/>
      <c r="M254" s="1554"/>
      <c r="N254" s="1078"/>
      <c r="O254" s="1078"/>
      <c r="P254" s="1078"/>
      <c r="Q254" s="1078"/>
      <c r="R254" s="1554"/>
      <c r="S254" s="1078"/>
      <c r="T254" s="1078"/>
      <c r="U254" s="480"/>
      <c r="V254" s="1078"/>
      <c r="W254" s="1078"/>
      <c r="X254" s="1078"/>
      <c r="Y254" s="1078"/>
      <c r="Z254" s="1078"/>
      <c r="AA254" s="1550"/>
      <c r="AB254" s="502"/>
      <c r="AC254" s="502"/>
      <c r="AD254" s="502"/>
      <c r="AE254" s="502"/>
      <c r="AF254" s="1559">
        <v>11</v>
      </c>
    </row>
    <row r="255" spans="1:32" s="2028" customFormat="1" ht="11.45" customHeight="1">
      <c r="A255" s="911"/>
      <c r="B255" s="1554"/>
      <c r="C255" s="1554"/>
      <c r="D255" s="287"/>
      <c r="K255" s="1078"/>
      <c r="L255" s="1554"/>
      <c r="M255" s="1554"/>
      <c r="N255" s="1078"/>
      <c r="O255" s="1078"/>
      <c r="P255" s="1078"/>
      <c r="Q255" s="1078"/>
      <c r="R255" s="1554"/>
      <c r="S255" s="1078"/>
      <c r="T255" s="1078"/>
      <c r="U255" s="480"/>
      <c r="V255" s="1078"/>
      <c r="W255" s="1078"/>
      <c r="X255" s="1078"/>
      <c r="Y255" s="1078"/>
      <c r="Z255" s="1078"/>
      <c r="AA255" s="1550"/>
      <c r="AB255" s="502"/>
      <c r="AC255" s="502"/>
      <c r="AD255" s="502"/>
      <c r="AE255" s="502"/>
      <c r="AF255" s="1559">
        <v>11</v>
      </c>
    </row>
    <row r="256" spans="1:32" s="2028" customFormat="1" ht="11.45" customHeight="1">
      <c r="A256" s="911"/>
      <c r="B256" s="1554"/>
      <c r="C256" s="1554"/>
      <c r="D256" s="287"/>
      <c r="K256" s="1078"/>
      <c r="L256" s="1554"/>
      <c r="M256" s="1554"/>
      <c r="N256" s="1078"/>
      <c r="O256" s="1078"/>
      <c r="P256" s="1078"/>
      <c r="Q256" s="1078"/>
      <c r="R256" s="1554"/>
      <c r="S256" s="1078"/>
      <c r="T256" s="1078"/>
      <c r="U256" s="480"/>
      <c r="V256" s="1078"/>
      <c r="W256" s="1078"/>
      <c r="X256" s="1078"/>
      <c r="Y256" s="1078"/>
      <c r="Z256" s="1078"/>
      <c r="AA256" s="1550"/>
      <c r="AB256" s="502"/>
      <c r="AC256" s="502"/>
      <c r="AD256" s="502"/>
      <c r="AE256" s="502"/>
      <c r="AF256" s="1559">
        <v>11</v>
      </c>
    </row>
    <row r="257" spans="1:32" s="2028" customFormat="1" ht="11.45" customHeight="1">
      <c r="A257" s="911"/>
      <c r="B257" s="1554"/>
      <c r="C257" s="1554"/>
      <c r="D257" s="287"/>
      <c r="K257" s="1078"/>
      <c r="L257" s="1554"/>
      <c r="M257" s="1554"/>
      <c r="N257" s="1078"/>
      <c r="O257" s="1078"/>
      <c r="P257" s="1078"/>
      <c r="Q257" s="1078"/>
      <c r="R257" s="1554"/>
      <c r="S257" s="1078"/>
      <c r="T257" s="1078"/>
      <c r="U257" s="480"/>
      <c r="V257" s="1078"/>
      <c r="W257" s="1078"/>
      <c r="X257" s="1078"/>
      <c r="Y257" s="1078"/>
      <c r="Z257" s="1078"/>
      <c r="AA257" s="1550"/>
      <c r="AB257" s="502"/>
      <c r="AC257" s="502"/>
      <c r="AD257" s="502"/>
      <c r="AE257" s="502"/>
      <c r="AF257" s="1559">
        <v>11</v>
      </c>
    </row>
    <row r="258" spans="1:32" s="2028" customFormat="1" ht="11.45" customHeight="1">
      <c r="A258" s="911"/>
      <c r="B258" s="1554"/>
      <c r="C258" s="1554"/>
      <c r="D258" s="287"/>
      <c r="K258" s="1078"/>
      <c r="L258" s="1554"/>
      <c r="M258" s="1554"/>
      <c r="N258" s="1078"/>
      <c r="O258" s="1078"/>
      <c r="P258" s="1078"/>
      <c r="Q258" s="1078"/>
      <c r="R258" s="1554"/>
      <c r="S258" s="1078"/>
      <c r="T258" s="1078"/>
      <c r="U258" s="480"/>
      <c r="V258" s="1078"/>
      <c r="W258" s="1078"/>
      <c r="X258" s="1078"/>
      <c r="Y258" s="1078"/>
      <c r="Z258" s="1078"/>
      <c r="AA258" s="1550"/>
      <c r="AB258" s="502"/>
      <c r="AC258" s="502"/>
      <c r="AD258" s="502"/>
      <c r="AE258" s="502"/>
      <c r="AF258" s="1559">
        <v>11</v>
      </c>
    </row>
    <row r="259" spans="1:32" s="2028" customFormat="1" ht="11.45" customHeight="1">
      <c r="A259" s="911"/>
      <c r="B259" s="1554"/>
      <c r="C259" s="1554"/>
      <c r="D259" s="287"/>
      <c r="K259" s="1078"/>
      <c r="L259" s="1554"/>
      <c r="M259" s="1554"/>
      <c r="N259" s="1078"/>
      <c r="O259" s="1078"/>
      <c r="P259" s="1078"/>
      <c r="Q259" s="1078"/>
      <c r="R259" s="1554"/>
      <c r="S259" s="1078"/>
      <c r="T259" s="1078"/>
      <c r="U259" s="480"/>
      <c r="V259" s="1078"/>
      <c r="W259" s="1078"/>
      <c r="X259" s="1078"/>
      <c r="Y259" s="1078"/>
      <c r="Z259" s="1078"/>
      <c r="AA259" s="1550"/>
      <c r="AB259" s="502"/>
      <c r="AC259" s="502"/>
      <c r="AD259" s="502"/>
      <c r="AE259" s="502"/>
      <c r="AF259" s="1559">
        <v>11</v>
      </c>
    </row>
    <row r="260" spans="1:32" s="2028" customFormat="1" ht="11.45" customHeight="1">
      <c r="A260" s="911"/>
      <c r="B260" s="1554"/>
      <c r="C260" s="1554"/>
      <c r="D260" s="287"/>
      <c r="K260" s="1078"/>
      <c r="L260" s="1554"/>
      <c r="M260" s="1554"/>
      <c r="N260" s="1078"/>
      <c r="O260" s="1078"/>
      <c r="P260" s="1078"/>
      <c r="Q260" s="1078"/>
      <c r="R260" s="1554"/>
      <c r="S260" s="1078"/>
      <c r="T260" s="1078"/>
      <c r="U260" s="480"/>
      <c r="V260" s="1078"/>
      <c r="W260" s="1078"/>
      <c r="X260" s="1078"/>
      <c r="Y260" s="1078"/>
      <c r="Z260" s="1078"/>
      <c r="AA260" s="1550"/>
      <c r="AB260" s="502"/>
      <c r="AC260" s="502"/>
      <c r="AD260" s="502"/>
      <c r="AE260" s="502"/>
      <c r="AF260" s="1559">
        <v>11</v>
      </c>
    </row>
    <row r="261" spans="1:32" s="2028" customFormat="1" ht="11.45" customHeight="1">
      <c r="A261" s="911"/>
      <c r="B261" s="1554"/>
      <c r="C261" s="1554"/>
      <c r="D261" s="287"/>
      <c r="K261" s="1078"/>
      <c r="L261" s="1554"/>
      <c r="M261" s="1554"/>
      <c r="N261" s="1078"/>
      <c r="O261" s="1078"/>
      <c r="P261" s="1078"/>
      <c r="Q261" s="1078"/>
      <c r="R261" s="1554"/>
      <c r="S261" s="1078"/>
      <c r="T261" s="1078"/>
      <c r="U261" s="480"/>
      <c r="V261" s="1078"/>
      <c r="W261" s="1078"/>
      <c r="X261" s="1078"/>
      <c r="Y261" s="1078"/>
      <c r="Z261" s="1078"/>
      <c r="AA261" s="1550"/>
      <c r="AB261" s="502"/>
      <c r="AC261" s="502"/>
      <c r="AD261" s="502"/>
      <c r="AE261" s="502"/>
      <c r="AF261" s="1559">
        <v>11</v>
      </c>
    </row>
    <row r="262" spans="1:32" s="2028" customFormat="1" ht="11.45" customHeight="1">
      <c r="A262" s="911"/>
      <c r="B262" s="1554"/>
      <c r="C262" s="1554"/>
      <c r="D262" s="287"/>
      <c r="K262" s="1078"/>
      <c r="L262" s="1554"/>
      <c r="M262" s="1554"/>
      <c r="N262" s="1078"/>
      <c r="O262" s="1078"/>
      <c r="P262" s="1078"/>
      <c r="Q262" s="1078"/>
      <c r="R262" s="1554"/>
      <c r="S262" s="1078"/>
      <c r="T262" s="1078"/>
      <c r="U262" s="480"/>
      <c r="V262" s="1078"/>
      <c r="W262" s="1078"/>
      <c r="X262" s="1078"/>
      <c r="Y262" s="1078"/>
      <c r="Z262" s="1078"/>
      <c r="AA262" s="1550"/>
      <c r="AB262" s="502"/>
      <c r="AC262" s="502"/>
      <c r="AD262" s="502"/>
      <c r="AE262" s="502"/>
      <c r="AF262" s="1559">
        <v>11</v>
      </c>
    </row>
    <row r="263" spans="1:32" s="2028" customFormat="1" ht="11.45" customHeight="1">
      <c r="A263" s="911"/>
      <c r="B263" s="1554"/>
      <c r="C263" s="1554"/>
      <c r="D263" s="287"/>
      <c r="K263" s="1078"/>
      <c r="L263" s="1554"/>
      <c r="M263" s="1554"/>
      <c r="N263" s="1078"/>
      <c r="O263" s="1078"/>
      <c r="P263" s="1078"/>
      <c r="Q263" s="1078"/>
      <c r="R263" s="1554"/>
      <c r="S263" s="1078"/>
      <c r="T263" s="1078"/>
      <c r="U263" s="480"/>
      <c r="V263" s="1078"/>
      <c r="W263" s="1078"/>
      <c r="X263" s="1078"/>
      <c r="Y263" s="1078"/>
      <c r="Z263" s="1078"/>
      <c r="AA263" s="1550"/>
      <c r="AB263" s="502"/>
      <c r="AC263" s="502"/>
      <c r="AD263" s="502"/>
      <c r="AE263" s="502"/>
      <c r="AF263" s="1559">
        <v>11</v>
      </c>
    </row>
    <row r="264" spans="1:32" s="2028" customFormat="1" ht="11.45" customHeight="1">
      <c r="A264" s="911"/>
      <c r="B264" s="1554"/>
      <c r="C264" s="1554"/>
      <c r="D264" s="287"/>
      <c r="K264" s="1078"/>
      <c r="L264" s="1554"/>
      <c r="M264" s="1554"/>
      <c r="N264" s="1078"/>
      <c r="O264" s="1078"/>
      <c r="P264" s="1078"/>
      <c r="Q264" s="1078"/>
      <c r="R264" s="1554"/>
      <c r="S264" s="1078"/>
      <c r="T264" s="1078"/>
      <c r="U264" s="480"/>
      <c r="V264" s="1078"/>
      <c r="W264" s="1078"/>
      <c r="X264" s="1078"/>
      <c r="Y264" s="1078"/>
      <c r="Z264" s="1078"/>
      <c r="AA264" s="1550"/>
      <c r="AB264" s="502"/>
      <c r="AC264" s="502"/>
      <c r="AD264" s="502"/>
      <c r="AE264" s="502"/>
      <c r="AF264" s="1559">
        <v>11</v>
      </c>
    </row>
    <row r="265" spans="1:32" s="2028" customFormat="1" ht="11.45" customHeight="1">
      <c r="A265" s="911"/>
      <c r="B265" s="1554"/>
      <c r="C265" s="1554"/>
      <c r="D265" s="287"/>
      <c r="K265" s="1078"/>
      <c r="L265" s="1554"/>
      <c r="M265" s="1554"/>
      <c r="N265" s="1078"/>
      <c r="O265" s="1078"/>
      <c r="P265" s="1078"/>
      <c r="Q265" s="1078"/>
      <c r="R265" s="1554"/>
      <c r="S265" s="1078"/>
      <c r="T265" s="1078"/>
      <c r="U265" s="480"/>
      <c r="V265" s="1078"/>
      <c r="W265" s="1078"/>
      <c r="X265" s="1078"/>
      <c r="Y265" s="1078"/>
      <c r="Z265" s="1078"/>
      <c r="AA265" s="1550"/>
      <c r="AB265" s="502"/>
      <c r="AC265" s="502"/>
      <c r="AD265" s="502"/>
      <c r="AE265" s="502"/>
      <c r="AF265" s="1559">
        <v>11</v>
      </c>
    </row>
    <row r="266" spans="1:32" s="2028" customFormat="1" ht="11.45" customHeight="1">
      <c r="A266" s="911"/>
      <c r="B266" s="1554"/>
      <c r="C266" s="1554"/>
      <c r="D266" s="287"/>
      <c r="K266" s="1078"/>
      <c r="L266" s="1554"/>
      <c r="M266" s="1554"/>
      <c r="N266" s="1078"/>
      <c r="O266" s="1078"/>
      <c r="P266" s="1078"/>
      <c r="Q266" s="1078"/>
      <c r="R266" s="1554"/>
      <c r="S266" s="1078"/>
      <c r="T266" s="1078"/>
      <c r="U266" s="480"/>
      <c r="V266" s="1078"/>
      <c r="W266" s="1078"/>
      <c r="X266" s="1078"/>
      <c r="Y266" s="1078"/>
      <c r="Z266" s="1078"/>
      <c r="AA266" s="1550"/>
      <c r="AB266" s="502"/>
      <c r="AC266" s="502"/>
      <c r="AD266" s="502"/>
      <c r="AE266" s="502"/>
      <c r="AF266" s="1559">
        <v>11</v>
      </c>
    </row>
    <row r="267" spans="1:32" s="2028" customFormat="1" ht="11.45" customHeight="1">
      <c r="A267" s="911"/>
      <c r="B267" s="1554"/>
      <c r="C267" s="1554"/>
      <c r="D267" s="287"/>
      <c r="K267" s="1078"/>
      <c r="L267" s="1554"/>
      <c r="M267" s="1554"/>
      <c r="N267" s="1078"/>
      <c r="O267" s="1078"/>
      <c r="P267" s="1078"/>
      <c r="Q267" s="1078"/>
      <c r="R267" s="1554"/>
      <c r="S267" s="1078"/>
      <c r="T267" s="1078"/>
      <c r="U267" s="480"/>
      <c r="V267" s="1078"/>
      <c r="W267" s="1078"/>
      <c r="X267" s="1078"/>
      <c r="Y267" s="1078"/>
      <c r="Z267" s="1078"/>
      <c r="AA267" s="1550"/>
      <c r="AB267" s="502"/>
      <c r="AC267" s="502"/>
      <c r="AD267" s="502"/>
      <c r="AE267" s="502"/>
      <c r="AF267" s="1559">
        <v>11</v>
      </c>
    </row>
    <row r="268" spans="1:32" s="2028" customFormat="1" ht="11.45" customHeight="1">
      <c r="A268" s="911"/>
      <c r="B268" s="1554"/>
      <c r="C268" s="1554"/>
      <c r="D268" s="287"/>
      <c r="K268" s="1078"/>
      <c r="L268" s="1554"/>
      <c r="M268" s="1554"/>
      <c r="N268" s="1078"/>
      <c r="O268" s="1078"/>
      <c r="P268" s="1078"/>
      <c r="Q268" s="1078"/>
      <c r="R268" s="1554"/>
      <c r="S268" s="1078"/>
      <c r="T268" s="1078"/>
      <c r="U268" s="480"/>
      <c r="V268" s="1078"/>
      <c r="W268" s="1078"/>
      <c r="X268" s="1078"/>
      <c r="Y268" s="1078"/>
      <c r="Z268" s="1078"/>
      <c r="AA268" s="1550"/>
      <c r="AB268" s="502"/>
      <c r="AC268" s="502"/>
      <c r="AD268" s="502"/>
      <c r="AE268" s="502"/>
      <c r="AF268" s="1559">
        <v>11</v>
      </c>
    </row>
    <row r="269" spans="1:32" s="2028" customFormat="1" ht="11.45" customHeight="1">
      <c r="A269" s="911"/>
      <c r="B269" s="1554"/>
      <c r="C269" s="1554"/>
      <c r="D269" s="287"/>
      <c r="K269" s="1078"/>
      <c r="L269" s="1554"/>
      <c r="M269" s="1554"/>
      <c r="N269" s="1078"/>
      <c r="O269" s="1078"/>
      <c r="P269" s="1078"/>
      <c r="Q269" s="1078"/>
      <c r="R269" s="1554"/>
      <c r="S269" s="1078"/>
      <c r="T269" s="1078"/>
      <c r="U269" s="480"/>
      <c r="V269" s="1078"/>
      <c r="W269" s="1078"/>
      <c r="X269" s="1078"/>
      <c r="Y269" s="1078"/>
      <c r="Z269" s="1078"/>
      <c r="AA269" s="1550"/>
      <c r="AB269" s="502"/>
      <c r="AC269" s="502"/>
      <c r="AD269" s="502"/>
      <c r="AE269" s="502"/>
      <c r="AF269" s="1559">
        <v>11</v>
      </c>
    </row>
    <row r="270" spans="1:32" s="2028" customFormat="1" ht="11.45" customHeight="1">
      <c r="A270" s="911"/>
      <c r="B270" s="1554"/>
      <c r="C270" s="1554"/>
      <c r="D270" s="287"/>
      <c r="K270" s="1078"/>
      <c r="L270" s="1554"/>
      <c r="M270" s="1554"/>
      <c r="N270" s="1078"/>
      <c r="O270" s="1078"/>
      <c r="P270" s="1078"/>
      <c r="Q270" s="1078"/>
      <c r="R270" s="1554"/>
      <c r="S270" s="1078"/>
      <c r="T270" s="1078"/>
      <c r="U270" s="480"/>
      <c r="V270" s="1078"/>
      <c r="W270" s="1078"/>
      <c r="X270" s="1078"/>
      <c r="Y270" s="1078"/>
      <c r="Z270" s="1078"/>
      <c r="AA270" s="1550"/>
      <c r="AB270" s="502"/>
      <c r="AC270" s="502"/>
      <c r="AD270" s="502"/>
      <c r="AE270" s="502"/>
      <c r="AF270" s="1559">
        <v>11</v>
      </c>
    </row>
    <row r="271" spans="1:32" s="2028" customFormat="1" ht="11.45" customHeight="1">
      <c r="A271" s="911"/>
      <c r="B271" s="1554"/>
      <c r="C271" s="1554"/>
      <c r="D271" s="287"/>
      <c r="K271" s="1078"/>
      <c r="L271" s="1554"/>
      <c r="M271" s="1554"/>
      <c r="N271" s="1078"/>
      <c r="O271" s="1078"/>
      <c r="P271" s="1078"/>
      <c r="Q271" s="1078"/>
      <c r="R271" s="1554"/>
      <c r="S271" s="1078"/>
      <c r="T271" s="1078"/>
      <c r="U271" s="480"/>
      <c r="V271" s="1078"/>
      <c r="W271" s="1078"/>
      <c r="X271" s="1078"/>
      <c r="Y271" s="1078"/>
      <c r="Z271" s="1078"/>
      <c r="AA271" s="1550"/>
      <c r="AB271" s="502"/>
      <c r="AC271" s="502"/>
      <c r="AD271" s="502"/>
      <c r="AE271" s="502"/>
      <c r="AF271" s="1559">
        <v>11</v>
      </c>
    </row>
    <row r="272" spans="1:32" s="2028" customFormat="1" ht="11.45" customHeight="1">
      <c r="A272" s="911"/>
      <c r="B272" s="1554"/>
      <c r="C272" s="1554"/>
      <c r="D272" s="287"/>
      <c r="K272" s="1078"/>
      <c r="L272" s="1554"/>
      <c r="M272" s="1554"/>
      <c r="N272" s="1078"/>
      <c r="O272" s="1078"/>
      <c r="P272" s="1078"/>
      <c r="Q272" s="1078"/>
      <c r="R272" s="1554"/>
      <c r="S272" s="1078"/>
      <c r="T272" s="1078"/>
      <c r="U272" s="480"/>
      <c r="V272" s="1078"/>
      <c r="W272" s="1078"/>
      <c r="X272" s="1078"/>
      <c r="Y272" s="1078"/>
      <c r="Z272" s="1078"/>
      <c r="AA272" s="1550"/>
      <c r="AB272" s="502"/>
      <c r="AC272" s="502"/>
      <c r="AD272" s="502"/>
      <c r="AE272" s="502"/>
      <c r="AF272" s="1559">
        <v>11</v>
      </c>
    </row>
    <row r="273" spans="1:32" s="2028" customFormat="1" ht="11.45" customHeight="1">
      <c r="A273" s="911"/>
      <c r="B273" s="1554"/>
      <c r="C273" s="1554"/>
      <c r="D273" s="287"/>
      <c r="K273" s="1078"/>
      <c r="L273" s="1554"/>
      <c r="M273" s="1554"/>
      <c r="N273" s="1078"/>
      <c r="O273" s="1078"/>
      <c r="P273" s="1078"/>
      <c r="Q273" s="1078"/>
      <c r="R273" s="1554"/>
      <c r="S273" s="1078"/>
      <c r="T273" s="1078"/>
      <c r="U273" s="480"/>
      <c r="V273" s="1078"/>
      <c r="W273" s="1078"/>
      <c r="X273" s="1078"/>
      <c r="Y273" s="1078"/>
      <c r="Z273" s="1078"/>
      <c r="AA273" s="1550"/>
      <c r="AB273" s="502"/>
      <c r="AC273" s="502"/>
      <c r="AD273" s="502"/>
      <c r="AE273" s="502"/>
      <c r="AF273" s="1559">
        <v>11</v>
      </c>
    </row>
    <row r="274" spans="1:32" s="2028" customFormat="1" ht="11.45" customHeight="1">
      <c r="A274" s="911"/>
      <c r="B274" s="1554"/>
      <c r="C274" s="1554"/>
      <c r="D274" s="287"/>
      <c r="K274" s="1078"/>
      <c r="L274" s="1554"/>
      <c r="M274" s="1554"/>
      <c r="N274" s="1078"/>
      <c r="O274" s="1078"/>
      <c r="P274" s="1078"/>
      <c r="Q274" s="1078"/>
      <c r="R274" s="1554"/>
      <c r="S274" s="1078"/>
      <c r="T274" s="1078"/>
      <c r="U274" s="480"/>
      <c r="V274" s="1078"/>
      <c r="W274" s="1078"/>
      <c r="X274" s="1078"/>
      <c r="Y274" s="1078"/>
      <c r="Z274" s="1078"/>
      <c r="AA274" s="1550"/>
      <c r="AB274" s="502"/>
      <c r="AC274" s="502"/>
      <c r="AD274" s="502"/>
      <c r="AE274" s="502"/>
      <c r="AF274" s="1559">
        <v>11</v>
      </c>
    </row>
    <row r="275" spans="1:32" s="2028" customFormat="1" ht="11.45" customHeight="1">
      <c r="A275" s="911"/>
      <c r="B275" s="1554"/>
      <c r="C275" s="1554"/>
      <c r="D275" s="287"/>
      <c r="K275" s="1078"/>
      <c r="L275" s="1554"/>
      <c r="M275" s="1554"/>
      <c r="N275" s="1078"/>
      <c r="O275" s="1078"/>
      <c r="P275" s="1078"/>
      <c r="Q275" s="1078"/>
      <c r="R275" s="1554"/>
      <c r="S275" s="1078"/>
      <c r="T275" s="1078"/>
      <c r="U275" s="480"/>
      <c r="V275" s="1078"/>
      <c r="W275" s="1078"/>
      <c r="X275" s="1078"/>
      <c r="Y275" s="1078"/>
      <c r="Z275" s="1078"/>
      <c r="AA275" s="1550"/>
      <c r="AB275" s="502"/>
      <c r="AC275" s="502"/>
      <c r="AD275" s="502"/>
      <c r="AE275" s="502"/>
      <c r="AF275" s="1559">
        <v>11</v>
      </c>
    </row>
    <row r="276" spans="1:32" s="2028" customFormat="1" ht="11.45" customHeight="1">
      <c r="A276" s="911"/>
      <c r="B276" s="1554"/>
      <c r="C276" s="1554"/>
      <c r="D276" s="287"/>
      <c r="K276" s="1078"/>
      <c r="L276" s="1554"/>
      <c r="M276" s="1554"/>
      <c r="N276" s="1078"/>
      <c r="O276" s="1078"/>
      <c r="P276" s="1078"/>
      <c r="Q276" s="1078"/>
      <c r="R276" s="1554"/>
      <c r="S276" s="1078"/>
      <c r="T276" s="1078"/>
      <c r="U276" s="480"/>
      <c r="V276" s="1078"/>
      <c r="W276" s="1078"/>
      <c r="X276" s="1078"/>
      <c r="Y276" s="1078"/>
      <c r="Z276" s="1078"/>
      <c r="AA276" s="1550"/>
      <c r="AB276" s="502"/>
      <c r="AC276" s="502"/>
      <c r="AD276" s="502"/>
      <c r="AE276" s="502"/>
      <c r="AF276" s="1559">
        <v>11</v>
      </c>
    </row>
    <row r="277" spans="1:32" s="2028" customFormat="1" ht="11.45" customHeight="1">
      <c r="A277" s="911"/>
      <c r="B277" s="1554"/>
      <c r="C277" s="1554"/>
      <c r="D277" s="287"/>
      <c r="K277" s="1078"/>
      <c r="L277" s="1554"/>
      <c r="M277" s="1554"/>
      <c r="N277" s="1078"/>
      <c r="O277" s="1078"/>
      <c r="P277" s="1078"/>
      <c r="Q277" s="1078"/>
      <c r="R277" s="1554"/>
      <c r="S277" s="1078"/>
      <c r="T277" s="1078"/>
      <c r="U277" s="480"/>
      <c r="V277" s="1078"/>
      <c r="W277" s="1078"/>
      <c r="X277" s="1078"/>
      <c r="Y277" s="1078"/>
      <c r="Z277" s="1078"/>
      <c r="AA277" s="1550"/>
      <c r="AB277" s="502"/>
      <c r="AC277" s="502"/>
      <c r="AD277" s="502"/>
      <c r="AE277" s="502"/>
      <c r="AF277" s="1559">
        <v>11</v>
      </c>
    </row>
    <row r="278" spans="1:32" s="2028" customFormat="1" ht="11.45" customHeight="1">
      <c r="A278" s="911"/>
      <c r="B278" s="1554"/>
      <c r="C278" s="1554"/>
      <c r="D278" s="287"/>
      <c r="K278" s="1078"/>
      <c r="L278" s="1554"/>
      <c r="M278" s="1554"/>
      <c r="N278" s="1078"/>
      <c r="O278" s="1078"/>
      <c r="P278" s="1078"/>
      <c r="Q278" s="1078"/>
      <c r="R278" s="1554"/>
      <c r="S278" s="1078"/>
      <c r="T278" s="1078"/>
      <c r="U278" s="480"/>
      <c r="V278" s="1078"/>
      <c r="W278" s="1078"/>
      <c r="X278" s="1078"/>
      <c r="Y278" s="1078"/>
      <c r="Z278" s="1078"/>
      <c r="AA278" s="1550"/>
      <c r="AB278" s="502"/>
      <c r="AC278" s="502"/>
      <c r="AD278" s="502"/>
      <c r="AE278" s="502"/>
      <c r="AF278" s="1559">
        <v>11</v>
      </c>
    </row>
    <row r="279" spans="1:32" s="2028" customFormat="1" ht="11.45" customHeight="1">
      <c r="A279" s="911"/>
      <c r="B279" s="1554"/>
      <c r="C279" s="1554"/>
      <c r="D279" s="287"/>
      <c r="K279" s="1078"/>
      <c r="L279" s="1554"/>
      <c r="M279" s="1554"/>
      <c r="N279" s="1078"/>
      <c r="O279" s="1078"/>
      <c r="P279" s="1078"/>
      <c r="Q279" s="1078"/>
      <c r="R279" s="1554"/>
      <c r="S279" s="1078"/>
      <c r="T279" s="1078"/>
      <c r="U279" s="480"/>
      <c r="V279" s="1078"/>
      <c r="W279" s="1078"/>
      <c r="X279" s="1078"/>
      <c r="Y279" s="1078"/>
      <c r="Z279" s="1078"/>
      <c r="AA279" s="1550"/>
      <c r="AB279" s="502"/>
      <c r="AC279" s="502"/>
      <c r="AD279" s="502"/>
      <c r="AE279" s="502"/>
      <c r="AF279" s="1559">
        <v>11</v>
      </c>
    </row>
    <row r="280" spans="1:32" s="2028" customFormat="1" ht="11.45" customHeight="1">
      <c r="A280" s="911"/>
      <c r="B280" s="1554"/>
      <c r="C280" s="1554"/>
      <c r="D280" s="287"/>
      <c r="K280" s="1078"/>
      <c r="L280" s="1554"/>
      <c r="M280" s="1554"/>
      <c r="N280" s="1078"/>
      <c r="O280" s="1078"/>
      <c r="P280" s="1078"/>
      <c r="Q280" s="1078"/>
      <c r="R280" s="1554"/>
      <c r="S280" s="1078"/>
      <c r="T280" s="1078"/>
      <c r="U280" s="480"/>
      <c r="V280" s="1078"/>
      <c r="W280" s="1078"/>
      <c r="X280" s="1078"/>
      <c r="Y280" s="1078"/>
      <c r="Z280" s="1078"/>
      <c r="AA280" s="1550"/>
      <c r="AB280" s="502"/>
      <c r="AC280" s="502"/>
      <c r="AD280" s="502"/>
      <c r="AE280" s="502"/>
      <c r="AF280" s="1559">
        <v>11</v>
      </c>
    </row>
    <row r="281" spans="1:32" s="2028" customFormat="1" ht="11.45" customHeight="1">
      <c r="A281" s="911"/>
      <c r="B281" s="1554"/>
      <c r="C281" s="1554"/>
      <c r="D281" s="287"/>
      <c r="K281" s="1078"/>
      <c r="L281" s="1554"/>
      <c r="M281" s="1554"/>
      <c r="N281" s="1078"/>
      <c r="O281" s="1078"/>
      <c r="P281" s="1078"/>
      <c r="Q281" s="1078"/>
      <c r="R281" s="1554"/>
      <c r="S281" s="1078"/>
      <c r="T281" s="1078"/>
      <c r="U281" s="480"/>
      <c r="V281" s="1078"/>
      <c r="W281" s="1078"/>
      <c r="X281" s="1078"/>
      <c r="Y281" s="1078"/>
      <c r="Z281" s="1078"/>
      <c r="AA281" s="1550"/>
      <c r="AB281" s="502"/>
      <c r="AC281" s="502"/>
      <c r="AD281" s="502"/>
      <c r="AE281" s="502"/>
      <c r="AF281" s="1559">
        <v>11</v>
      </c>
    </row>
    <row r="282" spans="1:32" s="2028" customFormat="1" ht="11.45" customHeight="1">
      <c r="A282" s="911"/>
      <c r="B282" s="1554"/>
      <c r="C282" s="1554"/>
      <c r="D282" s="287"/>
      <c r="K282" s="1078"/>
      <c r="L282" s="1554"/>
      <c r="M282" s="1554"/>
      <c r="N282" s="1078"/>
      <c r="O282" s="1078"/>
      <c r="P282" s="1078"/>
      <c r="Q282" s="1078"/>
      <c r="R282" s="1554"/>
      <c r="S282" s="1078"/>
      <c r="T282" s="1078"/>
      <c r="U282" s="480"/>
      <c r="V282" s="1078"/>
      <c r="W282" s="1078"/>
      <c r="X282" s="1078"/>
      <c r="Y282" s="1078"/>
      <c r="Z282" s="1078"/>
      <c r="AA282" s="1550"/>
      <c r="AB282" s="502"/>
      <c r="AC282" s="502"/>
      <c r="AD282" s="502"/>
      <c r="AE282" s="502"/>
      <c r="AF282" s="1559">
        <v>11</v>
      </c>
    </row>
    <row r="283" spans="1:32" s="2028" customFormat="1" ht="11.45" customHeight="1">
      <c r="A283" s="911"/>
      <c r="B283" s="1554"/>
      <c r="C283" s="1554"/>
      <c r="D283" s="287"/>
      <c r="K283" s="1078"/>
      <c r="L283" s="1554"/>
      <c r="M283" s="1554"/>
      <c r="N283" s="1078"/>
      <c r="O283" s="1078"/>
      <c r="P283" s="1078"/>
      <c r="Q283" s="1078"/>
      <c r="R283" s="1554"/>
      <c r="S283" s="1078"/>
      <c r="T283" s="1078"/>
      <c r="U283" s="480"/>
      <c r="V283" s="1078"/>
      <c r="W283" s="1078"/>
      <c r="X283" s="1078"/>
      <c r="Y283" s="1078"/>
      <c r="Z283" s="1078"/>
      <c r="AA283" s="1550"/>
      <c r="AB283" s="502"/>
      <c r="AC283" s="502"/>
      <c r="AD283" s="502"/>
      <c r="AE283" s="502"/>
      <c r="AF283" s="1559">
        <v>11</v>
      </c>
    </row>
    <row r="284" spans="1:32" s="2028" customFormat="1" ht="11.45" customHeight="1">
      <c r="A284" s="911"/>
      <c r="B284" s="1554"/>
      <c r="C284" s="1554"/>
      <c r="D284" s="287"/>
      <c r="K284" s="1078"/>
      <c r="L284" s="1554"/>
      <c r="M284" s="1554"/>
      <c r="N284" s="1078"/>
      <c r="O284" s="1078"/>
      <c r="P284" s="1078"/>
      <c r="Q284" s="1078"/>
      <c r="R284" s="1554"/>
      <c r="S284" s="1078"/>
      <c r="T284" s="1078"/>
      <c r="U284" s="480"/>
      <c r="V284" s="1078"/>
      <c r="W284" s="1078"/>
      <c r="X284" s="1078"/>
      <c r="Y284" s="1078"/>
      <c r="Z284" s="1078"/>
      <c r="AA284" s="1550"/>
      <c r="AB284" s="502"/>
      <c r="AC284" s="502"/>
      <c r="AD284" s="502"/>
      <c r="AE284" s="502"/>
      <c r="AF284" s="1559">
        <v>11</v>
      </c>
    </row>
    <row r="285" spans="1:32" s="2028" customFormat="1" ht="11.45" customHeight="1">
      <c r="A285" s="911"/>
      <c r="B285" s="1554"/>
      <c r="C285" s="1554"/>
      <c r="D285" s="287"/>
      <c r="K285" s="1078"/>
      <c r="L285" s="1554"/>
      <c r="M285" s="1554"/>
      <c r="N285" s="1078"/>
      <c r="O285" s="1078"/>
      <c r="P285" s="1078"/>
      <c r="Q285" s="1078"/>
      <c r="R285" s="1554"/>
      <c r="S285" s="1078"/>
      <c r="T285" s="1078"/>
      <c r="U285" s="480"/>
      <c r="V285" s="1078"/>
      <c r="W285" s="1078"/>
      <c r="X285" s="1078"/>
      <c r="Y285" s="1078"/>
      <c r="Z285" s="1078"/>
      <c r="AA285" s="1550"/>
      <c r="AB285" s="502"/>
      <c r="AC285" s="502"/>
      <c r="AD285" s="502"/>
      <c r="AE285" s="502"/>
      <c r="AF285" s="1559">
        <v>11</v>
      </c>
    </row>
    <row r="286" spans="1:32" s="2028" customFormat="1" ht="11.45" customHeight="1">
      <c r="A286" s="911"/>
      <c r="B286" s="1554"/>
      <c r="C286" s="1554"/>
      <c r="D286" s="287"/>
      <c r="K286" s="1078"/>
      <c r="L286" s="1554"/>
      <c r="M286" s="1554"/>
      <c r="N286" s="1078"/>
      <c r="O286" s="1078"/>
      <c r="P286" s="1078"/>
      <c r="Q286" s="1078"/>
      <c r="R286" s="1554"/>
      <c r="S286" s="1078"/>
      <c r="T286" s="1078"/>
      <c r="U286" s="480"/>
      <c r="V286" s="1078"/>
      <c r="W286" s="1078"/>
      <c r="X286" s="1078"/>
      <c r="Y286" s="1078"/>
      <c r="Z286" s="1078"/>
      <c r="AA286" s="1550"/>
      <c r="AB286" s="502"/>
      <c r="AC286" s="502"/>
      <c r="AD286" s="502"/>
      <c r="AE286" s="502"/>
      <c r="AF286" s="1559">
        <v>11</v>
      </c>
    </row>
    <row r="287" spans="1:32" s="2028" customFormat="1" ht="11.45" customHeight="1">
      <c r="A287" s="911"/>
      <c r="B287" s="1554"/>
      <c r="C287" s="1554"/>
      <c r="D287" s="287"/>
      <c r="K287" s="1078"/>
      <c r="L287" s="1554"/>
      <c r="M287" s="1554"/>
      <c r="N287" s="1078"/>
      <c r="O287" s="1078"/>
      <c r="P287" s="1078"/>
      <c r="Q287" s="1078"/>
      <c r="R287" s="1554"/>
      <c r="S287" s="1078"/>
      <c r="T287" s="1078"/>
      <c r="U287" s="480"/>
      <c r="V287" s="1078"/>
      <c r="W287" s="1078"/>
      <c r="X287" s="1078"/>
      <c r="Y287" s="1078"/>
      <c r="Z287" s="1078"/>
      <c r="AA287" s="1550"/>
      <c r="AB287" s="502"/>
      <c r="AC287" s="502"/>
      <c r="AD287" s="502"/>
      <c r="AE287" s="502"/>
      <c r="AF287" s="1559">
        <v>11</v>
      </c>
    </row>
    <row r="288" spans="1:32" s="2028" customFormat="1" ht="11.45" customHeight="1">
      <c r="A288" s="911"/>
      <c r="B288" s="1554"/>
      <c r="C288" s="1554"/>
      <c r="D288" s="287"/>
      <c r="K288" s="1078"/>
      <c r="L288" s="1554"/>
      <c r="M288" s="1554"/>
      <c r="N288" s="1078"/>
      <c r="O288" s="1078"/>
      <c r="P288" s="1078"/>
      <c r="Q288" s="1078"/>
      <c r="R288" s="1554"/>
      <c r="S288" s="1078"/>
      <c r="T288" s="1078"/>
      <c r="U288" s="480"/>
      <c r="V288" s="1078"/>
      <c r="W288" s="1078"/>
      <c r="X288" s="1078"/>
      <c r="Y288" s="1078"/>
      <c r="Z288" s="1078"/>
      <c r="AA288" s="1550"/>
      <c r="AB288" s="502"/>
      <c r="AC288" s="502"/>
      <c r="AD288" s="502"/>
      <c r="AE288" s="502"/>
      <c r="AF288" s="1559">
        <v>11</v>
      </c>
    </row>
    <row r="289" spans="1:32" ht="11.45" customHeight="1">
      <c r="AF289" s="1549">
        <v>11</v>
      </c>
    </row>
    <row r="290" spans="1:32" ht="11.45" customHeight="1">
      <c r="AF290" s="1549">
        <v>11</v>
      </c>
    </row>
    <row r="291" spans="1:32" ht="11.45" customHeight="1">
      <c r="AF291" s="1549">
        <v>11</v>
      </c>
    </row>
    <row r="292" spans="1:32" ht="11.45" customHeight="1">
      <c r="A292" s="914"/>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4"/>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4"/>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4"/>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4"/>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4"/>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4"/>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4"/>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4"/>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4"/>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4"/>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1" t="s">
        <v>84</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80">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35" hidden="1" customWidth="1"/>
    <col min="2" max="2" width="17" style="2071" hidden="1" customWidth="1"/>
    <col min="3" max="3" width="3" style="2062" customWidth="1"/>
    <col min="4" max="4" width="1.85546875" style="2062" hidden="1" customWidth="1"/>
    <col min="5" max="6" width="7" style="2062" customWidth="1"/>
    <col min="7" max="7" width="29" style="2062" customWidth="1"/>
    <col min="8" max="8" width="3.7109375" style="2062" customWidth="1"/>
    <col min="9" max="9" width="5" style="2062" customWidth="1"/>
    <col min="10" max="11" width="24" style="2062" customWidth="1"/>
    <col min="12" max="12" width="3" style="2062" customWidth="1"/>
    <col min="13" max="13" width="6" style="2062" customWidth="1"/>
    <col min="14" max="14" width="25" style="2062" customWidth="1"/>
    <col min="15" max="18" width="18" style="2062" customWidth="1"/>
    <col min="19" max="19" width="93" style="2062" customWidth="1"/>
    <col min="20" max="20" width="10" style="2062" customWidth="1"/>
    <col min="21" max="21" width="10" style="2034" customWidth="1"/>
    <col min="22" max="22" width="11" style="2034" customWidth="1"/>
    <col min="23" max="27" width="10" style="2071" customWidth="1"/>
    <col min="28" max="83" width="8" style="2062" customWidth="1"/>
    <col min="84" max="84" width="9.140625" style="206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37" t="str">
        <f>FHD20_NAME_FORM</f>
        <v>Форма 11. Информация о расходах на капитальный и текущий ремонт основных средств</v>
      </c>
      <c r="F5" s="2437"/>
      <c r="G5" s="2437"/>
      <c r="H5" s="2437"/>
      <c r="I5" s="2437"/>
      <c r="J5" s="2437"/>
      <c r="K5" s="2437"/>
      <c r="L5" s="549"/>
      <c r="M5" s="549"/>
      <c r="CF5" s="441">
        <v>28</v>
      </c>
    </row>
    <row r="6" spans="1:84" s="2062" customFormat="1" ht="16.899999999999999" customHeight="1">
      <c r="A6" s="546"/>
      <c r="B6" s="693"/>
      <c r="C6" s="445"/>
      <c r="D6" s="981"/>
      <c r="E6" s="2409" t="str">
        <f>IF(org=0,"Не определено",org)</f>
        <v>ПАО "ТГК-1" филиал "Невский"</v>
      </c>
      <c r="F6" s="2409"/>
      <c r="G6" s="2409"/>
      <c r="H6" s="2409"/>
      <c r="I6" s="2409"/>
      <c r="J6" s="2409"/>
      <c r="K6" s="240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2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10" t="s">
        <v>297</v>
      </c>
      <c r="F9" s="2315"/>
      <c r="G9" s="2315"/>
      <c r="H9" s="2315"/>
      <c r="I9" s="2315"/>
      <c r="J9" s="2315"/>
      <c r="K9" s="2315"/>
      <c r="L9" s="2315"/>
      <c r="M9" s="2315"/>
      <c r="N9" s="2315"/>
      <c r="O9" s="2315"/>
      <c r="P9" s="2315"/>
      <c r="Q9" s="2315"/>
      <c r="R9" s="2309"/>
      <c r="S9" s="2328" t="s">
        <v>298</v>
      </c>
      <c r="T9" s="271"/>
      <c r="CF9" s="441">
        <v>19</v>
      </c>
    </row>
    <row r="10" spans="1:84" ht="48.2" customHeight="1">
      <c r="D10" s="487" t="s">
        <v>90</v>
      </c>
      <c r="E10" s="2328" t="s">
        <v>90</v>
      </c>
      <c r="F10" s="2328"/>
      <c r="G10" s="457" t="s">
        <v>299</v>
      </c>
      <c r="H10" s="2328" t="s">
        <v>90</v>
      </c>
      <c r="I10" s="2328"/>
      <c r="J10" s="457" t="s">
        <v>599</v>
      </c>
      <c r="K10" s="457" t="s">
        <v>600</v>
      </c>
      <c r="L10" s="2328" t="s">
        <v>90</v>
      </c>
      <c r="M10" s="2328"/>
      <c r="N10" s="457" t="s">
        <v>601</v>
      </c>
      <c r="O10" s="457" t="s">
        <v>602</v>
      </c>
      <c r="P10" s="457" t="s">
        <v>603</v>
      </c>
      <c r="Q10" s="457" t="s">
        <v>604</v>
      </c>
      <c r="R10" s="457" t="s">
        <v>605</v>
      </c>
      <c r="S10" s="2328"/>
      <c r="T10" s="271"/>
      <c r="CF10" s="441">
        <v>46</v>
      </c>
    </row>
    <row r="11" spans="1:84" s="2034" customFormat="1" ht="15" hidden="1" customHeight="1">
      <c r="A11" s="975"/>
      <c r="D11" s="948" t="s">
        <v>108</v>
      </c>
      <c r="E11" s="948"/>
      <c r="F11" s="948" t="s">
        <v>109</v>
      </c>
      <c r="G11" s="948" t="s">
        <v>92</v>
      </c>
      <c r="H11" s="948"/>
      <c r="I11" s="948" t="s">
        <v>93</v>
      </c>
      <c r="J11" s="948" t="s">
        <v>110</v>
      </c>
      <c r="K11" s="948" t="s">
        <v>94</v>
      </c>
      <c r="L11" s="948"/>
      <c r="M11" s="948" t="s">
        <v>95</v>
      </c>
      <c r="N11" s="948" t="s">
        <v>111</v>
      </c>
      <c r="O11" s="948" t="s">
        <v>147</v>
      </c>
      <c r="P11" s="948" t="s">
        <v>148</v>
      </c>
      <c r="Q11" s="948" t="s">
        <v>149</v>
      </c>
      <c r="R11" s="948" t="s">
        <v>150</v>
      </c>
      <c r="S11" s="948" t="s">
        <v>151</v>
      </c>
      <c r="U11" s="547"/>
      <c r="V11" s="547"/>
      <c r="W11" s="547"/>
      <c r="CF11" s="447">
        <v>0</v>
      </c>
    </row>
    <row r="12" spans="1:84" s="2062" customFormat="1" ht="1.1499999999999999" customHeight="1">
      <c r="A12" s="551"/>
      <c r="B12" s="298"/>
      <c r="D12" s="484"/>
      <c r="E12" s="283"/>
      <c r="F12" s="283"/>
      <c r="Q12" s="552"/>
      <c r="R12" s="553"/>
      <c r="T12" s="554"/>
      <c r="U12" s="555"/>
      <c r="V12" s="555"/>
      <c r="W12" s="556"/>
      <c r="X12" s="298"/>
      <c r="Y12" s="298"/>
      <c r="Z12" s="298"/>
      <c r="AA12" s="298"/>
      <c r="CF12" s="445">
        <v>1</v>
      </c>
    </row>
    <row r="13" spans="1:84" s="2028" customFormat="1" ht="1.1499999999999999" customHeight="1">
      <c r="A13" s="557"/>
      <c r="B13" s="502"/>
      <c r="D13" s="484" t="s">
        <v>373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14" customFormat="1" ht="15" hidden="1" customHeight="1">
      <c r="A14" s="559" t="s">
        <v>116</v>
      </c>
      <c r="B14" s="560"/>
      <c r="C14" s="560"/>
      <c r="D14" s="2547" t="s">
        <v>108</v>
      </c>
      <c r="E14" s="2554" t="s">
        <v>104</v>
      </c>
      <c r="F14" s="2555"/>
      <c r="G14" s="2556"/>
      <c r="H14" s="2550">
        <f>IF(A14="","",INDEX(DIFFERENTIATION_UNMERGE_VD,MATCH(A14,DIFFERENTIATION_ID_DIFF,0)))</f>
        <v>0</v>
      </c>
      <c r="I14" s="2550"/>
      <c r="J14" s="2550"/>
      <c r="K14" s="2550"/>
      <c r="L14" s="2550"/>
      <c r="M14" s="2550"/>
      <c r="N14" s="2550"/>
      <c r="O14" s="2550"/>
      <c r="P14" s="2550"/>
      <c r="Q14" s="2550"/>
      <c r="R14" s="2550"/>
      <c r="S14" s="655"/>
      <c r="T14" s="652"/>
      <c r="U14" s="561"/>
      <c r="V14" s="561"/>
      <c r="W14" s="562"/>
      <c r="X14" s="562"/>
      <c r="Y14" s="562"/>
      <c r="Z14" s="562"/>
      <c r="AA14" s="563"/>
      <c r="AB14" s="564"/>
      <c r="AC14" s="2553"/>
      <c r="AD14" s="565"/>
      <c r="AE14" s="566" t="s">
        <v>22</v>
      </c>
      <c r="AF14" s="566"/>
      <c r="AG14" s="567" t="s">
        <v>606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14" customFormat="1" ht="15" hidden="1" customHeight="1">
      <c r="A15" s="559"/>
      <c r="B15" s="560"/>
      <c r="C15" s="560"/>
      <c r="D15" s="2548"/>
      <c r="E15" s="2554" t="s">
        <v>561</v>
      </c>
      <c r="F15" s="2555"/>
      <c r="G15" s="2556"/>
      <c r="H15" s="2550" t="str">
        <f>IF(A14="","",INDEX(DIFFERENTIATION_UNMERGE_AREA,MATCH(A14,DIFFERENTIATION_ID_DIFF,0)))</f>
        <v/>
      </c>
      <c r="I15" s="2550"/>
      <c r="J15" s="2550"/>
      <c r="K15" s="2550"/>
      <c r="L15" s="2550"/>
      <c r="M15" s="2550"/>
      <c r="N15" s="2550"/>
      <c r="O15" s="2550"/>
      <c r="P15" s="2550"/>
      <c r="Q15" s="2550"/>
      <c r="R15" s="2550"/>
      <c r="S15" s="655"/>
      <c r="T15" s="652"/>
      <c r="U15" s="561"/>
      <c r="V15" s="561"/>
      <c r="W15" s="562"/>
      <c r="X15" s="562"/>
      <c r="Y15" s="562"/>
      <c r="Z15" s="562"/>
      <c r="AA15" s="563"/>
      <c r="AB15" s="564"/>
      <c r="AC15" s="255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14" customFormat="1" ht="15" hidden="1" customHeight="1">
      <c r="A16" s="559"/>
      <c r="B16" s="560"/>
      <c r="C16" s="560"/>
      <c r="D16" s="2548"/>
      <c r="E16" s="2554" t="s">
        <v>562</v>
      </c>
      <c r="F16" s="2555"/>
      <c r="G16" s="2556"/>
      <c r="H16" s="2550" t="str">
        <f>IF(A14="","",INDEX(DIFFERENTIATION_UNMERGE_SYSTEM,MATCH(A14,DIFFERENTIATION_ID_DIFF,0)))</f>
        <v>без дифференциации</v>
      </c>
      <c r="I16" s="2550"/>
      <c r="J16" s="2550"/>
      <c r="K16" s="2550"/>
      <c r="L16" s="2550"/>
      <c r="M16" s="2550"/>
      <c r="N16" s="2550"/>
      <c r="O16" s="2550"/>
      <c r="P16" s="2550"/>
      <c r="Q16" s="2550"/>
      <c r="R16" s="2550"/>
      <c r="S16" s="655"/>
      <c r="T16" s="652"/>
      <c r="U16" s="561"/>
      <c r="V16" s="561"/>
      <c r="W16" s="562"/>
      <c r="X16" s="562"/>
      <c r="Y16" s="562"/>
      <c r="Z16" s="562"/>
      <c r="AA16" s="563"/>
      <c r="AB16" s="564"/>
      <c r="AC16" s="255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14" customFormat="1" ht="22.5" hidden="1" customHeight="1">
      <c r="A17" s="569"/>
      <c r="B17" s="353"/>
      <c r="C17" s="348"/>
      <c r="D17" s="2548"/>
      <c r="E17" s="2552" t="s">
        <v>607</v>
      </c>
      <c r="F17" s="2552"/>
      <c r="G17" s="2552"/>
      <c r="H17" s="2552"/>
      <c r="I17" s="2552"/>
      <c r="J17" s="2552"/>
      <c r="K17" s="2552"/>
      <c r="L17" s="2552"/>
      <c r="M17" s="2552"/>
      <c r="N17" s="2552"/>
      <c r="O17" s="2552"/>
      <c r="P17" s="2552"/>
      <c r="Q17" s="494">
        <f>SUMIF(T18:T19,"i",Q18:Q19)</f>
        <v>0</v>
      </c>
      <c r="R17" s="940"/>
      <c r="S17" s="822" t="s">
        <v>608</v>
      </c>
      <c r="T17" s="653" t="s">
        <v>609</v>
      </c>
      <c r="U17" s="2460">
        <v>1</v>
      </c>
      <c r="V17" s="2460" t="str">
        <f>INDEX(B_FHD_FLAG_INDEX_1,1,MATCH(A14,B_FHD_FLAG_DIFFERENTIATION,0))</f>
        <v>отсутствует</v>
      </c>
      <c r="W17" s="353"/>
      <c r="X17" s="353"/>
      <c r="Y17" s="353"/>
      <c r="Z17" s="353"/>
      <c r="AA17" s="447"/>
      <c r="AB17" s="353"/>
      <c r="AC17" s="255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14" customFormat="1" ht="11.25" hidden="1" customHeight="1">
      <c r="A18" s="570"/>
      <c r="B18" s="447"/>
      <c r="C18" s="447"/>
      <c r="D18" s="2548"/>
      <c r="E18" s="571"/>
      <c r="F18" s="571">
        <v>0</v>
      </c>
      <c r="G18" s="571"/>
      <c r="H18" s="571"/>
      <c r="I18" s="571"/>
      <c r="J18" s="571"/>
      <c r="K18" s="571"/>
      <c r="L18" s="571"/>
      <c r="M18" s="571"/>
      <c r="N18" s="571"/>
      <c r="O18" s="571"/>
      <c r="P18" s="571"/>
      <c r="Q18" s="571"/>
      <c r="R18" s="571"/>
      <c r="S18" s="572"/>
      <c r="T18" s="654"/>
      <c r="U18" s="2460"/>
      <c r="V18" s="2460"/>
      <c r="W18" s="447"/>
      <c r="X18" s="447"/>
      <c r="Y18" s="447"/>
      <c r="Z18" s="447"/>
      <c r="AA18" s="447"/>
      <c r="AB18" s="353"/>
      <c r="AC18" s="255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14" customFormat="1" ht="11.25" hidden="1" customHeight="1">
      <c r="A19" s="569"/>
      <c r="B19" s="353"/>
      <c r="C19" s="348"/>
      <c r="D19" s="2548"/>
      <c r="E19" s="585" t="s">
        <v>22</v>
      </c>
      <c r="F19" s="586" t="s">
        <v>22</v>
      </c>
      <c r="G19" s="586" t="s">
        <v>22</v>
      </c>
      <c r="H19" s="587" t="s">
        <v>22</v>
      </c>
      <c r="I19" s="587"/>
      <c r="J19" s="587"/>
      <c r="K19" s="587"/>
      <c r="L19" s="587"/>
      <c r="M19" s="587"/>
      <c r="N19" s="587"/>
      <c r="O19" s="587"/>
      <c r="P19" s="587"/>
      <c r="Q19" s="587"/>
      <c r="R19" s="588"/>
      <c r="S19" s="943"/>
      <c r="T19" s="654"/>
      <c r="U19" s="2460"/>
      <c r="V19" s="2460"/>
      <c r="W19" s="353"/>
      <c r="X19" s="353"/>
      <c r="Y19" s="353"/>
      <c r="Z19" s="353"/>
      <c r="AA19" s="447"/>
      <c r="AB19" s="353"/>
      <c r="AC19" s="255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14" customFormat="1" ht="22.5" hidden="1" customHeight="1">
      <c r="A20" s="569"/>
      <c r="B20" s="353"/>
      <c r="C20" s="348"/>
      <c r="D20" s="2548"/>
      <c r="E20" s="2552" t="s">
        <v>610</v>
      </c>
      <c r="F20" s="2552"/>
      <c r="G20" s="2552"/>
      <c r="H20" s="2552"/>
      <c r="I20" s="2552"/>
      <c r="J20" s="2552"/>
      <c r="K20" s="2552"/>
      <c r="L20" s="2552"/>
      <c r="M20" s="2552"/>
      <c r="N20" s="2552"/>
      <c r="O20" s="2552"/>
      <c r="P20" s="2552"/>
      <c r="Q20" s="494">
        <f>SUMIF(T21:T22,"i",Q21:Q22)</f>
        <v>0</v>
      </c>
      <c r="R20" s="940"/>
      <c r="S20" s="645" t="s">
        <v>611</v>
      </c>
      <c r="T20" s="653" t="s">
        <v>609</v>
      </c>
      <c r="U20" s="2460">
        <v>2</v>
      </c>
      <c r="V20" s="246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14" customFormat="1" ht="11.25" hidden="1" customHeight="1">
      <c r="A21" s="644"/>
      <c r="B21" s="447"/>
      <c r="C21" s="447"/>
      <c r="D21" s="2548"/>
      <c r="E21" s="571"/>
      <c r="F21" s="571">
        <v>0</v>
      </c>
      <c r="G21" s="571"/>
      <c r="H21" s="571"/>
      <c r="I21" s="571"/>
      <c r="J21" s="571"/>
      <c r="K21" s="571"/>
      <c r="L21" s="571"/>
      <c r="M21" s="571"/>
      <c r="N21" s="571"/>
      <c r="O21" s="571"/>
      <c r="P21" s="571"/>
      <c r="Q21" s="571"/>
      <c r="R21" s="571"/>
      <c r="S21" s="572"/>
      <c r="T21" s="654"/>
      <c r="U21" s="2460"/>
      <c r="V21" s="246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14" customFormat="1" ht="11.25" hidden="1" customHeight="1">
      <c r="A22" s="569"/>
      <c r="B22" s="353"/>
      <c r="C22" s="348"/>
      <c r="D22" s="2549"/>
      <c r="E22" s="585" t="s">
        <v>22</v>
      </c>
      <c r="F22" s="586" t="s">
        <v>22</v>
      </c>
      <c r="G22" s="586" t="s">
        <v>22</v>
      </c>
      <c r="H22" s="587" t="s">
        <v>22</v>
      </c>
      <c r="I22" s="587"/>
      <c r="J22" s="587"/>
      <c r="K22" s="587"/>
      <c r="L22" s="587"/>
      <c r="M22" s="587"/>
      <c r="N22" s="587"/>
      <c r="O22" s="587"/>
      <c r="P22" s="587"/>
      <c r="Q22" s="587"/>
      <c r="R22" s="588"/>
      <c r="S22" s="943"/>
      <c r="T22" s="654"/>
      <c r="U22" s="2460"/>
      <c r="V22" s="246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51"/>
      <c r="F27" s="2551"/>
      <c r="G27" s="2551"/>
      <c r="H27" s="2551"/>
      <c r="I27" s="2551"/>
      <c r="J27" s="2551"/>
      <c r="K27" s="2551"/>
      <c r="L27" s="2551"/>
      <c r="M27" s="2551"/>
      <c r="N27" s="2551"/>
      <c r="O27" s="2551"/>
      <c r="P27" s="2551"/>
      <c r="Q27" s="2551"/>
      <c r="R27" s="2551"/>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031" hidden="1" customWidth="1"/>
    <col min="6" max="6" width="16.85546875" style="2056" hidden="1" customWidth="1"/>
    <col min="7" max="7" width="5.5703125" style="2034" hidden="1" customWidth="1"/>
    <col min="8" max="8" width="3" style="2062" customWidth="1"/>
    <col min="9" max="9" width="7" style="2062" customWidth="1"/>
    <col min="10" max="10" width="56" style="2062" customWidth="1"/>
    <col min="11" max="11" width="10" style="2062" customWidth="1"/>
    <col min="12" max="12" width="40.5703125" style="2062" hidden="1" customWidth="1"/>
    <col min="13" max="13" width="40.7109375" style="2062" customWidth="1"/>
    <col min="14" max="14" width="9.7109375" style="2056" hidden="1" customWidth="1"/>
    <col min="15" max="15" width="102" style="2062" customWidth="1"/>
    <col min="16" max="16" width="9" style="2056" customWidth="1"/>
    <col min="17" max="17" width="5" style="2034" customWidth="1"/>
    <col min="18" max="18" width="3" style="2034" customWidth="1"/>
    <col min="19" max="22" width="3" style="2056" customWidth="1"/>
    <col min="23" max="23" width="10" style="2034" customWidth="1"/>
    <col min="24" max="24" width="34" style="2056" customWidth="1"/>
    <col min="25" max="25" width="9" style="2056" customWidth="1"/>
    <col min="26" max="26" width="8" style="2033" customWidth="1"/>
    <col min="27" max="31" width="8" style="2056" customWidth="1"/>
    <col min="32" max="36" width="8" style="2071" customWidth="1"/>
    <col min="37" max="37" width="5.42578125" style="2062" hidden="1" customWidth="1"/>
  </cols>
  <sheetData>
    <row r="1" spans="1:37" s="2056" customFormat="1" ht="33.75" hidden="1" customHeight="1">
      <c r="A1" s="911"/>
      <c r="B1" s="911"/>
      <c r="C1" s="911"/>
      <c r="D1" s="911"/>
      <c r="E1" s="911"/>
      <c r="G1" s="1554"/>
      <c r="H1" s="804"/>
      <c r="L1" s="1284">
        <v>4</v>
      </c>
      <c r="M1" s="1284">
        <v>4</v>
      </c>
      <c r="Q1" s="1554"/>
      <c r="R1" s="1554"/>
      <c r="W1" s="1554"/>
      <c r="AK1" s="1284" t="s">
        <v>14</v>
      </c>
    </row>
    <row r="2" spans="1:37" s="2056" customFormat="1" ht="78.75" hidden="1" customHeight="1">
      <c r="A2" s="911"/>
      <c r="B2" s="1965" t="s">
        <v>612</v>
      </c>
      <c r="C2" s="1965" t="s">
        <v>613</v>
      </c>
      <c r="D2" s="1964" t="s">
        <v>614</v>
      </c>
      <c r="E2" s="1968" t="e">
        <f>RIGHT(I2,LEN(I2)-SEARCH("#",SUBSTITUTE(I2,".","#",LEN(I2)-LEN(SUBSTITUTE(I2,".","")))))</f>
        <v>#VALUE!</v>
      </c>
      <c r="F2" s="1970">
        <f>J2</f>
        <v>0</v>
      </c>
      <c r="G2" s="1554"/>
      <c r="H2" s="1971"/>
      <c r="I2" s="1961"/>
      <c r="J2" s="476"/>
      <c r="K2" s="1931" t="s">
        <v>553</v>
      </c>
      <c r="L2" s="687"/>
      <c r="M2" s="687"/>
      <c r="N2" s="479"/>
      <c r="O2" s="1443" t="s">
        <v>554</v>
      </c>
      <c r="P2" s="479"/>
      <c r="Q2" s="1554"/>
      <c r="R2" s="1554"/>
      <c r="W2" s="1554"/>
      <c r="Z2" s="480"/>
      <c r="AF2" s="1550"/>
      <c r="AG2" s="1550"/>
      <c r="AH2" s="1550"/>
      <c r="AI2" s="1550"/>
      <c r="AJ2" s="1550"/>
      <c r="AK2" s="1284">
        <v>0</v>
      </c>
    </row>
    <row r="3" spans="1:37" ht="11.25" hidden="1" customHeight="1">
      <c r="E3" s="1963" t="s">
        <v>615</v>
      </c>
      <c r="L3" s="1549">
        <f>0</f>
        <v>0</v>
      </c>
      <c r="M3" s="1549">
        <v>1</v>
      </c>
      <c r="AK3" s="1549">
        <v>0</v>
      </c>
    </row>
    <row r="4" spans="1:37" s="2071" customFormat="1" ht="11.25" hidden="1" customHeight="1">
      <c r="A4" s="911"/>
      <c r="B4" s="911"/>
      <c r="C4" s="911"/>
      <c r="E4" s="911"/>
      <c r="F4" s="1284"/>
      <c r="G4" s="1554"/>
      <c r="H4" s="556"/>
      <c r="N4" s="1284"/>
      <c r="O4" s="1550">
        <v>4</v>
      </c>
      <c r="P4" s="1284"/>
      <c r="Q4" s="1554"/>
      <c r="R4" s="1554"/>
      <c r="S4" s="1284"/>
      <c r="T4" s="1284"/>
      <c r="U4" s="1284"/>
      <c r="V4" s="1284"/>
      <c r="W4" s="1554"/>
      <c r="X4" s="1284"/>
      <c r="Y4" s="1284"/>
      <c r="Z4" s="480"/>
      <c r="AA4" s="1284"/>
      <c r="AB4" s="1284"/>
      <c r="AC4" s="1284"/>
      <c r="AD4" s="1284"/>
      <c r="AE4" s="1284"/>
      <c r="AK4" s="1550">
        <v>0</v>
      </c>
    </row>
    <row r="5" spans="1:37" ht="11.45" customHeight="1">
      <c r="AK5" s="1549">
        <v>11</v>
      </c>
    </row>
    <row r="6" spans="1:37" ht="57.75" customHeight="1">
      <c r="I6" s="2386" t="s">
        <v>616</v>
      </c>
      <c r="J6" s="2386"/>
      <c r="K6" s="2386"/>
      <c r="L6" s="2386"/>
      <c r="M6" s="2386"/>
      <c r="O6" s="492"/>
      <c r="AK6" s="1549">
        <v>55</v>
      </c>
    </row>
    <row r="7" spans="1:37" ht="25.15" customHeight="1">
      <c r="I7" s="2409" t="str">
        <f>IF(org=0,"Не определено",org)</f>
        <v>ПАО "ТГК-1" филиал "Невский"</v>
      </c>
      <c r="J7" s="2409"/>
      <c r="K7" s="2409"/>
      <c r="L7" s="2409"/>
      <c r="M7" s="2409"/>
      <c r="AK7" s="1549">
        <v>24</v>
      </c>
    </row>
    <row r="8" spans="1:37" ht="11.45" customHeight="1">
      <c r="I8" s="1054"/>
      <c r="J8" s="1054"/>
      <c r="K8" s="1054"/>
      <c r="L8" s="1054"/>
      <c r="M8" s="1054"/>
      <c r="AK8" s="1549">
        <v>11</v>
      </c>
    </row>
    <row r="9" spans="1:37" s="2034" customFormat="1" ht="30" hidden="1" customHeight="1">
      <c r="A9" s="1085"/>
      <c r="B9" s="1085"/>
      <c r="C9" s="1085"/>
      <c r="E9" s="1085"/>
      <c r="H9" s="1560"/>
      <c r="L9" s="814"/>
      <c r="M9" s="814" t="s">
        <v>116</v>
      </c>
      <c r="AK9" s="1554">
        <v>1</v>
      </c>
    </row>
    <row r="10" spans="1:37" ht="11.45" customHeight="1">
      <c r="E10" s="1962" t="s">
        <v>617</v>
      </c>
      <c r="I10" s="647"/>
      <c r="J10" s="2543" t="s">
        <v>104</v>
      </c>
      <c r="K10" s="2544"/>
      <c r="L10" s="1941" t="str">
        <f>IF(L9="","",INDEX(DIFFERENTIATION_UNMERGE_VD,MATCH(L9,DIFFERENTIATION_ID_DIFF,0)))</f>
        <v/>
      </c>
      <c r="M10" s="1941">
        <f>IF(M9="","",INDEX(DIFFERENTIATION_UNMERGE_VD,MATCH(M9,DIFFERENTIATION_ID_DIFF,0)))</f>
        <v>0</v>
      </c>
      <c r="O10" s="2328" t="s">
        <v>298</v>
      </c>
      <c r="AK10" s="1549">
        <v>11</v>
      </c>
    </row>
    <row r="11" spans="1:37" ht="11.45" customHeight="1">
      <c r="E11" s="1962" t="s">
        <v>618</v>
      </c>
      <c r="I11" s="647"/>
      <c r="J11" s="2543" t="s">
        <v>561</v>
      </c>
      <c r="K11" s="2544"/>
      <c r="L11" s="1941" t="str">
        <f>IF(L9="","",INDEX(DIFFERENTIATION_UNMERGE_AREA,MATCH(L9,DIFFERENTIATION_ID_DIFF,0)))</f>
        <v/>
      </c>
      <c r="M11" s="1941" t="str">
        <f>IF(M9="","",INDEX(DIFFERENTIATION_UNMERGE_AREA,MATCH(M9,DIFFERENTIATION_ID_DIFF,0)))</f>
        <v/>
      </c>
      <c r="O11" s="2328"/>
      <c r="AK11" s="1549">
        <v>11</v>
      </c>
    </row>
    <row r="12" spans="1:37" ht="11.45" customHeight="1">
      <c r="E12" s="1962" t="s">
        <v>619</v>
      </c>
      <c r="I12" s="1580"/>
      <c r="J12" s="2543" t="s">
        <v>562</v>
      </c>
      <c r="K12" s="2544"/>
      <c r="L12" s="1941" t="str">
        <f>IF(L9="","",INDEX(DIFFERENTIATION_UNMERGE_SYSTEM,MATCH(L9,DIFFERENTIATION_ID_DIFF,0)))</f>
        <v/>
      </c>
      <c r="M12" s="1941" t="str">
        <f>IF(M9="","",INDEX(DIFFERENTIATION_UNMERGE_SYSTEM,MATCH(M9,DIFFERENTIATION_ID_DIFF,0)))</f>
        <v>без дифференциации</v>
      </c>
      <c r="O12" s="2328"/>
      <c r="AK12" s="1549">
        <v>11</v>
      </c>
    </row>
    <row r="13" spans="1:37" ht="11.45" customHeight="1">
      <c r="E13" s="1962" t="s">
        <v>620</v>
      </c>
      <c r="F13" s="1962" t="s">
        <v>621</v>
      </c>
      <c r="I13" s="2545" t="s">
        <v>297</v>
      </c>
      <c r="J13" s="2546"/>
      <c r="K13" s="2546"/>
      <c r="L13" s="1939"/>
      <c r="M13" s="1979"/>
      <c r="O13" s="2328"/>
      <c r="AK13" s="1549">
        <v>11</v>
      </c>
    </row>
    <row r="14" spans="1:37" ht="24" customHeight="1">
      <c r="I14" s="1932" t="s">
        <v>90</v>
      </c>
      <c r="J14" s="1932" t="s">
        <v>299</v>
      </c>
      <c r="K14" s="1932" t="s">
        <v>563</v>
      </c>
      <c r="L14" s="1972" t="s">
        <v>300</v>
      </c>
      <c r="M14" s="1973" t="s">
        <v>300</v>
      </c>
      <c r="O14" s="2328"/>
      <c r="AK14" s="1549">
        <v>23</v>
      </c>
    </row>
    <row r="15" spans="1:37" ht="24" customHeight="1">
      <c r="A15" s="1966"/>
      <c r="B15" s="1965" t="s">
        <v>622</v>
      </c>
      <c r="C15" s="1965" t="s">
        <v>623</v>
      </c>
      <c r="D15" s="1964" t="s">
        <v>624</v>
      </c>
      <c r="E15" s="1968" t="s">
        <v>625</v>
      </c>
      <c r="F15" s="1968" t="s">
        <v>625</v>
      </c>
      <c r="G15" s="1554" t="s">
        <v>585</v>
      </c>
      <c r="H15" s="1933"/>
      <c r="I15" s="1548">
        <v>1</v>
      </c>
      <c r="J15" s="1934" t="s">
        <v>626</v>
      </c>
      <c r="K15" s="1932" t="s">
        <v>303</v>
      </c>
      <c r="L15" s="598"/>
      <c r="M15" s="748"/>
      <c r="N15" s="479" t="s">
        <v>627</v>
      </c>
      <c r="O15" s="1443" t="s">
        <v>628</v>
      </c>
      <c r="P15" s="479" t="s">
        <v>627</v>
      </c>
      <c r="AK15" s="1549">
        <v>23</v>
      </c>
    </row>
    <row r="16" spans="1:37" ht="35.65" customHeight="1">
      <c r="A16" s="1966"/>
      <c r="B16" s="1965" t="s">
        <v>629</v>
      </c>
      <c r="C16" s="1965" t="s">
        <v>630</v>
      </c>
      <c r="D16" s="1964" t="s">
        <v>614</v>
      </c>
      <c r="E16" s="1968" t="s">
        <v>625</v>
      </c>
      <c r="F16" s="1968" t="s">
        <v>625</v>
      </c>
      <c r="H16" s="1933"/>
      <c r="I16" s="1547">
        <v>2</v>
      </c>
      <c r="J16" s="1975" t="s">
        <v>631</v>
      </c>
      <c r="K16" s="1974" t="s">
        <v>553</v>
      </c>
      <c r="L16" s="1980"/>
      <c r="M16" s="1594"/>
      <c r="N16" s="479" t="s">
        <v>627</v>
      </c>
      <c r="O16" s="1443" t="s">
        <v>632</v>
      </c>
      <c r="P16" s="479" t="s">
        <v>627</v>
      </c>
      <c r="AK16" s="1549">
        <v>34</v>
      </c>
    </row>
    <row r="17" spans="1:37" s="2034" customFormat="1" ht="17.25" hidden="1" customHeight="1">
      <c r="A17" s="1085"/>
      <c r="B17" s="1085"/>
      <c r="C17" s="1085"/>
      <c r="D17" s="1085"/>
      <c r="E17" s="1085"/>
      <c r="H17" s="1242"/>
      <c r="I17" s="936" t="s">
        <v>633</v>
      </c>
      <c r="J17" s="915"/>
      <c r="K17" s="936"/>
      <c r="L17" s="916"/>
      <c r="M17" s="916"/>
      <c r="O17" s="1303"/>
      <c r="AK17" s="1554">
        <v>1</v>
      </c>
    </row>
    <row r="18" spans="1:37" s="2056" customFormat="1" ht="24" customHeight="1">
      <c r="A18" s="911"/>
      <c r="B18" s="911"/>
      <c r="C18" s="911"/>
      <c r="D18" s="911"/>
      <c r="E18" s="911"/>
      <c r="G18" s="1554"/>
      <c r="H18" s="1551"/>
      <c r="I18" s="506"/>
      <c r="J18" s="507" t="s">
        <v>583</v>
      </c>
      <c r="K18" s="508"/>
      <c r="L18" s="1982"/>
      <c r="M18" s="509"/>
      <c r="N18" s="479"/>
      <c r="O18" s="1443" t="s">
        <v>584</v>
      </c>
      <c r="P18" s="479"/>
      <c r="Q18" s="1554"/>
      <c r="R18" s="1554"/>
      <c r="W18" s="1554"/>
      <c r="Z18" s="480"/>
      <c r="AF18" s="1550"/>
      <c r="AG18" s="1550"/>
      <c r="AH18" s="1550"/>
      <c r="AI18" s="1550"/>
      <c r="AJ18" s="1550"/>
      <c r="AK18" s="1284">
        <v>23</v>
      </c>
    </row>
    <row r="19" spans="1:37" ht="19.899999999999999" customHeight="1">
      <c r="A19" s="1966"/>
      <c r="B19" s="1965" t="s">
        <v>634</v>
      </c>
      <c r="C19" s="1965" t="s">
        <v>635</v>
      </c>
      <c r="D19" s="1964" t="s">
        <v>614</v>
      </c>
      <c r="E19" s="1968" t="s">
        <v>625</v>
      </c>
      <c r="F19" s="1968" t="s">
        <v>625</v>
      </c>
      <c r="H19" s="1933"/>
      <c r="I19" s="1582">
        <v>3</v>
      </c>
      <c r="J19" s="1934" t="s">
        <v>635</v>
      </c>
      <c r="K19" s="1930" t="s">
        <v>553</v>
      </c>
      <c r="L19" s="663"/>
      <c r="M19" s="493"/>
      <c r="N19" s="479"/>
      <c r="O19" s="1443" t="s">
        <v>636</v>
      </c>
      <c r="P19" s="479"/>
      <c r="AK19" s="1549">
        <v>19</v>
      </c>
    </row>
    <row r="20" spans="1:37" ht="77.650000000000006" customHeight="1">
      <c r="A20" s="1966"/>
      <c r="B20" s="1965" t="s">
        <v>637</v>
      </c>
      <c r="C20" s="1965" t="s">
        <v>638</v>
      </c>
      <c r="D20" s="1964" t="s">
        <v>614</v>
      </c>
      <c r="E20" s="1968" t="s">
        <v>625</v>
      </c>
      <c r="F20" s="1968" t="s">
        <v>625</v>
      </c>
      <c r="H20" s="1933"/>
      <c r="I20" s="1582">
        <v>4</v>
      </c>
      <c r="J20" s="1934" t="s">
        <v>639</v>
      </c>
      <c r="K20" s="1930" t="s">
        <v>580</v>
      </c>
      <c r="L20" s="663"/>
      <c r="M20" s="493"/>
      <c r="N20" s="479"/>
      <c r="O20" s="1443"/>
      <c r="P20" s="479"/>
      <c r="AK20" s="1549">
        <v>74</v>
      </c>
    </row>
    <row r="21" spans="1:37" ht="35.65" customHeight="1">
      <c r="A21" s="1966"/>
      <c r="B21" s="1965" t="s">
        <v>640</v>
      </c>
      <c r="C21" s="1965" t="s">
        <v>641</v>
      </c>
      <c r="D21" s="1964" t="s">
        <v>614</v>
      </c>
      <c r="E21" s="1968" t="s">
        <v>625</v>
      </c>
      <c r="F21" s="1968" t="s">
        <v>625</v>
      </c>
      <c r="H21" s="1933"/>
      <c r="I21" s="1582">
        <v>5</v>
      </c>
      <c r="J21" s="1934" t="s">
        <v>642</v>
      </c>
      <c r="K21" s="1930" t="s">
        <v>580</v>
      </c>
      <c r="L21" s="663"/>
      <c r="M21" s="493"/>
      <c r="N21" s="479"/>
      <c r="O21" s="1443" t="s">
        <v>636</v>
      </c>
      <c r="P21" s="479"/>
      <c r="AK21" s="1549">
        <v>34</v>
      </c>
    </row>
    <row r="22" spans="1:37" ht="48.2" customHeight="1">
      <c r="A22" s="1966"/>
      <c r="B22" s="1965" t="s">
        <v>643</v>
      </c>
      <c r="C22" s="1965" t="s">
        <v>644</v>
      </c>
      <c r="D22" s="1964" t="s">
        <v>614</v>
      </c>
      <c r="E22" s="1968" t="s">
        <v>625</v>
      </c>
      <c r="F22" s="1968" t="s">
        <v>625</v>
      </c>
      <c r="H22" s="1933"/>
      <c r="I22" s="1582">
        <v>6</v>
      </c>
      <c r="J22" s="1934" t="s">
        <v>645</v>
      </c>
      <c r="K22" s="1930" t="s">
        <v>580</v>
      </c>
      <c r="L22" s="663"/>
      <c r="M22" s="493"/>
      <c r="N22" s="479"/>
      <c r="O22" s="1443" t="s">
        <v>646</v>
      </c>
      <c r="P22" s="479"/>
      <c r="AK22" s="1549">
        <v>46</v>
      </c>
    </row>
    <row r="23" spans="1:37" ht="19.899999999999999" customHeight="1">
      <c r="A23" s="1966"/>
      <c r="B23" s="1965" t="s">
        <v>647</v>
      </c>
      <c r="C23" s="1965" t="s">
        <v>648</v>
      </c>
      <c r="D23" s="1964" t="s">
        <v>614</v>
      </c>
      <c r="E23" s="1968" t="s">
        <v>625</v>
      </c>
      <c r="F23" s="1968" t="s">
        <v>625</v>
      </c>
      <c r="H23" s="1933"/>
      <c r="I23" s="1582" t="s">
        <v>649</v>
      </c>
      <c r="J23" s="1442" t="s">
        <v>650</v>
      </c>
      <c r="K23" s="1930" t="s">
        <v>580</v>
      </c>
      <c r="L23" s="663"/>
      <c r="M23" s="493"/>
      <c r="N23" s="479"/>
      <c r="O23" s="1443" t="s">
        <v>636</v>
      </c>
      <c r="P23" s="479"/>
      <c r="AK23" s="1549">
        <v>19</v>
      </c>
    </row>
    <row r="24" spans="1:37" ht="19.899999999999999" customHeight="1">
      <c r="A24" s="1966"/>
      <c r="B24" s="1965" t="s">
        <v>651</v>
      </c>
      <c r="C24" s="1965" t="s">
        <v>652</v>
      </c>
      <c r="D24" s="1964" t="s">
        <v>614</v>
      </c>
      <c r="E24" s="1968" t="s">
        <v>625</v>
      </c>
      <c r="F24" s="1968" t="s">
        <v>625</v>
      </c>
      <c r="H24" s="1933"/>
      <c r="I24" s="1582" t="s">
        <v>653</v>
      </c>
      <c r="J24" s="1442" t="s">
        <v>654</v>
      </c>
      <c r="K24" s="1930" t="s">
        <v>580</v>
      </c>
      <c r="L24" s="663"/>
      <c r="M24" s="493"/>
      <c r="N24" s="479"/>
      <c r="O24" s="1443"/>
      <c r="P24" s="479"/>
      <c r="AK24" s="1549">
        <v>19</v>
      </c>
    </row>
    <row r="25" spans="1:37" ht="24" customHeight="1">
      <c r="A25" s="1966"/>
      <c r="B25" s="1965" t="s">
        <v>655</v>
      </c>
      <c r="C25" s="1965" t="s">
        <v>656</v>
      </c>
      <c r="D25" s="1964" t="s">
        <v>614</v>
      </c>
      <c r="E25" s="1968" t="s">
        <v>625</v>
      </c>
      <c r="F25" s="1968" t="s">
        <v>625</v>
      </c>
      <c r="H25" s="1933"/>
      <c r="I25" s="1582" t="s">
        <v>657</v>
      </c>
      <c r="J25" s="1442" t="s">
        <v>658</v>
      </c>
      <c r="K25" s="1930" t="s">
        <v>580</v>
      </c>
      <c r="L25" s="663"/>
      <c r="M25" s="493"/>
      <c r="N25" s="479"/>
      <c r="O25" s="1443"/>
      <c r="P25" s="479"/>
      <c r="AK25" s="1549">
        <v>23</v>
      </c>
    </row>
    <row r="26" spans="1:37" ht="24" customHeight="1">
      <c r="A26" s="1966"/>
      <c r="B26" s="1965" t="s">
        <v>659</v>
      </c>
      <c r="C26" s="1965" t="s">
        <v>660</v>
      </c>
      <c r="D26" s="1964" t="s">
        <v>614</v>
      </c>
      <c r="E26" s="1968" t="s">
        <v>625</v>
      </c>
      <c r="F26" s="1968" t="s">
        <v>625</v>
      </c>
      <c r="H26" s="1933"/>
      <c r="I26" s="1582">
        <v>7</v>
      </c>
      <c r="J26" s="1934" t="s">
        <v>660</v>
      </c>
      <c r="K26" s="1930" t="s">
        <v>661</v>
      </c>
      <c r="L26" s="663"/>
      <c r="M26" s="493"/>
      <c r="N26" s="479"/>
      <c r="O26" s="1443"/>
      <c r="P26" s="479"/>
      <c r="AK26" s="1549">
        <v>23</v>
      </c>
    </row>
    <row r="27" spans="1:37" ht="24" customHeight="1">
      <c r="A27" s="1966"/>
      <c r="B27" s="1965" t="s">
        <v>662</v>
      </c>
      <c r="C27" s="1965" t="s">
        <v>663</v>
      </c>
      <c r="D27" s="1964" t="s">
        <v>614</v>
      </c>
      <c r="E27" s="1968" t="s">
        <v>625</v>
      </c>
      <c r="F27" s="1968" t="s">
        <v>625</v>
      </c>
      <c r="H27" s="1933"/>
      <c r="I27" s="1582">
        <v>8</v>
      </c>
      <c r="J27" s="1934" t="s">
        <v>663</v>
      </c>
      <c r="K27" s="1930" t="s">
        <v>586</v>
      </c>
      <c r="L27" s="663"/>
      <c r="M27" s="493"/>
      <c r="N27" s="479"/>
      <c r="O27" s="1443"/>
      <c r="P27" s="479"/>
      <c r="AK27" s="1549">
        <v>23</v>
      </c>
    </row>
    <row r="28" spans="1:37" ht="35.65" customHeight="1">
      <c r="A28" s="1966"/>
      <c r="B28" s="1965" t="s">
        <v>664</v>
      </c>
      <c r="C28" s="1965" t="s">
        <v>665</v>
      </c>
      <c r="D28" s="1964" t="s">
        <v>614</v>
      </c>
      <c r="E28" s="1968" t="s">
        <v>625</v>
      </c>
      <c r="F28" s="1968" t="s">
        <v>625</v>
      </c>
      <c r="H28" s="1933"/>
      <c r="I28" s="1593">
        <v>9</v>
      </c>
      <c r="J28" s="1934" t="s">
        <v>666</v>
      </c>
      <c r="K28" s="1930" t="s">
        <v>557</v>
      </c>
      <c r="L28" s="663"/>
      <c r="M28" s="493"/>
      <c r="N28" s="479"/>
      <c r="O28" s="1443"/>
      <c r="P28" s="479"/>
      <c r="AK28" s="1549">
        <v>34</v>
      </c>
    </row>
    <row r="29" spans="1:37" ht="35.65" customHeight="1">
      <c r="A29" s="1966"/>
      <c r="B29" s="1965" t="s">
        <v>667</v>
      </c>
      <c r="C29" s="1965" t="s">
        <v>668</v>
      </c>
      <c r="D29" s="1964" t="s">
        <v>614</v>
      </c>
      <c r="E29" s="1968" t="s">
        <v>625</v>
      </c>
      <c r="F29" s="1968" t="s">
        <v>625</v>
      </c>
      <c r="H29" s="1933"/>
      <c r="I29" s="1593">
        <v>10</v>
      </c>
      <c r="J29" s="1934" t="s">
        <v>669</v>
      </c>
      <c r="K29" s="1930" t="s">
        <v>557</v>
      </c>
      <c r="L29" s="663"/>
      <c r="M29" s="493"/>
      <c r="N29" s="479"/>
      <c r="O29" s="1443"/>
      <c r="P29" s="479"/>
      <c r="AK29" s="1549">
        <v>34</v>
      </c>
    </row>
    <row r="30" spans="1:37" ht="24" customHeight="1">
      <c r="A30" s="1966"/>
      <c r="B30" s="1965" t="s">
        <v>670</v>
      </c>
      <c r="C30" s="1965" t="s">
        <v>671</v>
      </c>
      <c r="D30" s="1964" t="s">
        <v>614</v>
      </c>
      <c r="E30" s="1968" t="s">
        <v>625</v>
      </c>
      <c r="F30" s="1968" t="s">
        <v>625</v>
      </c>
      <c r="H30" s="1933"/>
      <c r="I30" s="1593">
        <v>11</v>
      </c>
      <c r="J30" s="1934" t="s">
        <v>671</v>
      </c>
      <c r="K30" s="1930" t="s">
        <v>587</v>
      </c>
      <c r="L30" s="1981"/>
      <c r="M30" s="1539"/>
      <c r="N30" s="479"/>
      <c r="O30" s="1443"/>
      <c r="P30" s="479"/>
      <c r="AK30" s="1549">
        <v>23</v>
      </c>
    </row>
    <row r="31" spans="1:37" ht="24" customHeight="1">
      <c r="A31" s="1966"/>
      <c r="B31" s="1965" t="s">
        <v>672</v>
      </c>
      <c r="C31" s="1965" t="s">
        <v>673</v>
      </c>
      <c r="D31" s="1964" t="s">
        <v>614</v>
      </c>
      <c r="E31" s="1968" t="s">
        <v>625</v>
      </c>
      <c r="F31" s="1968" t="s">
        <v>625</v>
      </c>
      <c r="H31" s="1933"/>
      <c r="I31" s="1593">
        <v>12</v>
      </c>
      <c r="J31" s="1934" t="s">
        <v>673</v>
      </c>
      <c r="K31" s="1930" t="s">
        <v>587</v>
      </c>
      <c r="L31" s="1981"/>
      <c r="M31" s="1539"/>
      <c r="N31" s="479"/>
      <c r="O31" s="1443"/>
      <c r="P31" s="479"/>
      <c r="AK31" s="1549">
        <v>23</v>
      </c>
    </row>
    <row r="32" spans="1:37" ht="48.2" customHeight="1">
      <c r="A32" s="1966"/>
      <c r="B32" s="1965" t="s">
        <v>674</v>
      </c>
      <c r="C32" s="1965" t="s">
        <v>675</v>
      </c>
      <c r="D32" s="1964" t="s">
        <v>614</v>
      </c>
      <c r="E32" s="1968" t="s">
        <v>625</v>
      </c>
      <c r="F32" s="1968" t="s">
        <v>625</v>
      </c>
      <c r="H32" s="1933"/>
      <c r="I32" s="1593">
        <v>13</v>
      </c>
      <c r="J32" s="1934" t="s">
        <v>676</v>
      </c>
      <c r="K32" s="1930" t="s">
        <v>597</v>
      </c>
      <c r="L32" s="663"/>
      <c r="M32" s="493"/>
      <c r="N32" s="479"/>
      <c r="O32" s="1443" t="s">
        <v>636</v>
      </c>
      <c r="P32" s="479"/>
      <c r="AK32" s="1549">
        <v>46</v>
      </c>
    </row>
    <row r="33" spans="1:37" s="2056" customFormat="1" ht="48.2" customHeight="1">
      <c r="A33" s="1966"/>
      <c r="B33" s="1965" t="s">
        <v>677</v>
      </c>
      <c r="C33" s="1965" t="s">
        <v>678</v>
      </c>
      <c r="D33" s="1964" t="s">
        <v>614</v>
      </c>
      <c r="E33" s="1968" t="s">
        <v>625</v>
      </c>
      <c r="F33" s="1968" t="s">
        <v>625</v>
      </c>
      <c r="G33" s="1554"/>
      <c r="H33" s="1933"/>
      <c r="I33" s="1593">
        <v>14</v>
      </c>
      <c r="J33" s="1946" t="s">
        <v>679</v>
      </c>
      <c r="K33" s="1935" t="s">
        <v>680</v>
      </c>
      <c r="L33" s="663"/>
      <c r="M33" s="493"/>
      <c r="N33" s="479"/>
      <c r="O33" s="1443" t="s">
        <v>636</v>
      </c>
      <c r="P33" s="479"/>
      <c r="Q33" s="1554"/>
      <c r="R33" s="1554"/>
      <c r="W33" s="1554"/>
      <c r="Z33" s="480"/>
      <c r="AF33" s="1550"/>
      <c r="AG33" s="1550"/>
      <c r="AH33" s="1550"/>
      <c r="AI33" s="1550"/>
      <c r="AJ33" s="1550"/>
      <c r="AK33" s="1284">
        <v>46</v>
      </c>
    </row>
    <row r="34" spans="1:37" ht="108" customHeight="1">
      <c r="A34" s="1966"/>
      <c r="B34" s="1965" t="s">
        <v>681</v>
      </c>
      <c r="C34" s="1965" t="s">
        <v>682</v>
      </c>
      <c r="D34" s="1964" t="s">
        <v>624</v>
      </c>
      <c r="E34" s="1968" t="s">
        <v>625</v>
      </c>
      <c r="F34" s="1968" t="s">
        <v>625</v>
      </c>
      <c r="G34" s="1554" t="s">
        <v>585</v>
      </c>
      <c r="H34" s="1933"/>
      <c r="I34" s="1944">
        <v>15</v>
      </c>
      <c r="J34" s="1945" t="s">
        <v>683</v>
      </c>
      <c r="K34" s="1930" t="s">
        <v>303</v>
      </c>
      <c r="L34" s="321"/>
      <c r="M34" s="1082"/>
      <c r="N34" s="479"/>
      <c r="O34" s="1443" t="s">
        <v>628</v>
      </c>
      <c r="P34" s="479"/>
      <c r="AK34" s="1549">
        <v>103</v>
      </c>
    </row>
    <row r="35" spans="1:37" s="2028" customFormat="1" ht="11.45" customHeight="1">
      <c r="A35" s="911"/>
      <c r="B35" s="911"/>
      <c r="C35" s="911"/>
      <c r="D35" s="911"/>
      <c r="E35" s="911"/>
      <c r="F35" s="1554"/>
      <c r="G35" s="1554"/>
      <c r="H35" s="287"/>
      <c r="N35" s="1284"/>
      <c r="P35" s="1284"/>
      <c r="Q35" s="1554"/>
      <c r="R35" s="1554"/>
      <c r="S35" s="1284"/>
      <c r="T35" s="1284"/>
      <c r="U35" s="1284"/>
      <c r="V35" s="1284"/>
      <c r="W35" s="1554"/>
      <c r="X35" s="1284"/>
      <c r="Y35" s="1284"/>
      <c r="Z35" s="480"/>
      <c r="AA35" s="1284"/>
      <c r="AB35" s="1284"/>
      <c r="AC35" s="1284"/>
      <c r="AD35" s="1284"/>
      <c r="AE35" s="1284"/>
      <c r="AF35" s="1550"/>
      <c r="AG35" s="558"/>
      <c r="AH35" s="558"/>
      <c r="AI35" s="558"/>
      <c r="AJ35" s="558"/>
      <c r="AK35" s="1559">
        <v>11</v>
      </c>
    </row>
    <row r="36" spans="1:37" s="2028" customFormat="1" ht="11.45" customHeight="1">
      <c r="A36" s="911"/>
      <c r="B36" s="911"/>
      <c r="C36" s="911"/>
      <c r="D36" s="911"/>
      <c r="E36" s="911"/>
      <c r="F36" s="1554"/>
      <c r="G36" s="1554"/>
      <c r="H36" s="287"/>
      <c r="N36" s="1284"/>
      <c r="P36" s="1284"/>
      <c r="Q36" s="1554"/>
      <c r="R36" s="1554"/>
      <c r="S36" s="1284"/>
      <c r="T36" s="1284"/>
      <c r="U36" s="1284"/>
      <c r="V36" s="1284"/>
      <c r="W36" s="1554"/>
      <c r="X36" s="1284"/>
      <c r="Y36" s="1284"/>
      <c r="Z36" s="480"/>
      <c r="AA36" s="1284"/>
      <c r="AB36" s="1284"/>
      <c r="AC36" s="1284"/>
      <c r="AD36" s="1284"/>
      <c r="AE36" s="1284"/>
      <c r="AF36" s="1550"/>
      <c r="AG36" s="558"/>
      <c r="AH36" s="558"/>
      <c r="AI36" s="558"/>
      <c r="AJ36" s="558"/>
      <c r="AK36" s="1559">
        <v>11</v>
      </c>
    </row>
    <row r="37" spans="1:37" s="2028" customFormat="1" ht="11.45" customHeight="1">
      <c r="A37" s="911"/>
      <c r="B37" s="911"/>
      <c r="C37" s="911"/>
      <c r="D37" s="911"/>
      <c r="E37" s="911"/>
      <c r="F37" s="1554"/>
      <c r="G37" s="1554"/>
      <c r="H37" s="287"/>
      <c r="L37" s="558"/>
      <c r="M37" s="558"/>
      <c r="N37" s="1284"/>
      <c r="P37" s="1284"/>
      <c r="Q37" s="1554"/>
      <c r="R37" s="1554"/>
      <c r="S37" s="1284"/>
      <c r="T37" s="1284"/>
      <c r="U37" s="1284"/>
      <c r="V37" s="1284"/>
      <c r="W37" s="1554"/>
      <c r="X37" s="1284"/>
      <c r="Y37" s="1284"/>
      <c r="Z37" s="480"/>
      <c r="AA37" s="1284"/>
      <c r="AB37" s="1284"/>
      <c r="AC37" s="1284"/>
      <c r="AD37" s="1284"/>
      <c r="AE37" s="1284"/>
      <c r="AF37" s="1550"/>
      <c r="AG37" s="558"/>
      <c r="AH37" s="558"/>
      <c r="AI37" s="558"/>
      <c r="AJ37" s="558"/>
      <c r="AK37" s="1559">
        <v>11</v>
      </c>
    </row>
    <row r="38" spans="1:37" s="2028" customFormat="1" ht="11.45" customHeight="1">
      <c r="A38" s="911"/>
      <c r="B38" s="911"/>
      <c r="C38" s="911"/>
      <c r="D38" s="911"/>
      <c r="E38" s="911"/>
      <c r="F38" s="1554"/>
      <c r="G38" s="1554"/>
      <c r="H38" s="287"/>
      <c r="N38" s="1284"/>
      <c r="P38" s="1284"/>
      <c r="Q38" s="1554"/>
      <c r="R38" s="1554"/>
      <c r="S38" s="1284"/>
      <c r="T38" s="1284"/>
      <c r="U38" s="1284"/>
      <c r="V38" s="1284"/>
      <c r="W38" s="1554"/>
      <c r="X38" s="1284"/>
      <c r="Y38" s="1284"/>
      <c r="Z38" s="480"/>
      <c r="AA38" s="1284"/>
      <c r="AB38" s="1284"/>
      <c r="AC38" s="1284"/>
      <c r="AD38" s="1284"/>
      <c r="AE38" s="1284"/>
      <c r="AF38" s="1550"/>
      <c r="AG38" s="558"/>
      <c r="AH38" s="558"/>
      <c r="AI38" s="558"/>
      <c r="AJ38" s="558"/>
      <c r="AK38" s="1559">
        <v>11</v>
      </c>
    </row>
    <row r="39" spans="1:37" s="2028" customFormat="1" ht="11.45" customHeight="1">
      <c r="A39" s="911"/>
      <c r="B39" s="911"/>
      <c r="C39" s="911"/>
      <c r="D39" s="911"/>
      <c r="E39" s="911"/>
      <c r="F39" s="1554"/>
      <c r="G39" s="1554"/>
      <c r="H39" s="287"/>
      <c r="N39" s="1284"/>
      <c r="P39" s="1284"/>
      <c r="Q39" s="1554"/>
      <c r="R39" s="1554"/>
      <c r="S39" s="1284"/>
      <c r="T39" s="1284"/>
      <c r="U39" s="1284"/>
      <c r="V39" s="1284"/>
      <c r="W39" s="1554"/>
      <c r="X39" s="1284"/>
      <c r="Y39" s="1284"/>
      <c r="Z39" s="480"/>
      <c r="AA39" s="1284"/>
      <c r="AB39" s="1284"/>
      <c r="AC39" s="1284"/>
      <c r="AD39" s="1284"/>
      <c r="AE39" s="1284"/>
      <c r="AF39" s="1550"/>
      <c r="AG39" s="558"/>
      <c r="AH39" s="558"/>
      <c r="AI39" s="558"/>
      <c r="AJ39" s="558"/>
      <c r="AK39" s="1559">
        <v>11</v>
      </c>
    </row>
    <row r="40" spans="1:37" s="2028" customFormat="1" ht="11.45" customHeight="1">
      <c r="A40" s="911"/>
      <c r="B40" s="911"/>
      <c r="C40" s="911"/>
      <c r="D40" s="911"/>
      <c r="E40" s="911"/>
      <c r="F40" s="1554"/>
      <c r="G40" s="1554"/>
      <c r="H40" s="287"/>
      <c r="N40" s="1284"/>
      <c r="P40" s="1284"/>
      <c r="Q40" s="1554"/>
      <c r="R40" s="1554"/>
      <c r="S40" s="1284"/>
      <c r="T40" s="1284"/>
      <c r="U40" s="1284"/>
      <c r="V40" s="1284"/>
      <c r="W40" s="1554"/>
      <c r="X40" s="1284"/>
      <c r="Y40" s="1284"/>
      <c r="Z40" s="480"/>
      <c r="AA40" s="1284"/>
      <c r="AB40" s="1284"/>
      <c r="AC40" s="1284"/>
      <c r="AD40" s="1284"/>
      <c r="AE40" s="1284"/>
      <c r="AF40" s="1550"/>
      <c r="AG40" s="558"/>
      <c r="AH40" s="558"/>
      <c r="AI40" s="558"/>
      <c r="AJ40" s="558"/>
      <c r="AK40" s="1559">
        <v>11</v>
      </c>
    </row>
    <row r="41" spans="1:37" s="2028" customFormat="1" ht="11.45" customHeight="1">
      <c r="A41" s="911"/>
      <c r="B41" s="911"/>
      <c r="C41" s="911"/>
      <c r="D41" s="911"/>
      <c r="E41" s="911"/>
      <c r="F41" s="1554"/>
      <c r="G41" s="1554"/>
      <c r="H41" s="287"/>
      <c r="N41" s="1284"/>
      <c r="P41" s="1284"/>
      <c r="Q41" s="1554"/>
      <c r="R41" s="1554"/>
      <c r="S41" s="1284"/>
      <c r="T41" s="1284"/>
      <c r="U41" s="1284"/>
      <c r="V41" s="1284"/>
      <c r="W41" s="1554"/>
      <c r="X41" s="1284"/>
      <c r="Y41" s="1284"/>
      <c r="Z41" s="480"/>
      <c r="AA41" s="1284"/>
      <c r="AB41" s="1284"/>
      <c r="AC41" s="1284"/>
      <c r="AD41" s="1284"/>
      <c r="AE41" s="1284"/>
      <c r="AF41" s="1550"/>
      <c r="AG41" s="558"/>
      <c r="AH41" s="558"/>
      <c r="AI41" s="558"/>
      <c r="AJ41" s="558"/>
      <c r="AK41" s="1559">
        <v>11</v>
      </c>
    </row>
    <row r="42" spans="1:37" s="2028" customFormat="1" ht="11.45" customHeight="1">
      <c r="A42" s="911"/>
      <c r="B42" s="911"/>
      <c r="C42" s="911"/>
      <c r="D42" s="911"/>
      <c r="E42" s="911"/>
      <c r="F42" s="1554"/>
      <c r="G42" s="1554"/>
      <c r="H42" s="287"/>
      <c r="N42" s="1284"/>
      <c r="P42" s="1284"/>
      <c r="Q42" s="1554"/>
      <c r="R42" s="1554"/>
      <c r="S42" s="1284"/>
      <c r="T42" s="1284"/>
      <c r="U42" s="1284"/>
      <c r="V42" s="1284"/>
      <c r="W42" s="1554"/>
      <c r="X42" s="1284"/>
      <c r="Y42" s="1284"/>
      <c r="Z42" s="480"/>
      <c r="AA42" s="1284"/>
      <c r="AB42" s="1284"/>
      <c r="AC42" s="1284"/>
      <c r="AD42" s="1284"/>
      <c r="AE42" s="1284"/>
      <c r="AF42" s="1550"/>
      <c r="AG42" s="558"/>
      <c r="AH42" s="558"/>
      <c r="AI42" s="558"/>
      <c r="AJ42" s="558"/>
      <c r="AK42" s="1559">
        <v>11</v>
      </c>
    </row>
    <row r="43" spans="1:37" s="2028" customFormat="1" ht="11.45" customHeight="1">
      <c r="A43" s="911"/>
      <c r="B43" s="911"/>
      <c r="C43" s="911"/>
      <c r="D43" s="911"/>
      <c r="E43" s="911"/>
      <c r="F43" s="1554"/>
      <c r="G43" s="1554"/>
      <c r="H43" s="287"/>
      <c r="N43" s="1284"/>
      <c r="P43" s="1284"/>
      <c r="Q43" s="1554"/>
      <c r="R43" s="1554"/>
      <c r="S43" s="1284"/>
      <c r="T43" s="1284"/>
      <c r="U43" s="1284"/>
      <c r="V43" s="1284"/>
      <c r="W43" s="1554"/>
      <c r="X43" s="1284"/>
      <c r="Y43" s="1284"/>
      <c r="Z43" s="480"/>
      <c r="AA43" s="1284"/>
      <c r="AB43" s="1284"/>
      <c r="AC43" s="1284"/>
      <c r="AD43" s="1284"/>
      <c r="AE43" s="1284"/>
      <c r="AF43" s="1550"/>
      <c r="AG43" s="558"/>
      <c r="AH43" s="558"/>
      <c r="AI43" s="558"/>
      <c r="AJ43" s="558"/>
      <c r="AK43" s="1559">
        <v>11</v>
      </c>
    </row>
    <row r="44" spans="1:37" s="2028" customFormat="1" ht="11.45" customHeight="1">
      <c r="A44" s="911"/>
      <c r="B44" s="911"/>
      <c r="C44" s="911"/>
      <c r="D44" s="911"/>
      <c r="E44" s="911"/>
      <c r="F44" s="1554"/>
      <c r="G44" s="1554"/>
      <c r="H44" s="287"/>
      <c r="N44" s="1284"/>
      <c r="P44" s="1284"/>
      <c r="Q44" s="1554"/>
      <c r="R44" s="1554"/>
      <c r="S44" s="1284"/>
      <c r="T44" s="1284"/>
      <c r="U44" s="1284"/>
      <c r="V44" s="1284"/>
      <c r="W44" s="1554"/>
      <c r="X44" s="1284"/>
      <c r="Y44" s="1284"/>
      <c r="Z44" s="480"/>
      <c r="AA44" s="1284"/>
      <c r="AB44" s="1284"/>
      <c r="AC44" s="1284"/>
      <c r="AD44" s="1284"/>
      <c r="AE44" s="1284"/>
      <c r="AF44" s="1550"/>
      <c r="AG44" s="558"/>
      <c r="AH44" s="558"/>
      <c r="AI44" s="558"/>
      <c r="AJ44" s="558"/>
      <c r="AK44" s="1559">
        <v>11</v>
      </c>
    </row>
    <row r="45" spans="1:37" s="2028" customFormat="1" ht="11.45" customHeight="1">
      <c r="A45" s="911"/>
      <c r="B45" s="911"/>
      <c r="C45" s="911"/>
      <c r="D45" s="911"/>
      <c r="E45" s="911"/>
      <c r="F45" s="1554"/>
      <c r="G45" s="1554"/>
      <c r="H45" s="287"/>
      <c r="N45" s="1284"/>
      <c r="P45" s="1284"/>
      <c r="Q45" s="1554"/>
      <c r="R45" s="1554"/>
      <c r="S45" s="1284"/>
      <c r="T45" s="1284"/>
      <c r="U45" s="1284"/>
      <c r="V45" s="1284"/>
      <c r="W45" s="1554"/>
      <c r="X45" s="1284"/>
      <c r="Y45" s="1284"/>
      <c r="Z45" s="480"/>
      <c r="AA45" s="1284"/>
      <c r="AB45" s="1284"/>
      <c r="AC45" s="1284"/>
      <c r="AD45" s="1284"/>
      <c r="AE45" s="1284"/>
      <c r="AF45" s="1550"/>
      <c r="AG45" s="558"/>
      <c r="AH45" s="558"/>
      <c r="AI45" s="558"/>
      <c r="AJ45" s="558"/>
      <c r="AK45" s="1559">
        <v>11</v>
      </c>
    </row>
    <row r="46" spans="1:37" s="2028" customFormat="1" ht="11.45" customHeight="1">
      <c r="A46" s="911"/>
      <c r="B46" s="911"/>
      <c r="C46" s="911"/>
      <c r="D46" s="911"/>
      <c r="E46" s="911"/>
      <c r="F46" s="1554"/>
      <c r="G46" s="1554"/>
      <c r="H46" s="287"/>
      <c r="N46" s="1284"/>
      <c r="P46" s="1284"/>
      <c r="Q46" s="1554"/>
      <c r="R46" s="1554"/>
      <c r="S46" s="1284"/>
      <c r="T46" s="1284"/>
      <c r="U46" s="1284"/>
      <c r="V46" s="1284"/>
      <c r="W46" s="1554"/>
      <c r="X46" s="1284"/>
      <c r="Y46" s="1284"/>
      <c r="Z46" s="480"/>
      <c r="AA46" s="1284"/>
      <c r="AB46" s="1284"/>
      <c r="AC46" s="1284"/>
      <c r="AD46" s="1284"/>
      <c r="AE46" s="1284"/>
      <c r="AF46" s="1550"/>
      <c r="AG46" s="558"/>
      <c r="AH46" s="558"/>
      <c r="AI46" s="558"/>
      <c r="AJ46" s="558"/>
      <c r="AK46" s="1559">
        <v>11</v>
      </c>
    </row>
    <row r="47" spans="1:37" s="2028" customFormat="1" ht="11.45" customHeight="1">
      <c r="A47" s="911"/>
      <c r="B47" s="911"/>
      <c r="C47" s="911"/>
      <c r="D47" s="911"/>
      <c r="E47" s="911"/>
      <c r="F47" s="1554"/>
      <c r="G47" s="1554"/>
      <c r="H47" s="287"/>
      <c r="N47" s="1284"/>
      <c r="P47" s="1284"/>
      <c r="Q47" s="1554"/>
      <c r="R47" s="1554"/>
      <c r="S47" s="1284"/>
      <c r="T47" s="1284"/>
      <c r="U47" s="1284"/>
      <c r="V47" s="1284"/>
      <c r="W47" s="1554"/>
      <c r="X47" s="1284"/>
      <c r="Y47" s="1284"/>
      <c r="Z47" s="480"/>
      <c r="AA47" s="1284"/>
      <c r="AB47" s="1284"/>
      <c r="AC47" s="1284"/>
      <c r="AD47" s="1284"/>
      <c r="AE47" s="1284"/>
      <c r="AF47" s="1550"/>
      <c r="AG47" s="558"/>
      <c r="AH47" s="558"/>
      <c r="AI47" s="558"/>
      <c r="AJ47" s="558"/>
      <c r="AK47" s="1559">
        <v>11</v>
      </c>
    </row>
    <row r="48" spans="1:37" s="2028" customFormat="1" ht="11.45" customHeight="1">
      <c r="A48" s="911"/>
      <c r="B48" s="911"/>
      <c r="C48" s="911"/>
      <c r="D48" s="911"/>
      <c r="E48" s="911"/>
      <c r="F48" s="1554"/>
      <c r="G48" s="1554"/>
      <c r="H48" s="287"/>
      <c r="N48" s="1284"/>
      <c r="P48" s="1284"/>
      <c r="Q48" s="1554"/>
      <c r="R48" s="1554"/>
      <c r="S48" s="1284"/>
      <c r="T48" s="1284"/>
      <c r="U48" s="1284"/>
      <c r="V48" s="1284"/>
      <c r="W48" s="1554"/>
      <c r="X48" s="1284"/>
      <c r="Y48" s="1284"/>
      <c r="Z48" s="480"/>
      <c r="AA48" s="1284"/>
      <c r="AB48" s="1284"/>
      <c r="AC48" s="1284"/>
      <c r="AD48" s="1284"/>
      <c r="AE48" s="1284"/>
      <c r="AF48" s="1550"/>
      <c r="AG48" s="558"/>
      <c r="AH48" s="558"/>
      <c r="AI48" s="558"/>
      <c r="AJ48" s="558"/>
      <c r="AK48" s="1559">
        <v>11</v>
      </c>
    </row>
    <row r="49" spans="1:37" s="2028" customFormat="1" ht="11.45" customHeight="1">
      <c r="A49" s="911"/>
      <c r="B49" s="911"/>
      <c r="C49" s="911"/>
      <c r="D49" s="911"/>
      <c r="E49" s="911"/>
      <c r="F49" s="1554"/>
      <c r="G49" s="1554"/>
      <c r="H49" s="287"/>
      <c r="N49" s="1284"/>
      <c r="P49" s="1284"/>
      <c r="Q49" s="1554"/>
      <c r="R49" s="1554"/>
      <c r="S49" s="1284"/>
      <c r="T49" s="1284"/>
      <c r="U49" s="1284"/>
      <c r="V49" s="1284"/>
      <c r="W49" s="1554"/>
      <c r="X49" s="1284"/>
      <c r="Y49" s="1284"/>
      <c r="Z49" s="480"/>
      <c r="AA49" s="1284"/>
      <c r="AB49" s="1284"/>
      <c r="AC49" s="1284"/>
      <c r="AD49" s="1284"/>
      <c r="AE49" s="1284"/>
      <c r="AF49" s="1550"/>
      <c r="AG49" s="558"/>
      <c r="AH49" s="558"/>
      <c r="AI49" s="558"/>
      <c r="AJ49" s="558"/>
      <c r="AK49" s="1559">
        <v>11</v>
      </c>
    </row>
    <row r="50" spans="1:37" s="2028" customFormat="1" ht="11.45" customHeight="1">
      <c r="A50" s="911"/>
      <c r="B50" s="911"/>
      <c r="C50" s="911"/>
      <c r="D50" s="911"/>
      <c r="E50" s="911"/>
      <c r="F50" s="1554"/>
      <c r="G50" s="1554"/>
      <c r="H50" s="287"/>
      <c r="N50" s="1284"/>
      <c r="P50" s="1284"/>
      <c r="Q50" s="1554"/>
      <c r="R50" s="1554"/>
      <c r="S50" s="1284"/>
      <c r="T50" s="1284"/>
      <c r="U50" s="1284"/>
      <c r="V50" s="1284"/>
      <c r="W50" s="1554"/>
      <c r="X50" s="1284"/>
      <c r="Y50" s="1284"/>
      <c r="Z50" s="480"/>
      <c r="AA50" s="1284"/>
      <c r="AB50" s="1284"/>
      <c r="AC50" s="1284"/>
      <c r="AD50" s="1284"/>
      <c r="AE50" s="1284"/>
      <c r="AF50" s="1550"/>
      <c r="AG50" s="558"/>
      <c r="AH50" s="558"/>
      <c r="AI50" s="558"/>
      <c r="AJ50" s="558"/>
      <c r="AK50" s="1559">
        <v>11</v>
      </c>
    </row>
    <row r="51" spans="1:37" s="2028" customFormat="1" ht="11.45" customHeight="1">
      <c r="A51" s="911"/>
      <c r="B51" s="911"/>
      <c r="C51" s="911"/>
      <c r="D51" s="911"/>
      <c r="E51" s="911"/>
      <c r="F51" s="1554"/>
      <c r="G51" s="1554"/>
      <c r="H51" s="287"/>
      <c r="N51" s="1284"/>
      <c r="P51" s="1284"/>
      <c r="Q51" s="1554"/>
      <c r="R51" s="1554"/>
      <c r="S51" s="1284"/>
      <c r="T51" s="1284"/>
      <c r="U51" s="1284"/>
      <c r="V51" s="1284"/>
      <c r="W51" s="1554"/>
      <c r="X51" s="1284"/>
      <c r="Y51" s="1284"/>
      <c r="Z51" s="480"/>
      <c r="AA51" s="1284"/>
      <c r="AB51" s="1284"/>
      <c r="AC51" s="1284"/>
      <c r="AD51" s="1284"/>
      <c r="AE51" s="1284"/>
      <c r="AF51" s="1550"/>
      <c r="AG51" s="558"/>
      <c r="AH51" s="558"/>
      <c r="AI51" s="558"/>
      <c r="AJ51" s="558"/>
      <c r="AK51" s="1559">
        <v>11</v>
      </c>
    </row>
    <row r="52" spans="1:37" s="2028" customFormat="1" ht="11.45" customHeight="1">
      <c r="A52" s="911"/>
      <c r="B52" s="911"/>
      <c r="C52" s="911"/>
      <c r="D52" s="911"/>
      <c r="E52" s="911"/>
      <c r="F52" s="1554"/>
      <c r="G52" s="1554"/>
      <c r="H52" s="287"/>
      <c r="N52" s="1284"/>
      <c r="P52" s="1284"/>
      <c r="Q52" s="1554"/>
      <c r="R52" s="1554"/>
      <c r="S52" s="1284"/>
      <c r="T52" s="1284"/>
      <c r="U52" s="1284"/>
      <c r="V52" s="1284"/>
      <c r="W52" s="1554"/>
      <c r="X52" s="1284"/>
      <c r="Y52" s="1284"/>
      <c r="Z52" s="480"/>
      <c r="AA52" s="1284"/>
      <c r="AB52" s="1284"/>
      <c r="AC52" s="1284"/>
      <c r="AD52" s="1284"/>
      <c r="AE52" s="1284"/>
      <c r="AF52" s="1550"/>
      <c r="AG52" s="558"/>
      <c r="AH52" s="558"/>
      <c r="AI52" s="558"/>
      <c r="AJ52" s="558"/>
      <c r="AK52" s="1559">
        <v>11</v>
      </c>
    </row>
    <row r="53" spans="1:37" s="2028" customFormat="1" ht="11.45" customHeight="1">
      <c r="A53" s="911"/>
      <c r="B53" s="911"/>
      <c r="C53" s="911"/>
      <c r="D53" s="911"/>
      <c r="E53" s="911"/>
      <c r="F53" s="1554"/>
      <c r="G53" s="1554"/>
      <c r="H53" s="287"/>
      <c r="N53" s="1284"/>
      <c r="P53" s="1284"/>
      <c r="Q53" s="1554"/>
      <c r="R53" s="1554"/>
      <c r="S53" s="1284"/>
      <c r="T53" s="1284"/>
      <c r="U53" s="1284"/>
      <c r="V53" s="1284"/>
      <c r="W53" s="1554"/>
      <c r="X53" s="1284"/>
      <c r="Y53" s="1284"/>
      <c r="Z53" s="480"/>
      <c r="AA53" s="1284"/>
      <c r="AB53" s="1284"/>
      <c r="AC53" s="1284"/>
      <c r="AD53" s="1284"/>
      <c r="AE53" s="1284"/>
      <c r="AF53" s="1550"/>
      <c r="AG53" s="558"/>
      <c r="AH53" s="558"/>
      <c r="AI53" s="558"/>
      <c r="AJ53" s="558"/>
      <c r="AK53" s="1559">
        <v>11</v>
      </c>
    </row>
    <row r="54" spans="1:37" s="2028" customFormat="1" ht="11.45" customHeight="1">
      <c r="A54" s="911"/>
      <c r="B54" s="911"/>
      <c r="C54" s="911"/>
      <c r="D54" s="911"/>
      <c r="E54" s="911"/>
      <c r="F54" s="1554"/>
      <c r="G54" s="1554"/>
      <c r="H54" s="287"/>
      <c r="N54" s="1284"/>
      <c r="P54" s="1284"/>
      <c r="Q54" s="1554"/>
      <c r="R54" s="1554"/>
      <c r="S54" s="1284"/>
      <c r="T54" s="1284"/>
      <c r="U54" s="1284"/>
      <c r="V54" s="1284"/>
      <c r="W54" s="1554"/>
      <c r="X54" s="1284"/>
      <c r="Y54" s="1284"/>
      <c r="Z54" s="480"/>
      <c r="AA54" s="1284"/>
      <c r="AB54" s="1284"/>
      <c r="AC54" s="1284"/>
      <c r="AD54" s="1284"/>
      <c r="AE54" s="1284"/>
      <c r="AF54" s="1550"/>
      <c r="AG54" s="558"/>
      <c r="AH54" s="558"/>
      <c r="AI54" s="558"/>
      <c r="AJ54" s="558"/>
      <c r="AK54" s="1559">
        <v>11</v>
      </c>
    </row>
    <row r="55" spans="1:37" s="2028" customFormat="1" ht="11.45" customHeight="1">
      <c r="A55" s="911"/>
      <c r="B55" s="911"/>
      <c r="C55" s="911"/>
      <c r="D55" s="911"/>
      <c r="E55" s="911"/>
      <c r="F55" s="1554"/>
      <c r="G55" s="1554"/>
      <c r="H55" s="287"/>
      <c r="N55" s="1284"/>
      <c r="P55" s="1284"/>
      <c r="Q55" s="1554"/>
      <c r="R55" s="1554"/>
      <c r="S55" s="1284"/>
      <c r="T55" s="1284"/>
      <c r="U55" s="1284"/>
      <c r="V55" s="1284"/>
      <c r="W55" s="1554"/>
      <c r="X55" s="1284"/>
      <c r="Y55" s="1284"/>
      <c r="Z55" s="480"/>
      <c r="AA55" s="1284"/>
      <c r="AB55" s="1284"/>
      <c r="AC55" s="1284"/>
      <c r="AD55" s="1284"/>
      <c r="AE55" s="1284"/>
      <c r="AF55" s="1550"/>
      <c r="AG55" s="558"/>
      <c r="AH55" s="558"/>
      <c r="AI55" s="558"/>
      <c r="AJ55" s="558"/>
      <c r="AK55" s="1559">
        <v>11</v>
      </c>
    </row>
    <row r="56" spans="1:37" s="2028" customFormat="1" ht="11.45" customHeight="1">
      <c r="A56" s="911"/>
      <c r="B56" s="911"/>
      <c r="C56" s="911"/>
      <c r="D56" s="911"/>
      <c r="E56" s="911"/>
      <c r="F56" s="1554"/>
      <c r="G56" s="1554"/>
      <c r="H56" s="287"/>
      <c r="N56" s="1284"/>
      <c r="P56" s="1284"/>
      <c r="Q56" s="1554"/>
      <c r="R56" s="1554"/>
      <c r="S56" s="1284"/>
      <c r="T56" s="1284"/>
      <c r="U56" s="1284"/>
      <c r="V56" s="1284"/>
      <c r="W56" s="1554"/>
      <c r="X56" s="1284"/>
      <c r="Y56" s="1284"/>
      <c r="Z56" s="480"/>
      <c r="AA56" s="1284"/>
      <c r="AB56" s="1284"/>
      <c r="AC56" s="1284"/>
      <c r="AD56" s="1284"/>
      <c r="AE56" s="1284"/>
      <c r="AF56" s="1550"/>
      <c r="AG56" s="558"/>
      <c r="AH56" s="558"/>
      <c r="AI56" s="558"/>
      <c r="AJ56" s="558"/>
      <c r="AK56" s="1559">
        <v>11</v>
      </c>
    </row>
    <row r="57" spans="1:37" s="2028" customFormat="1" ht="11.45" customHeight="1">
      <c r="A57" s="911"/>
      <c r="B57" s="911"/>
      <c r="C57" s="911"/>
      <c r="D57" s="911"/>
      <c r="E57" s="911"/>
      <c r="F57" s="1554"/>
      <c r="G57" s="1554"/>
      <c r="H57" s="287"/>
      <c r="N57" s="1284"/>
      <c r="P57" s="1284"/>
      <c r="Q57" s="1554"/>
      <c r="R57" s="1554"/>
      <c r="S57" s="1284"/>
      <c r="T57" s="1284"/>
      <c r="U57" s="1284"/>
      <c r="V57" s="1284"/>
      <c r="W57" s="1554"/>
      <c r="X57" s="1284"/>
      <c r="Y57" s="1284"/>
      <c r="Z57" s="480"/>
      <c r="AA57" s="1284"/>
      <c r="AB57" s="1284"/>
      <c r="AC57" s="1284"/>
      <c r="AD57" s="1284"/>
      <c r="AE57" s="1284"/>
      <c r="AF57" s="1550"/>
      <c r="AG57" s="558"/>
      <c r="AH57" s="558"/>
      <c r="AI57" s="558"/>
      <c r="AJ57" s="558"/>
      <c r="AK57" s="1559">
        <v>11</v>
      </c>
    </row>
    <row r="58" spans="1:37" s="2028" customFormat="1" ht="11.45" customHeight="1">
      <c r="A58" s="911"/>
      <c r="B58" s="911"/>
      <c r="C58" s="911"/>
      <c r="D58" s="911"/>
      <c r="E58" s="911"/>
      <c r="F58" s="1554"/>
      <c r="G58" s="1554"/>
      <c r="H58" s="287"/>
      <c r="N58" s="1284"/>
      <c r="P58" s="1284"/>
      <c r="Q58" s="1554"/>
      <c r="R58" s="1554"/>
      <c r="S58" s="1284"/>
      <c r="T58" s="1284"/>
      <c r="U58" s="1284"/>
      <c r="V58" s="1284"/>
      <c r="W58" s="1554"/>
      <c r="X58" s="1284"/>
      <c r="Y58" s="1284"/>
      <c r="Z58" s="480"/>
      <c r="AA58" s="1284"/>
      <c r="AB58" s="1284"/>
      <c r="AC58" s="1284"/>
      <c r="AD58" s="1284"/>
      <c r="AE58" s="1284"/>
      <c r="AF58" s="1550"/>
      <c r="AG58" s="558"/>
      <c r="AH58" s="558"/>
      <c r="AI58" s="558"/>
      <c r="AJ58" s="558"/>
      <c r="AK58" s="1559">
        <v>11</v>
      </c>
    </row>
    <row r="59" spans="1:37" s="2028" customFormat="1" ht="11.45" customHeight="1">
      <c r="A59" s="911"/>
      <c r="B59" s="911"/>
      <c r="C59" s="911"/>
      <c r="D59" s="911"/>
      <c r="E59" s="911"/>
      <c r="F59" s="1554"/>
      <c r="G59" s="1554"/>
      <c r="H59" s="287"/>
      <c r="N59" s="1284"/>
      <c r="P59" s="1284"/>
      <c r="Q59" s="1554"/>
      <c r="R59" s="1554"/>
      <c r="S59" s="1284"/>
      <c r="T59" s="1284"/>
      <c r="U59" s="1284"/>
      <c r="V59" s="1284"/>
      <c r="W59" s="1554"/>
      <c r="X59" s="1284"/>
      <c r="Y59" s="1284"/>
      <c r="Z59" s="480"/>
      <c r="AA59" s="1284"/>
      <c r="AB59" s="1284"/>
      <c r="AC59" s="1284"/>
      <c r="AD59" s="1284"/>
      <c r="AE59" s="1284"/>
      <c r="AF59" s="1550"/>
      <c r="AG59" s="558"/>
      <c r="AH59" s="558"/>
      <c r="AI59" s="558"/>
      <c r="AJ59" s="558"/>
      <c r="AK59" s="1559">
        <v>11</v>
      </c>
    </row>
    <row r="60" spans="1:37" s="2028" customFormat="1" ht="11.45" customHeight="1">
      <c r="A60" s="911"/>
      <c r="B60" s="911"/>
      <c r="C60" s="911"/>
      <c r="D60" s="911"/>
      <c r="E60" s="911"/>
      <c r="F60" s="1554"/>
      <c r="G60" s="1554"/>
      <c r="H60" s="287"/>
      <c r="N60" s="1284"/>
      <c r="P60" s="1284"/>
      <c r="Q60" s="1554"/>
      <c r="R60" s="1554"/>
      <c r="S60" s="1284"/>
      <c r="T60" s="1284"/>
      <c r="U60" s="1284"/>
      <c r="V60" s="1284"/>
      <c r="W60" s="1554"/>
      <c r="X60" s="1284"/>
      <c r="Y60" s="1284"/>
      <c r="Z60" s="480"/>
      <c r="AA60" s="1284"/>
      <c r="AB60" s="1284"/>
      <c r="AC60" s="1284"/>
      <c r="AD60" s="1284"/>
      <c r="AE60" s="1284"/>
      <c r="AF60" s="1550"/>
      <c r="AG60" s="558"/>
      <c r="AH60" s="558"/>
      <c r="AI60" s="558"/>
      <c r="AJ60" s="558"/>
      <c r="AK60" s="1559">
        <v>11</v>
      </c>
    </row>
    <row r="61" spans="1:37" s="2028" customFormat="1" ht="11.45" customHeight="1">
      <c r="A61" s="911"/>
      <c r="B61" s="911"/>
      <c r="C61" s="911"/>
      <c r="D61" s="911"/>
      <c r="E61" s="911"/>
      <c r="F61" s="1554"/>
      <c r="G61" s="1554"/>
      <c r="H61" s="287"/>
      <c r="N61" s="1284"/>
      <c r="P61" s="1284"/>
      <c r="Q61" s="1554"/>
      <c r="R61" s="1554"/>
      <c r="S61" s="1284"/>
      <c r="T61" s="1284"/>
      <c r="U61" s="1284"/>
      <c r="V61" s="1284"/>
      <c r="W61" s="1554"/>
      <c r="X61" s="1284"/>
      <c r="Y61" s="1284"/>
      <c r="Z61" s="480"/>
      <c r="AA61" s="1284"/>
      <c r="AB61" s="1284"/>
      <c r="AC61" s="1284"/>
      <c r="AD61" s="1284"/>
      <c r="AE61" s="1284"/>
      <c r="AF61" s="1550"/>
      <c r="AG61" s="558"/>
      <c r="AH61" s="558"/>
      <c r="AI61" s="558"/>
      <c r="AJ61" s="558"/>
      <c r="AK61" s="1559">
        <v>11</v>
      </c>
    </row>
    <row r="62" spans="1:37" s="2028" customFormat="1" ht="11.45" customHeight="1">
      <c r="A62" s="911"/>
      <c r="B62" s="911"/>
      <c r="C62" s="911"/>
      <c r="D62" s="911"/>
      <c r="E62" s="911"/>
      <c r="F62" s="1554"/>
      <c r="G62" s="1554"/>
      <c r="H62" s="287"/>
      <c r="N62" s="1284"/>
      <c r="P62" s="1284"/>
      <c r="Q62" s="1554"/>
      <c r="R62" s="1554"/>
      <c r="S62" s="1284"/>
      <c r="T62" s="1284"/>
      <c r="U62" s="1284"/>
      <c r="V62" s="1284"/>
      <c r="W62" s="1554"/>
      <c r="X62" s="1284"/>
      <c r="Y62" s="1284"/>
      <c r="Z62" s="480"/>
      <c r="AA62" s="1284"/>
      <c r="AB62" s="1284"/>
      <c r="AC62" s="1284"/>
      <c r="AD62" s="1284"/>
      <c r="AE62" s="1284"/>
      <c r="AF62" s="1550"/>
      <c r="AG62" s="558"/>
      <c r="AH62" s="558"/>
      <c r="AI62" s="558"/>
      <c r="AJ62" s="558"/>
      <c r="AK62" s="1559">
        <v>11</v>
      </c>
    </row>
    <row r="63" spans="1:37" s="2028" customFormat="1" ht="11.45" customHeight="1">
      <c r="A63" s="911"/>
      <c r="B63" s="911"/>
      <c r="C63" s="911"/>
      <c r="D63" s="911"/>
      <c r="E63" s="911"/>
      <c r="F63" s="1554"/>
      <c r="G63" s="1554"/>
      <c r="H63" s="287"/>
      <c r="N63" s="1284"/>
      <c r="P63" s="1284"/>
      <c r="Q63" s="1554"/>
      <c r="R63" s="1554"/>
      <c r="S63" s="1284"/>
      <c r="T63" s="1284"/>
      <c r="U63" s="1284"/>
      <c r="V63" s="1284"/>
      <c r="W63" s="1554"/>
      <c r="X63" s="1284"/>
      <c r="Y63" s="1284"/>
      <c r="Z63" s="480"/>
      <c r="AA63" s="1284"/>
      <c r="AB63" s="1284"/>
      <c r="AC63" s="1284"/>
      <c r="AD63" s="1284"/>
      <c r="AE63" s="1284"/>
      <c r="AF63" s="1550"/>
      <c r="AG63" s="558"/>
      <c r="AH63" s="558"/>
      <c r="AI63" s="558"/>
      <c r="AJ63" s="558"/>
      <c r="AK63" s="1559">
        <v>11</v>
      </c>
    </row>
    <row r="64" spans="1:37" s="2028" customFormat="1" ht="11.45" customHeight="1">
      <c r="A64" s="911"/>
      <c r="B64" s="911"/>
      <c r="C64" s="911"/>
      <c r="D64" s="911"/>
      <c r="E64" s="911"/>
      <c r="F64" s="1554"/>
      <c r="G64" s="1554"/>
      <c r="H64" s="287"/>
      <c r="N64" s="1284"/>
      <c r="P64" s="1284"/>
      <c r="Q64" s="1554"/>
      <c r="R64" s="1554"/>
      <c r="S64" s="1284"/>
      <c r="T64" s="1284"/>
      <c r="U64" s="1284"/>
      <c r="V64" s="1284"/>
      <c r="W64" s="1554"/>
      <c r="X64" s="1284"/>
      <c r="Y64" s="1284"/>
      <c r="Z64" s="480"/>
      <c r="AA64" s="1284"/>
      <c r="AB64" s="1284"/>
      <c r="AC64" s="1284"/>
      <c r="AD64" s="1284"/>
      <c r="AE64" s="1284"/>
      <c r="AF64" s="1550"/>
      <c r="AG64" s="558"/>
      <c r="AH64" s="558"/>
      <c r="AI64" s="558"/>
      <c r="AJ64" s="558"/>
      <c r="AK64" s="1559">
        <v>11</v>
      </c>
    </row>
    <row r="65" spans="1:37" s="2028" customFormat="1" ht="11.45" customHeight="1">
      <c r="A65" s="911"/>
      <c r="B65" s="911"/>
      <c r="C65" s="911"/>
      <c r="D65" s="911"/>
      <c r="E65" s="911"/>
      <c r="F65" s="1554"/>
      <c r="G65" s="1554"/>
      <c r="H65" s="287"/>
      <c r="N65" s="1284"/>
      <c r="P65" s="1284"/>
      <c r="Q65" s="1554"/>
      <c r="R65" s="1554"/>
      <c r="S65" s="1284"/>
      <c r="T65" s="1284"/>
      <c r="U65" s="1284"/>
      <c r="V65" s="1284"/>
      <c r="W65" s="1554"/>
      <c r="X65" s="1284"/>
      <c r="Y65" s="1284"/>
      <c r="Z65" s="480"/>
      <c r="AA65" s="1284"/>
      <c r="AB65" s="1284"/>
      <c r="AC65" s="1284"/>
      <c r="AD65" s="1284"/>
      <c r="AE65" s="1284"/>
      <c r="AF65" s="1550"/>
      <c r="AG65" s="558"/>
      <c r="AH65" s="558"/>
      <c r="AI65" s="558"/>
      <c r="AJ65" s="558"/>
      <c r="AK65" s="1559">
        <v>11</v>
      </c>
    </row>
    <row r="66" spans="1:37" s="2028" customFormat="1" ht="11.45" customHeight="1">
      <c r="A66" s="911"/>
      <c r="B66" s="911"/>
      <c r="C66" s="911"/>
      <c r="D66" s="911"/>
      <c r="E66" s="911"/>
      <c r="F66" s="1554"/>
      <c r="G66" s="1554"/>
      <c r="H66" s="287"/>
      <c r="N66" s="1284"/>
      <c r="P66" s="1284"/>
      <c r="Q66" s="1554"/>
      <c r="R66" s="1554"/>
      <c r="S66" s="1284"/>
      <c r="T66" s="1284"/>
      <c r="U66" s="1284"/>
      <c r="V66" s="1284"/>
      <c r="W66" s="1554"/>
      <c r="X66" s="1284"/>
      <c r="Y66" s="1284"/>
      <c r="Z66" s="480"/>
      <c r="AA66" s="1284"/>
      <c r="AB66" s="1284"/>
      <c r="AC66" s="1284"/>
      <c r="AD66" s="1284"/>
      <c r="AE66" s="1284"/>
      <c r="AF66" s="1550"/>
      <c r="AG66" s="558"/>
      <c r="AH66" s="558"/>
      <c r="AI66" s="558"/>
      <c r="AJ66" s="558"/>
      <c r="AK66" s="1559">
        <v>11</v>
      </c>
    </row>
    <row r="67" spans="1:37" s="2028" customFormat="1" ht="11.45" customHeight="1">
      <c r="A67" s="911"/>
      <c r="B67" s="911"/>
      <c r="C67" s="911"/>
      <c r="D67" s="911"/>
      <c r="E67" s="911"/>
      <c r="F67" s="1554"/>
      <c r="G67" s="1554"/>
      <c r="H67" s="287"/>
      <c r="N67" s="1284"/>
      <c r="P67" s="1284"/>
      <c r="Q67" s="1554"/>
      <c r="R67" s="1554"/>
      <c r="S67" s="1284"/>
      <c r="T67" s="1284"/>
      <c r="U67" s="1284"/>
      <c r="V67" s="1284"/>
      <c r="W67" s="1554"/>
      <c r="X67" s="1284"/>
      <c r="Y67" s="1284"/>
      <c r="Z67" s="480"/>
      <c r="AA67" s="1284"/>
      <c r="AB67" s="1284"/>
      <c r="AC67" s="1284"/>
      <c r="AD67" s="1284"/>
      <c r="AE67" s="1284"/>
      <c r="AF67" s="1550"/>
      <c r="AG67" s="558"/>
      <c r="AH67" s="558"/>
      <c r="AI67" s="558"/>
      <c r="AJ67" s="558"/>
      <c r="AK67" s="1559">
        <v>11</v>
      </c>
    </row>
    <row r="68" spans="1:37" s="2028" customFormat="1" ht="11.45" customHeight="1">
      <c r="A68" s="911"/>
      <c r="B68" s="911"/>
      <c r="C68" s="911"/>
      <c r="D68" s="911"/>
      <c r="E68" s="911"/>
      <c r="F68" s="1554"/>
      <c r="G68" s="1554"/>
      <c r="H68" s="287"/>
      <c r="N68" s="1284"/>
      <c r="P68" s="1284"/>
      <c r="Q68" s="1554"/>
      <c r="R68" s="1554"/>
      <c r="S68" s="1284"/>
      <c r="T68" s="1284"/>
      <c r="U68" s="1284"/>
      <c r="V68" s="1284"/>
      <c r="W68" s="1554"/>
      <c r="X68" s="1284"/>
      <c r="Y68" s="1284"/>
      <c r="Z68" s="480"/>
      <c r="AA68" s="1284"/>
      <c r="AB68" s="1284"/>
      <c r="AC68" s="1284"/>
      <c r="AD68" s="1284"/>
      <c r="AE68" s="1284"/>
      <c r="AF68" s="1550"/>
      <c r="AG68" s="558"/>
      <c r="AH68" s="558"/>
      <c r="AI68" s="558"/>
      <c r="AJ68" s="558"/>
      <c r="AK68" s="1559">
        <v>11</v>
      </c>
    </row>
    <row r="69" spans="1:37" s="2028" customFormat="1" ht="11.45" customHeight="1">
      <c r="A69" s="911"/>
      <c r="B69" s="911"/>
      <c r="C69" s="911"/>
      <c r="D69" s="911"/>
      <c r="E69" s="911"/>
      <c r="F69" s="1554"/>
      <c r="G69" s="1554"/>
      <c r="H69" s="287"/>
      <c r="N69" s="1284"/>
      <c r="P69" s="1284"/>
      <c r="Q69" s="1554"/>
      <c r="R69" s="1554"/>
      <c r="S69" s="1284"/>
      <c r="T69" s="1284"/>
      <c r="U69" s="1284"/>
      <c r="V69" s="1284"/>
      <c r="W69" s="1554"/>
      <c r="X69" s="1284"/>
      <c r="Y69" s="1284"/>
      <c r="Z69" s="480"/>
      <c r="AA69" s="1284"/>
      <c r="AB69" s="1284"/>
      <c r="AC69" s="1284"/>
      <c r="AD69" s="1284"/>
      <c r="AE69" s="1284"/>
      <c r="AF69" s="1550"/>
      <c r="AG69" s="558"/>
      <c r="AH69" s="558"/>
      <c r="AI69" s="558"/>
      <c r="AJ69" s="558"/>
      <c r="AK69" s="1559">
        <v>11</v>
      </c>
    </row>
    <row r="70" spans="1:37" s="2028" customFormat="1" ht="11.45" customHeight="1">
      <c r="A70" s="911"/>
      <c r="B70" s="911"/>
      <c r="C70" s="911"/>
      <c r="D70" s="911"/>
      <c r="E70" s="911"/>
      <c r="F70" s="1554"/>
      <c r="G70" s="1554"/>
      <c r="H70" s="287"/>
      <c r="N70" s="1284"/>
      <c r="P70" s="1284"/>
      <c r="Q70" s="1554"/>
      <c r="R70" s="1554"/>
      <c r="S70" s="1284"/>
      <c r="T70" s="1284"/>
      <c r="U70" s="1284"/>
      <c r="V70" s="1284"/>
      <c r="W70" s="1554"/>
      <c r="X70" s="1284"/>
      <c r="Y70" s="1284"/>
      <c r="Z70" s="480"/>
      <c r="AA70" s="1284"/>
      <c r="AB70" s="1284"/>
      <c r="AC70" s="1284"/>
      <c r="AD70" s="1284"/>
      <c r="AE70" s="1284"/>
      <c r="AF70" s="1550"/>
      <c r="AG70" s="558"/>
      <c r="AH70" s="558"/>
      <c r="AI70" s="558"/>
      <c r="AJ70" s="558"/>
      <c r="AK70" s="1559">
        <v>11</v>
      </c>
    </row>
    <row r="71" spans="1:37" s="2028" customFormat="1" ht="11.45" customHeight="1">
      <c r="A71" s="911"/>
      <c r="B71" s="911"/>
      <c r="C71" s="911"/>
      <c r="D71" s="911"/>
      <c r="E71" s="911"/>
      <c r="F71" s="1554"/>
      <c r="G71" s="1554"/>
      <c r="H71" s="287"/>
      <c r="N71" s="1284"/>
      <c r="P71" s="1284"/>
      <c r="Q71" s="1554"/>
      <c r="R71" s="1554"/>
      <c r="S71" s="1284"/>
      <c r="T71" s="1284"/>
      <c r="U71" s="1284"/>
      <c r="V71" s="1284"/>
      <c r="W71" s="1554"/>
      <c r="X71" s="1284"/>
      <c r="Y71" s="1284"/>
      <c r="Z71" s="480"/>
      <c r="AA71" s="1284"/>
      <c r="AB71" s="1284"/>
      <c r="AC71" s="1284"/>
      <c r="AD71" s="1284"/>
      <c r="AE71" s="1284"/>
      <c r="AF71" s="1550"/>
      <c r="AG71" s="558"/>
      <c r="AH71" s="558"/>
      <c r="AI71" s="558"/>
      <c r="AJ71" s="558"/>
      <c r="AK71" s="1559">
        <v>11</v>
      </c>
    </row>
    <row r="72" spans="1:37" s="2028" customFormat="1" ht="11.45" customHeight="1">
      <c r="A72" s="911"/>
      <c r="B72" s="911"/>
      <c r="C72" s="911"/>
      <c r="D72" s="911"/>
      <c r="E72" s="911"/>
      <c r="F72" s="1554"/>
      <c r="G72" s="1554"/>
      <c r="H72" s="287"/>
      <c r="N72" s="1284"/>
      <c r="P72" s="1284"/>
      <c r="Q72" s="1554"/>
      <c r="R72" s="1554"/>
      <c r="S72" s="1284"/>
      <c r="T72" s="1284"/>
      <c r="U72" s="1284"/>
      <c r="V72" s="1284"/>
      <c r="W72" s="1554"/>
      <c r="X72" s="1284"/>
      <c r="Y72" s="1284"/>
      <c r="Z72" s="480"/>
      <c r="AA72" s="1284"/>
      <c r="AB72" s="1284"/>
      <c r="AC72" s="1284"/>
      <c r="AD72" s="1284"/>
      <c r="AE72" s="1284"/>
      <c r="AF72" s="1550"/>
      <c r="AG72" s="558"/>
      <c r="AH72" s="558"/>
      <c r="AI72" s="558"/>
      <c r="AJ72" s="558"/>
      <c r="AK72" s="1559">
        <v>11</v>
      </c>
    </row>
    <row r="73" spans="1:37" s="2028" customFormat="1" ht="11.45" customHeight="1">
      <c r="A73" s="911"/>
      <c r="B73" s="911"/>
      <c r="C73" s="911"/>
      <c r="D73" s="911"/>
      <c r="E73" s="911"/>
      <c r="F73" s="1554"/>
      <c r="G73" s="1554"/>
      <c r="H73" s="287"/>
      <c r="N73" s="1284"/>
      <c r="P73" s="1284"/>
      <c r="Q73" s="1554"/>
      <c r="R73" s="1554"/>
      <c r="S73" s="1284"/>
      <c r="T73" s="1284"/>
      <c r="U73" s="1284"/>
      <c r="V73" s="1284"/>
      <c r="W73" s="1554"/>
      <c r="X73" s="1284"/>
      <c r="Y73" s="1284"/>
      <c r="Z73" s="480"/>
      <c r="AA73" s="1284"/>
      <c r="AB73" s="1284"/>
      <c r="AC73" s="1284"/>
      <c r="AD73" s="1284"/>
      <c r="AE73" s="1284"/>
      <c r="AF73" s="1550"/>
      <c r="AG73" s="558"/>
      <c r="AH73" s="558"/>
      <c r="AI73" s="558"/>
      <c r="AJ73" s="558"/>
      <c r="AK73" s="1559">
        <v>11</v>
      </c>
    </row>
    <row r="74" spans="1:37" s="2028" customFormat="1" ht="11.45" customHeight="1">
      <c r="A74" s="911"/>
      <c r="B74" s="911"/>
      <c r="C74" s="911"/>
      <c r="D74" s="911"/>
      <c r="E74" s="911"/>
      <c r="F74" s="1554"/>
      <c r="G74" s="1554"/>
      <c r="H74" s="287"/>
      <c r="N74" s="1284"/>
      <c r="P74" s="1284"/>
      <c r="Q74" s="1554"/>
      <c r="R74" s="1554"/>
      <c r="S74" s="1284"/>
      <c r="T74" s="1284"/>
      <c r="U74" s="1284"/>
      <c r="V74" s="1284"/>
      <c r="W74" s="1554"/>
      <c r="X74" s="1284"/>
      <c r="Y74" s="1284"/>
      <c r="Z74" s="480"/>
      <c r="AA74" s="1284"/>
      <c r="AB74" s="1284"/>
      <c r="AC74" s="1284"/>
      <c r="AD74" s="1284"/>
      <c r="AE74" s="1284"/>
      <c r="AF74" s="1550"/>
      <c r="AG74" s="558"/>
      <c r="AH74" s="558"/>
      <c r="AI74" s="558"/>
      <c r="AJ74" s="558"/>
      <c r="AK74" s="1559">
        <v>11</v>
      </c>
    </row>
    <row r="75" spans="1:37" s="2028" customFormat="1" ht="11.45" customHeight="1">
      <c r="A75" s="911"/>
      <c r="B75" s="911"/>
      <c r="C75" s="911"/>
      <c r="D75" s="911"/>
      <c r="E75" s="911"/>
      <c r="F75" s="1554"/>
      <c r="G75" s="1554"/>
      <c r="H75" s="287"/>
      <c r="N75" s="1284"/>
      <c r="P75" s="1284"/>
      <c r="Q75" s="1554"/>
      <c r="R75" s="1554"/>
      <c r="S75" s="1284"/>
      <c r="T75" s="1284"/>
      <c r="U75" s="1284"/>
      <c r="V75" s="1284"/>
      <c r="W75" s="1554"/>
      <c r="X75" s="1284"/>
      <c r="Y75" s="1284"/>
      <c r="Z75" s="480"/>
      <c r="AA75" s="1284"/>
      <c r="AB75" s="1284"/>
      <c r="AC75" s="1284"/>
      <c r="AD75" s="1284"/>
      <c r="AE75" s="1284"/>
      <c r="AF75" s="1550"/>
      <c r="AG75" s="558"/>
      <c r="AH75" s="558"/>
      <c r="AI75" s="558"/>
      <c r="AJ75" s="558"/>
      <c r="AK75" s="1559">
        <v>11</v>
      </c>
    </row>
    <row r="76" spans="1:37" s="2028" customFormat="1" ht="11.45" customHeight="1">
      <c r="A76" s="911"/>
      <c r="B76" s="911"/>
      <c r="C76" s="911"/>
      <c r="D76" s="911"/>
      <c r="E76" s="911"/>
      <c r="F76" s="1554"/>
      <c r="G76" s="1554"/>
      <c r="H76" s="287"/>
      <c r="N76" s="1284"/>
      <c r="P76" s="1284"/>
      <c r="Q76" s="1554"/>
      <c r="R76" s="1554"/>
      <c r="S76" s="1284"/>
      <c r="T76" s="1284"/>
      <c r="U76" s="1284"/>
      <c r="V76" s="1284"/>
      <c r="W76" s="1554"/>
      <c r="X76" s="1284"/>
      <c r="Y76" s="1284"/>
      <c r="Z76" s="480"/>
      <c r="AA76" s="1284"/>
      <c r="AB76" s="1284"/>
      <c r="AC76" s="1284"/>
      <c r="AD76" s="1284"/>
      <c r="AE76" s="1284"/>
      <c r="AF76" s="1550"/>
      <c r="AG76" s="558"/>
      <c r="AH76" s="558"/>
      <c r="AI76" s="558"/>
      <c r="AJ76" s="558"/>
      <c r="AK76" s="1559">
        <v>11</v>
      </c>
    </row>
    <row r="77" spans="1:37" s="2028" customFormat="1" ht="11.45" customHeight="1">
      <c r="A77" s="911"/>
      <c r="B77" s="911"/>
      <c r="C77" s="911"/>
      <c r="D77" s="911"/>
      <c r="E77" s="911"/>
      <c r="F77" s="1554"/>
      <c r="G77" s="1554"/>
      <c r="H77" s="287"/>
      <c r="N77" s="1284"/>
      <c r="P77" s="1284"/>
      <c r="Q77" s="1554"/>
      <c r="R77" s="1554"/>
      <c r="S77" s="1284"/>
      <c r="T77" s="1284"/>
      <c r="U77" s="1284"/>
      <c r="V77" s="1284"/>
      <c r="W77" s="1554"/>
      <c r="X77" s="1284"/>
      <c r="Y77" s="1284"/>
      <c r="Z77" s="480"/>
      <c r="AA77" s="1284"/>
      <c r="AB77" s="1284"/>
      <c r="AC77" s="1284"/>
      <c r="AD77" s="1284"/>
      <c r="AE77" s="1284"/>
      <c r="AF77" s="1550"/>
      <c r="AG77" s="558"/>
      <c r="AH77" s="558"/>
      <c r="AI77" s="558"/>
      <c r="AJ77" s="558"/>
      <c r="AK77" s="1559">
        <v>11</v>
      </c>
    </row>
    <row r="78" spans="1:37" s="2028" customFormat="1" ht="11.45" customHeight="1">
      <c r="A78" s="911"/>
      <c r="B78" s="911"/>
      <c r="C78" s="911"/>
      <c r="D78" s="911"/>
      <c r="E78" s="911"/>
      <c r="F78" s="1554"/>
      <c r="G78" s="1554"/>
      <c r="H78" s="287"/>
      <c r="N78" s="1284"/>
      <c r="P78" s="1284"/>
      <c r="Q78" s="1554"/>
      <c r="R78" s="1554"/>
      <c r="S78" s="1284"/>
      <c r="T78" s="1284"/>
      <c r="U78" s="1284"/>
      <c r="V78" s="1284"/>
      <c r="W78" s="1554"/>
      <c r="X78" s="1284"/>
      <c r="Y78" s="1284"/>
      <c r="Z78" s="480"/>
      <c r="AA78" s="1284"/>
      <c r="AB78" s="1284"/>
      <c r="AC78" s="1284"/>
      <c r="AD78" s="1284"/>
      <c r="AE78" s="1284"/>
      <c r="AF78" s="1550"/>
      <c r="AG78" s="558"/>
      <c r="AH78" s="558"/>
      <c r="AI78" s="558"/>
      <c r="AJ78" s="558"/>
      <c r="AK78" s="1559">
        <v>11</v>
      </c>
    </row>
    <row r="79" spans="1:37" s="2028" customFormat="1" ht="11.45" customHeight="1">
      <c r="A79" s="911"/>
      <c r="B79" s="911"/>
      <c r="C79" s="911"/>
      <c r="D79" s="911"/>
      <c r="E79" s="911"/>
      <c r="F79" s="1554"/>
      <c r="G79" s="1554"/>
      <c r="H79" s="287"/>
      <c r="N79" s="1284"/>
      <c r="P79" s="1284"/>
      <c r="Q79" s="1554"/>
      <c r="R79" s="1554"/>
      <c r="S79" s="1284"/>
      <c r="T79" s="1284"/>
      <c r="U79" s="1284"/>
      <c r="V79" s="1284"/>
      <c r="W79" s="1554"/>
      <c r="X79" s="1284"/>
      <c r="Y79" s="1284"/>
      <c r="Z79" s="480"/>
      <c r="AA79" s="1284"/>
      <c r="AB79" s="1284"/>
      <c r="AC79" s="1284"/>
      <c r="AD79" s="1284"/>
      <c r="AE79" s="1284"/>
      <c r="AF79" s="1550"/>
      <c r="AG79" s="558"/>
      <c r="AH79" s="558"/>
      <c r="AI79" s="558"/>
      <c r="AJ79" s="558"/>
      <c r="AK79" s="1559">
        <v>11</v>
      </c>
    </row>
    <row r="80" spans="1:37" s="2028" customFormat="1" ht="11.45" customHeight="1">
      <c r="A80" s="911"/>
      <c r="B80" s="911"/>
      <c r="C80" s="911"/>
      <c r="D80" s="911"/>
      <c r="E80" s="911"/>
      <c r="F80" s="1554"/>
      <c r="G80" s="1554"/>
      <c r="H80" s="287"/>
      <c r="N80" s="1284"/>
      <c r="P80" s="1284"/>
      <c r="Q80" s="1554"/>
      <c r="R80" s="1554"/>
      <c r="S80" s="1284"/>
      <c r="T80" s="1284"/>
      <c r="U80" s="1284"/>
      <c r="V80" s="1284"/>
      <c r="W80" s="1554"/>
      <c r="X80" s="1284"/>
      <c r="Y80" s="1284"/>
      <c r="Z80" s="480"/>
      <c r="AA80" s="1284"/>
      <c r="AB80" s="1284"/>
      <c r="AC80" s="1284"/>
      <c r="AD80" s="1284"/>
      <c r="AE80" s="1284"/>
      <c r="AF80" s="1550"/>
      <c r="AG80" s="558"/>
      <c r="AH80" s="558"/>
      <c r="AI80" s="558"/>
      <c r="AJ80" s="558"/>
      <c r="AK80" s="1559">
        <v>11</v>
      </c>
    </row>
    <row r="81" spans="1:37" s="2028" customFormat="1" ht="11.45" customHeight="1">
      <c r="A81" s="911"/>
      <c r="B81" s="911"/>
      <c r="C81" s="911"/>
      <c r="D81" s="911"/>
      <c r="E81" s="911"/>
      <c r="F81" s="1554"/>
      <c r="G81" s="1554"/>
      <c r="H81" s="287"/>
      <c r="N81" s="1284"/>
      <c r="P81" s="1284"/>
      <c r="Q81" s="1554"/>
      <c r="R81" s="1554"/>
      <c r="S81" s="1284"/>
      <c r="T81" s="1284"/>
      <c r="U81" s="1284"/>
      <c r="V81" s="1284"/>
      <c r="W81" s="1554"/>
      <c r="X81" s="1284"/>
      <c r="Y81" s="1284"/>
      <c r="Z81" s="480"/>
      <c r="AA81" s="1284"/>
      <c r="AB81" s="1284"/>
      <c r="AC81" s="1284"/>
      <c r="AD81" s="1284"/>
      <c r="AE81" s="1284"/>
      <c r="AF81" s="1550"/>
      <c r="AG81" s="558"/>
      <c r="AH81" s="558"/>
      <c r="AI81" s="558"/>
      <c r="AJ81" s="558"/>
      <c r="AK81" s="1559">
        <v>11</v>
      </c>
    </row>
    <row r="82" spans="1:37" s="2028" customFormat="1" ht="11.45" customHeight="1">
      <c r="A82" s="911"/>
      <c r="B82" s="911"/>
      <c r="C82" s="911"/>
      <c r="D82" s="911"/>
      <c r="E82" s="911"/>
      <c r="F82" s="1554"/>
      <c r="G82" s="1554"/>
      <c r="H82" s="287"/>
      <c r="N82" s="1284"/>
      <c r="P82" s="1284"/>
      <c r="Q82" s="1554"/>
      <c r="R82" s="1554"/>
      <c r="S82" s="1284"/>
      <c r="T82" s="1284"/>
      <c r="U82" s="1284"/>
      <c r="V82" s="1284"/>
      <c r="W82" s="1554"/>
      <c r="X82" s="1284"/>
      <c r="Y82" s="1284"/>
      <c r="Z82" s="480"/>
      <c r="AA82" s="1284"/>
      <c r="AB82" s="1284"/>
      <c r="AC82" s="1284"/>
      <c r="AD82" s="1284"/>
      <c r="AE82" s="1284"/>
      <c r="AF82" s="1550"/>
      <c r="AG82" s="558"/>
      <c r="AH82" s="558"/>
      <c r="AI82" s="558"/>
      <c r="AJ82" s="558"/>
      <c r="AK82" s="1559">
        <v>11</v>
      </c>
    </row>
    <row r="83" spans="1:37" s="2028" customFormat="1" ht="11.45" customHeight="1">
      <c r="A83" s="911"/>
      <c r="B83" s="911"/>
      <c r="C83" s="911"/>
      <c r="D83" s="911"/>
      <c r="E83" s="911"/>
      <c r="F83" s="1554"/>
      <c r="G83" s="1554"/>
      <c r="H83" s="287"/>
      <c r="N83" s="1284"/>
      <c r="P83" s="1284"/>
      <c r="Q83" s="1554"/>
      <c r="R83" s="1554"/>
      <c r="S83" s="1284"/>
      <c r="T83" s="1284"/>
      <c r="U83" s="1284"/>
      <c r="V83" s="1284"/>
      <c r="W83" s="1554"/>
      <c r="X83" s="1284"/>
      <c r="Y83" s="1284"/>
      <c r="Z83" s="480"/>
      <c r="AA83" s="1284"/>
      <c r="AB83" s="1284"/>
      <c r="AC83" s="1284"/>
      <c r="AD83" s="1284"/>
      <c r="AE83" s="1284"/>
      <c r="AF83" s="1550"/>
      <c r="AG83" s="558"/>
      <c r="AH83" s="558"/>
      <c r="AI83" s="558"/>
      <c r="AJ83" s="558"/>
      <c r="AK83" s="1559">
        <v>11</v>
      </c>
    </row>
    <row r="84" spans="1:37" s="2028" customFormat="1" ht="11.45" customHeight="1">
      <c r="A84" s="911"/>
      <c r="B84" s="911"/>
      <c r="C84" s="911"/>
      <c r="D84" s="911"/>
      <c r="E84" s="911"/>
      <c r="F84" s="1554"/>
      <c r="G84" s="1554"/>
      <c r="H84" s="287"/>
      <c r="N84" s="1284"/>
      <c r="P84" s="1284"/>
      <c r="Q84" s="1554"/>
      <c r="R84" s="1554"/>
      <c r="S84" s="1284"/>
      <c r="T84" s="1284"/>
      <c r="U84" s="1284"/>
      <c r="V84" s="1284"/>
      <c r="W84" s="1554"/>
      <c r="X84" s="1284"/>
      <c r="Y84" s="1284"/>
      <c r="Z84" s="480"/>
      <c r="AA84" s="1284"/>
      <c r="AB84" s="1284"/>
      <c r="AC84" s="1284"/>
      <c r="AD84" s="1284"/>
      <c r="AE84" s="1284"/>
      <c r="AF84" s="1550"/>
      <c r="AG84" s="558"/>
      <c r="AH84" s="558"/>
      <c r="AI84" s="558"/>
      <c r="AJ84" s="558"/>
      <c r="AK84" s="1559">
        <v>11</v>
      </c>
    </row>
    <row r="85" spans="1:37" s="2028" customFormat="1" ht="11.45" customHeight="1">
      <c r="A85" s="911"/>
      <c r="B85" s="911"/>
      <c r="C85" s="911"/>
      <c r="D85" s="911"/>
      <c r="E85" s="911"/>
      <c r="F85" s="1554"/>
      <c r="G85" s="1554"/>
      <c r="H85" s="287"/>
      <c r="N85" s="1284"/>
      <c r="P85" s="1284"/>
      <c r="Q85" s="1554"/>
      <c r="R85" s="1554"/>
      <c r="S85" s="1284"/>
      <c r="T85" s="1284"/>
      <c r="U85" s="1284"/>
      <c r="V85" s="1284"/>
      <c r="W85" s="1554"/>
      <c r="X85" s="1284"/>
      <c r="Y85" s="1284"/>
      <c r="Z85" s="480"/>
      <c r="AA85" s="1284"/>
      <c r="AB85" s="1284"/>
      <c r="AC85" s="1284"/>
      <c r="AD85" s="1284"/>
      <c r="AE85" s="1284"/>
      <c r="AF85" s="1550"/>
      <c r="AG85" s="558"/>
      <c r="AH85" s="558"/>
      <c r="AI85" s="558"/>
      <c r="AJ85" s="558"/>
      <c r="AK85" s="1559">
        <v>11</v>
      </c>
    </row>
    <row r="86" spans="1:37" s="2028" customFormat="1" ht="11.45" customHeight="1">
      <c r="A86" s="911"/>
      <c r="B86" s="911"/>
      <c r="C86" s="911"/>
      <c r="D86" s="911"/>
      <c r="E86" s="911"/>
      <c r="F86" s="1554"/>
      <c r="G86" s="1554"/>
      <c r="H86" s="287"/>
      <c r="N86" s="1284"/>
      <c r="P86" s="1284"/>
      <c r="Q86" s="1554"/>
      <c r="R86" s="1554"/>
      <c r="S86" s="1284"/>
      <c r="T86" s="1284"/>
      <c r="U86" s="1284"/>
      <c r="V86" s="1284"/>
      <c r="W86" s="1554"/>
      <c r="X86" s="1284"/>
      <c r="Y86" s="1284"/>
      <c r="Z86" s="480"/>
      <c r="AA86" s="1284"/>
      <c r="AB86" s="1284"/>
      <c r="AC86" s="1284"/>
      <c r="AD86" s="1284"/>
      <c r="AE86" s="1284"/>
      <c r="AF86" s="1550"/>
      <c r="AG86" s="558"/>
      <c r="AH86" s="558"/>
      <c r="AI86" s="558"/>
      <c r="AJ86" s="558"/>
      <c r="AK86" s="1559">
        <v>11</v>
      </c>
    </row>
    <row r="87" spans="1:37" s="2028" customFormat="1" ht="11.45" customHeight="1">
      <c r="A87" s="911"/>
      <c r="B87" s="911"/>
      <c r="C87" s="911"/>
      <c r="D87" s="911"/>
      <c r="E87" s="911"/>
      <c r="F87" s="1554"/>
      <c r="G87" s="1554"/>
      <c r="H87" s="287"/>
      <c r="N87" s="1284"/>
      <c r="P87" s="1284"/>
      <c r="Q87" s="1554"/>
      <c r="R87" s="1554"/>
      <c r="S87" s="1284"/>
      <c r="T87" s="1284"/>
      <c r="U87" s="1284"/>
      <c r="V87" s="1284"/>
      <c r="W87" s="1554"/>
      <c r="X87" s="1284"/>
      <c r="Y87" s="1284"/>
      <c r="Z87" s="480"/>
      <c r="AA87" s="1284"/>
      <c r="AB87" s="1284"/>
      <c r="AC87" s="1284"/>
      <c r="AD87" s="1284"/>
      <c r="AE87" s="1284"/>
      <c r="AF87" s="1550"/>
      <c r="AG87" s="558"/>
      <c r="AH87" s="558"/>
      <c r="AI87" s="558"/>
      <c r="AJ87" s="558"/>
      <c r="AK87" s="1559">
        <v>11</v>
      </c>
    </row>
    <row r="88" spans="1:37" s="2028" customFormat="1" ht="11.45" customHeight="1">
      <c r="A88" s="911"/>
      <c r="B88" s="911"/>
      <c r="C88" s="911"/>
      <c r="D88" s="911"/>
      <c r="E88" s="911"/>
      <c r="F88" s="1554"/>
      <c r="G88" s="1554"/>
      <c r="H88" s="287"/>
      <c r="N88" s="1284"/>
      <c r="P88" s="1284"/>
      <c r="Q88" s="1554"/>
      <c r="R88" s="1554"/>
      <c r="S88" s="1284"/>
      <c r="T88" s="1284"/>
      <c r="U88" s="1284"/>
      <c r="V88" s="1284"/>
      <c r="W88" s="1554"/>
      <c r="X88" s="1284"/>
      <c r="Y88" s="1284"/>
      <c r="Z88" s="480"/>
      <c r="AA88" s="1284"/>
      <c r="AB88" s="1284"/>
      <c r="AC88" s="1284"/>
      <c r="AD88" s="1284"/>
      <c r="AE88" s="1284"/>
      <c r="AF88" s="1550"/>
      <c r="AG88" s="558"/>
      <c r="AH88" s="558"/>
      <c r="AI88" s="558"/>
      <c r="AJ88" s="558"/>
      <c r="AK88" s="1559">
        <v>11</v>
      </c>
    </row>
    <row r="89" spans="1:37" s="2028" customFormat="1" ht="11.45" customHeight="1">
      <c r="A89" s="911"/>
      <c r="B89" s="911"/>
      <c r="C89" s="911"/>
      <c r="D89" s="911"/>
      <c r="E89" s="911"/>
      <c r="F89" s="1554"/>
      <c r="G89" s="1554"/>
      <c r="H89" s="287"/>
      <c r="N89" s="1284"/>
      <c r="P89" s="1284"/>
      <c r="Q89" s="1554"/>
      <c r="R89" s="1554"/>
      <c r="S89" s="1284"/>
      <c r="T89" s="1284"/>
      <c r="U89" s="1284"/>
      <c r="V89" s="1284"/>
      <c r="W89" s="1554"/>
      <c r="X89" s="1284"/>
      <c r="Y89" s="1284"/>
      <c r="Z89" s="480"/>
      <c r="AA89" s="1284"/>
      <c r="AB89" s="1284"/>
      <c r="AC89" s="1284"/>
      <c r="AD89" s="1284"/>
      <c r="AE89" s="1284"/>
      <c r="AF89" s="1550"/>
      <c r="AG89" s="558"/>
      <c r="AH89" s="558"/>
      <c r="AI89" s="558"/>
      <c r="AJ89" s="558"/>
      <c r="AK89" s="1559">
        <v>11</v>
      </c>
    </row>
    <row r="90" spans="1:37" s="2028" customFormat="1" ht="11.45" customHeight="1">
      <c r="A90" s="911"/>
      <c r="B90" s="911"/>
      <c r="C90" s="911"/>
      <c r="D90" s="911"/>
      <c r="E90" s="911"/>
      <c r="F90" s="1554"/>
      <c r="G90" s="1554"/>
      <c r="H90" s="287"/>
      <c r="N90" s="1284"/>
      <c r="P90" s="1284"/>
      <c r="Q90" s="1554"/>
      <c r="R90" s="1554"/>
      <c r="S90" s="1284"/>
      <c r="T90" s="1284"/>
      <c r="U90" s="1284"/>
      <c r="V90" s="1284"/>
      <c r="W90" s="1554"/>
      <c r="X90" s="1284"/>
      <c r="Y90" s="1284"/>
      <c r="Z90" s="480"/>
      <c r="AA90" s="1284"/>
      <c r="AB90" s="1284"/>
      <c r="AC90" s="1284"/>
      <c r="AD90" s="1284"/>
      <c r="AE90" s="1284"/>
      <c r="AF90" s="1550"/>
      <c r="AG90" s="558"/>
      <c r="AH90" s="558"/>
      <c r="AI90" s="558"/>
      <c r="AJ90" s="558"/>
      <c r="AK90" s="1559">
        <v>11</v>
      </c>
    </row>
    <row r="91" spans="1:37" s="2028" customFormat="1" ht="11.45" customHeight="1">
      <c r="A91" s="911"/>
      <c r="B91" s="911"/>
      <c r="C91" s="911"/>
      <c r="D91" s="911"/>
      <c r="E91" s="911"/>
      <c r="F91" s="1554"/>
      <c r="G91" s="1554"/>
      <c r="H91" s="287"/>
      <c r="N91" s="1284"/>
      <c r="P91" s="1284"/>
      <c r="Q91" s="1554"/>
      <c r="R91" s="1554"/>
      <c r="S91" s="1284"/>
      <c r="T91" s="1284"/>
      <c r="U91" s="1284"/>
      <c r="V91" s="1284"/>
      <c r="W91" s="1554"/>
      <c r="X91" s="1284"/>
      <c r="Y91" s="1284"/>
      <c r="Z91" s="480"/>
      <c r="AA91" s="1284"/>
      <c r="AB91" s="1284"/>
      <c r="AC91" s="1284"/>
      <c r="AD91" s="1284"/>
      <c r="AE91" s="1284"/>
      <c r="AF91" s="1550"/>
      <c r="AG91" s="558"/>
      <c r="AH91" s="558"/>
      <c r="AI91" s="558"/>
      <c r="AJ91" s="558"/>
      <c r="AK91" s="1559">
        <v>11</v>
      </c>
    </row>
    <row r="92" spans="1:37" s="2028" customFormat="1" ht="11.45" customHeight="1">
      <c r="A92" s="911"/>
      <c r="B92" s="911"/>
      <c r="C92" s="911"/>
      <c r="D92" s="911"/>
      <c r="E92" s="911"/>
      <c r="F92" s="1554"/>
      <c r="G92" s="1554"/>
      <c r="H92" s="287"/>
      <c r="N92" s="1284"/>
      <c r="P92" s="1284"/>
      <c r="Q92" s="1554"/>
      <c r="R92" s="1554"/>
      <c r="S92" s="1284"/>
      <c r="T92" s="1284"/>
      <c r="U92" s="1284"/>
      <c r="V92" s="1284"/>
      <c r="W92" s="1554"/>
      <c r="X92" s="1284"/>
      <c r="Y92" s="1284"/>
      <c r="Z92" s="480"/>
      <c r="AA92" s="1284"/>
      <c r="AB92" s="1284"/>
      <c r="AC92" s="1284"/>
      <c r="AD92" s="1284"/>
      <c r="AE92" s="1284"/>
      <c r="AF92" s="1550"/>
      <c r="AG92" s="558"/>
      <c r="AH92" s="558"/>
      <c r="AI92" s="558"/>
      <c r="AJ92" s="558"/>
      <c r="AK92" s="1559">
        <v>11</v>
      </c>
    </row>
    <row r="93" spans="1:37" s="2028" customFormat="1" ht="11.45" customHeight="1">
      <c r="A93" s="911"/>
      <c r="B93" s="911"/>
      <c r="C93" s="911"/>
      <c r="D93" s="911"/>
      <c r="E93" s="911"/>
      <c r="F93" s="1554"/>
      <c r="G93" s="1554"/>
      <c r="H93" s="287"/>
      <c r="N93" s="1284"/>
      <c r="P93" s="1284"/>
      <c r="Q93" s="1554"/>
      <c r="R93" s="1554"/>
      <c r="S93" s="1284"/>
      <c r="T93" s="1284"/>
      <c r="U93" s="1284"/>
      <c r="V93" s="1284"/>
      <c r="W93" s="1554"/>
      <c r="X93" s="1284"/>
      <c r="Y93" s="1284"/>
      <c r="Z93" s="480"/>
      <c r="AA93" s="1284"/>
      <c r="AB93" s="1284"/>
      <c r="AC93" s="1284"/>
      <c r="AD93" s="1284"/>
      <c r="AE93" s="1284"/>
      <c r="AF93" s="1550"/>
      <c r="AG93" s="558"/>
      <c r="AH93" s="558"/>
      <c r="AI93" s="558"/>
      <c r="AJ93" s="558"/>
      <c r="AK93" s="1559">
        <v>11</v>
      </c>
    </row>
    <row r="94" spans="1:37" s="2028" customFormat="1" ht="11.45" customHeight="1">
      <c r="A94" s="911"/>
      <c r="B94" s="911"/>
      <c r="C94" s="911"/>
      <c r="D94" s="911"/>
      <c r="E94" s="911"/>
      <c r="F94" s="1554"/>
      <c r="G94" s="1554"/>
      <c r="H94" s="287"/>
      <c r="N94" s="1284"/>
      <c r="P94" s="1284"/>
      <c r="Q94" s="1554"/>
      <c r="R94" s="1554"/>
      <c r="S94" s="1284"/>
      <c r="T94" s="1284"/>
      <c r="U94" s="1284"/>
      <c r="V94" s="1284"/>
      <c r="W94" s="1554"/>
      <c r="X94" s="1284"/>
      <c r="Y94" s="1284"/>
      <c r="Z94" s="480"/>
      <c r="AA94" s="1284"/>
      <c r="AB94" s="1284"/>
      <c r="AC94" s="1284"/>
      <c r="AD94" s="1284"/>
      <c r="AE94" s="1284"/>
      <c r="AF94" s="1550"/>
      <c r="AG94" s="558"/>
      <c r="AH94" s="558"/>
      <c r="AI94" s="558"/>
      <c r="AJ94" s="558"/>
      <c r="AK94" s="1559">
        <v>11</v>
      </c>
    </row>
    <row r="95" spans="1:37" s="2028" customFormat="1" ht="11.45" customHeight="1">
      <c r="A95" s="911"/>
      <c r="B95" s="911"/>
      <c r="C95" s="911"/>
      <c r="D95" s="911"/>
      <c r="E95" s="911"/>
      <c r="F95" s="1554"/>
      <c r="G95" s="1554"/>
      <c r="H95" s="287"/>
      <c r="N95" s="1284"/>
      <c r="P95" s="1284"/>
      <c r="Q95" s="1554"/>
      <c r="R95" s="1554"/>
      <c r="S95" s="1284"/>
      <c r="T95" s="1284"/>
      <c r="U95" s="1284"/>
      <c r="V95" s="1284"/>
      <c r="W95" s="1554"/>
      <c r="X95" s="1284"/>
      <c r="Y95" s="1284"/>
      <c r="Z95" s="480"/>
      <c r="AA95" s="1284"/>
      <c r="AB95" s="1284"/>
      <c r="AC95" s="1284"/>
      <c r="AD95" s="1284"/>
      <c r="AE95" s="1284"/>
      <c r="AF95" s="1550"/>
      <c r="AG95" s="558"/>
      <c r="AH95" s="558"/>
      <c r="AI95" s="558"/>
      <c r="AJ95" s="558"/>
      <c r="AK95" s="1559">
        <v>11</v>
      </c>
    </row>
    <row r="96" spans="1:37" s="2028" customFormat="1" ht="11.45" customHeight="1">
      <c r="A96" s="911"/>
      <c r="B96" s="911"/>
      <c r="C96" s="911"/>
      <c r="D96" s="911"/>
      <c r="E96" s="911"/>
      <c r="F96" s="1554"/>
      <c r="G96" s="1554"/>
      <c r="H96" s="287"/>
      <c r="N96" s="1284"/>
      <c r="P96" s="1284"/>
      <c r="Q96" s="1554"/>
      <c r="R96" s="1554"/>
      <c r="S96" s="1284"/>
      <c r="T96" s="1284"/>
      <c r="U96" s="1284"/>
      <c r="V96" s="1284"/>
      <c r="W96" s="1554"/>
      <c r="X96" s="1284"/>
      <c r="Y96" s="1284"/>
      <c r="Z96" s="480"/>
      <c r="AA96" s="1284"/>
      <c r="AB96" s="1284"/>
      <c r="AC96" s="1284"/>
      <c r="AD96" s="1284"/>
      <c r="AE96" s="1284"/>
      <c r="AF96" s="1550"/>
      <c r="AG96" s="558"/>
      <c r="AH96" s="558"/>
      <c r="AI96" s="558"/>
      <c r="AJ96" s="558"/>
      <c r="AK96" s="1559">
        <v>11</v>
      </c>
    </row>
    <row r="97" spans="1:37" s="2028" customFormat="1" ht="11.45" customHeight="1">
      <c r="A97" s="911"/>
      <c r="B97" s="911"/>
      <c r="C97" s="911"/>
      <c r="D97" s="911"/>
      <c r="E97" s="911"/>
      <c r="F97" s="1554"/>
      <c r="G97" s="1554"/>
      <c r="H97" s="287"/>
      <c r="N97" s="1284"/>
      <c r="P97" s="1284"/>
      <c r="Q97" s="1554"/>
      <c r="R97" s="1554"/>
      <c r="S97" s="1284"/>
      <c r="T97" s="1284"/>
      <c r="U97" s="1284"/>
      <c r="V97" s="1284"/>
      <c r="W97" s="1554"/>
      <c r="X97" s="1284"/>
      <c r="Y97" s="1284"/>
      <c r="Z97" s="480"/>
      <c r="AA97" s="1284"/>
      <c r="AB97" s="1284"/>
      <c r="AC97" s="1284"/>
      <c r="AD97" s="1284"/>
      <c r="AE97" s="1284"/>
      <c r="AF97" s="1550"/>
      <c r="AG97" s="558"/>
      <c r="AH97" s="558"/>
      <c r="AI97" s="558"/>
      <c r="AJ97" s="558"/>
      <c r="AK97" s="1559">
        <v>11</v>
      </c>
    </row>
    <row r="98" spans="1:37" s="2028" customFormat="1" ht="11.45" customHeight="1">
      <c r="A98" s="911"/>
      <c r="B98" s="911"/>
      <c r="C98" s="911"/>
      <c r="D98" s="911"/>
      <c r="E98" s="911"/>
      <c r="F98" s="1554"/>
      <c r="G98" s="1554"/>
      <c r="H98" s="287"/>
      <c r="N98" s="1284"/>
      <c r="P98" s="1284"/>
      <c r="Q98" s="1554"/>
      <c r="R98" s="1554"/>
      <c r="S98" s="1284"/>
      <c r="T98" s="1284"/>
      <c r="U98" s="1284"/>
      <c r="V98" s="1284"/>
      <c r="W98" s="1554"/>
      <c r="X98" s="1284"/>
      <c r="Y98" s="1284"/>
      <c r="Z98" s="480"/>
      <c r="AA98" s="1284"/>
      <c r="AB98" s="1284"/>
      <c r="AC98" s="1284"/>
      <c r="AD98" s="1284"/>
      <c r="AE98" s="1284"/>
      <c r="AF98" s="1550"/>
      <c r="AG98" s="558"/>
      <c r="AH98" s="558"/>
      <c r="AI98" s="558"/>
      <c r="AJ98" s="558"/>
      <c r="AK98" s="1559">
        <v>11</v>
      </c>
    </row>
    <row r="99" spans="1:37" s="2028" customFormat="1" ht="11.45" customHeight="1">
      <c r="A99" s="911"/>
      <c r="B99" s="911"/>
      <c r="C99" s="911"/>
      <c r="D99" s="911"/>
      <c r="E99" s="911"/>
      <c r="F99" s="1554"/>
      <c r="G99" s="1554"/>
      <c r="H99" s="287"/>
      <c r="N99" s="1284"/>
      <c r="P99" s="1284"/>
      <c r="Q99" s="1554"/>
      <c r="R99" s="1554"/>
      <c r="S99" s="1284"/>
      <c r="T99" s="1284"/>
      <c r="U99" s="1284"/>
      <c r="V99" s="1284"/>
      <c r="W99" s="1554"/>
      <c r="X99" s="1284"/>
      <c r="Y99" s="1284"/>
      <c r="Z99" s="480"/>
      <c r="AA99" s="1284"/>
      <c r="AB99" s="1284"/>
      <c r="AC99" s="1284"/>
      <c r="AD99" s="1284"/>
      <c r="AE99" s="1284"/>
      <c r="AF99" s="1550"/>
      <c r="AG99" s="558"/>
      <c r="AH99" s="558"/>
      <c r="AI99" s="558"/>
      <c r="AJ99" s="558"/>
      <c r="AK99" s="1559">
        <v>11</v>
      </c>
    </row>
    <row r="100" spans="1:37" s="2028" customFormat="1" ht="11.45" customHeight="1">
      <c r="A100" s="911"/>
      <c r="B100" s="911"/>
      <c r="C100" s="911"/>
      <c r="D100" s="911"/>
      <c r="E100" s="911"/>
      <c r="F100" s="1554"/>
      <c r="G100" s="1554"/>
      <c r="H100" s="287"/>
      <c r="N100" s="1284"/>
      <c r="P100" s="1284"/>
      <c r="Q100" s="1554"/>
      <c r="R100" s="1554"/>
      <c r="S100" s="1284"/>
      <c r="T100" s="1284"/>
      <c r="U100" s="1284"/>
      <c r="V100" s="1284"/>
      <c r="W100" s="1554"/>
      <c r="X100" s="1284"/>
      <c r="Y100" s="1284"/>
      <c r="Z100" s="480"/>
      <c r="AA100" s="1284"/>
      <c r="AB100" s="1284"/>
      <c r="AC100" s="1284"/>
      <c r="AD100" s="1284"/>
      <c r="AE100" s="1284"/>
      <c r="AF100" s="1550"/>
      <c r="AG100" s="558"/>
      <c r="AH100" s="558"/>
      <c r="AI100" s="558"/>
      <c r="AJ100" s="558"/>
      <c r="AK100" s="1559">
        <v>11</v>
      </c>
    </row>
    <row r="101" spans="1:37" s="2028" customFormat="1" ht="11.45" customHeight="1">
      <c r="A101" s="911"/>
      <c r="B101" s="911"/>
      <c r="C101" s="911"/>
      <c r="D101" s="911"/>
      <c r="E101" s="911"/>
      <c r="F101" s="1554"/>
      <c r="G101" s="1554"/>
      <c r="H101" s="287"/>
      <c r="N101" s="1284"/>
      <c r="P101" s="1284"/>
      <c r="Q101" s="1554"/>
      <c r="R101" s="1554"/>
      <c r="S101" s="1284"/>
      <c r="T101" s="1284"/>
      <c r="U101" s="1284"/>
      <c r="V101" s="1284"/>
      <c r="W101" s="1554"/>
      <c r="X101" s="1284"/>
      <c r="Y101" s="1284"/>
      <c r="Z101" s="480"/>
      <c r="AA101" s="1284"/>
      <c r="AB101" s="1284"/>
      <c r="AC101" s="1284"/>
      <c r="AD101" s="1284"/>
      <c r="AE101" s="1284"/>
      <c r="AF101" s="1550"/>
      <c r="AG101" s="558"/>
      <c r="AH101" s="558"/>
      <c r="AI101" s="558"/>
      <c r="AJ101" s="558"/>
      <c r="AK101" s="1559">
        <v>11</v>
      </c>
    </row>
    <row r="102" spans="1:37" s="2028" customFormat="1" ht="11.45" customHeight="1">
      <c r="A102" s="911"/>
      <c r="B102" s="911"/>
      <c r="C102" s="911"/>
      <c r="D102" s="911"/>
      <c r="E102" s="911"/>
      <c r="F102" s="1554"/>
      <c r="G102" s="1554"/>
      <c r="H102" s="287"/>
      <c r="N102" s="1284"/>
      <c r="P102" s="1284"/>
      <c r="Q102" s="1554"/>
      <c r="R102" s="1554"/>
      <c r="S102" s="1284"/>
      <c r="T102" s="1284"/>
      <c r="U102" s="1284"/>
      <c r="V102" s="1284"/>
      <c r="W102" s="1554"/>
      <c r="X102" s="1284"/>
      <c r="Y102" s="1284"/>
      <c r="Z102" s="480"/>
      <c r="AA102" s="1284"/>
      <c r="AB102" s="1284"/>
      <c r="AC102" s="1284"/>
      <c r="AD102" s="1284"/>
      <c r="AE102" s="1284"/>
      <c r="AF102" s="1550"/>
      <c r="AG102" s="558"/>
      <c r="AH102" s="558"/>
      <c r="AI102" s="558"/>
      <c r="AJ102" s="558"/>
      <c r="AK102" s="1559">
        <v>11</v>
      </c>
    </row>
    <row r="103" spans="1:37" s="2028" customFormat="1" ht="11.45" customHeight="1">
      <c r="A103" s="911"/>
      <c r="B103" s="911"/>
      <c r="C103" s="911"/>
      <c r="D103" s="911"/>
      <c r="E103" s="911"/>
      <c r="F103" s="1554"/>
      <c r="G103" s="1554"/>
      <c r="H103" s="287"/>
      <c r="N103" s="1284"/>
      <c r="P103" s="1284"/>
      <c r="Q103" s="1554"/>
      <c r="R103" s="1554"/>
      <c r="S103" s="1284"/>
      <c r="T103" s="1284"/>
      <c r="U103" s="1284"/>
      <c r="V103" s="1284"/>
      <c r="W103" s="1554"/>
      <c r="X103" s="1284"/>
      <c r="Y103" s="1284"/>
      <c r="Z103" s="480"/>
      <c r="AA103" s="1284"/>
      <c r="AB103" s="1284"/>
      <c r="AC103" s="1284"/>
      <c r="AD103" s="1284"/>
      <c r="AE103" s="1284"/>
      <c r="AF103" s="1550"/>
      <c r="AG103" s="558"/>
      <c r="AH103" s="558"/>
      <c r="AI103" s="558"/>
      <c r="AJ103" s="558"/>
      <c r="AK103" s="1559">
        <v>11</v>
      </c>
    </row>
    <row r="104" spans="1:37" s="2028" customFormat="1" ht="11.45" customHeight="1">
      <c r="A104" s="911"/>
      <c r="B104" s="911"/>
      <c r="C104" s="911"/>
      <c r="D104" s="911"/>
      <c r="E104" s="911"/>
      <c r="F104" s="1554"/>
      <c r="G104" s="1554"/>
      <c r="H104" s="287"/>
      <c r="N104" s="1284"/>
      <c r="P104" s="1284"/>
      <c r="Q104" s="1554"/>
      <c r="R104" s="1554"/>
      <c r="S104" s="1284"/>
      <c r="T104" s="1284"/>
      <c r="U104" s="1284"/>
      <c r="V104" s="1284"/>
      <c r="W104" s="1554"/>
      <c r="X104" s="1284"/>
      <c r="Y104" s="1284"/>
      <c r="Z104" s="480"/>
      <c r="AA104" s="1284"/>
      <c r="AB104" s="1284"/>
      <c r="AC104" s="1284"/>
      <c r="AD104" s="1284"/>
      <c r="AE104" s="1284"/>
      <c r="AF104" s="1550"/>
      <c r="AG104" s="558"/>
      <c r="AH104" s="558"/>
      <c r="AI104" s="558"/>
      <c r="AJ104" s="558"/>
      <c r="AK104" s="1559">
        <v>11</v>
      </c>
    </row>
    <row r="105" spans="1:37" s="2028" customFormat="1" ht="11.45" customHeight="1">
      <c r="A105" s="911"/>
      <c r="B105" s="911"/>
      <c r="C105" s="911"/>
      <c r="D105" s="911"/>
      <c r="E105" s="911"/>
      <c r="F105" s="1554"/>
      <c r="G105" s="1554"/>
      <c r="H105" s="287"/>
      <c r="N105" s="1284"/>
      <c r="P105" s="1284"/>
      <c r="Q105" s="1554"/>
      <c r="R105" s="1554"/>
      <c r="S105" s="1284"/>
      <c r="T105" s="1284"/>
      <c r="U105" s="1284"/>
      <c r="V105" s="1284"/>
      <c r="W105" s="1554"/>
      <c r="X105" s="1284"/>
      <c r="Y105" s="1284"/>
      <c r="Z105" s="480"/>
      <c r="AA105" s="1284"/>
      <c r="AB105" s="1284"/>
      <c r="AC105" s="1284"/>
      <c r="AD105" s="1284"/>
      <c r="AE105" s="1284"/>
      <c r="AF105" s="1550"/>
      <c r="AG105" s="558"/>
      <c r="AH105" s="558"/>
      <c r="AI105" s="558"/>
      <c r="AJ105" s="558"/>
      <c r="AK105" s="1559">
        <v>11</v>
      </c>
    </row>
    <row r="106" spans="1:37" s="2028" customFormat="1" ht="11.45" customHeight="1">
      <c r="A106" s="911"/>
      <c r="B106" s="911"/>
      <c r="C106" s="911"/>
      <c r="D106" s="911"/>
      <c r="E106" s="911"/>
      <c r="F106" s="1554"/>
      <c r="G106" s="1554"/>
      <c r="H106" s="287"/>
      <c r="N106" s="1284"/>
      <c r="P106" s="1284"/>
      <c r="Q106" s="1554"/>
      <c r="R106" s="1554"/>
      <c r="S106" s="1284"/>
      <c r="T106" s="1284"/>
      <c r="U106" s="1284"/>
      <c r="V106" s="1284"/>
      <c r="W106" s="1554"/>
      <c r="X106" s="1284"/>
      <c r="Y106" s="1284"/>
      <c r="Z106" s="480"/>
      <c r="AA106" s="1284"/>
      <c r="AB106" s="1284"/>
      <c r="AC106" s="1284"/>
      <c r="AD106" s="1284"/>
      <c r="AE106" s="1284"/>
      <c r="AF106" s="1550"/>
      <c r="AG106" s="558"/>
      <c r="AH106" s="558"/>
      <c r="AI106" s="558"/>
      <c r="AJ106" s="558"/>
      <c r="AK106" s="1559">
        <v>11</v>
      </c>
    </row>
    <row r="107" spans="1:37" s="2028" customFormat="1" ht="11.45" customHeight="1">
      <c r="A107" s="911"/>
      <c r="B107" s="911"/>
      <c r="C107" s="911"/>
      <c r="D107" s="911"/>
      <c r="E107" s="911"/>
      <c r="F107" s="1554"/>
      <c r="G107" s="1554"/>
      <c r="H107" s="287"/>
      <c r="N107" s="1284"/>
      <c r="P107" s="1284"/>
      <c r="Q107" s="1554"/>
      <c r="R107" s="1554"/>
      <c r="S107" s="1284"/>
      <c r="T107" s="1284"/>
      <c r="U107" s="1284"/>
      <c r="V107" s="1284"/>
      <c r="W107" s="1554"/>
      <c r="X107" s="1284"/>
      <c r="Y107" s="1284"/>
      <c r="Z107" s="480"/>
      <c r="AA107" s="1284"/>
      <c r="AB107" s="1284"/>
      <c r="AC107" s="1284"/>
      <c r="AD107" s="1284"/>
      <c r="AE107" s="1284"/>
      <c r="AF107" s="1550"/>
      <c r="AG107" s="558"/>
      <c r="AH107" s="558"/>
      <c r="AI107" s="558"/>
      <c r="AJ107" s="558"/>
      <c r="AK107" s="1559">
        <v>11</v>
      </c>
    </row>
    <row r="108" spans="1:37" s="2028" customFormat="1" ht="11.45" customHeight="1">
      <c r="A108" s="911"/>
      <c r="B108" s="911"/>
      <c r="C108" s="911"/>
      <c r="D108" s="911"/>
      <c r="E108" s="911"/>
      <c r="F108" s="1554"/>
      <c r="G108" s="1554"/>
      <c r="H108" s="287"/>
      <c r="N108" s="1284"/>
      <c r="P108" s="1284"/>
      <c r="Q108" s="1554"/>
      <c r="R108" s="1554"/>
      <c r="S108" s="1284"/>
      <c r="T108" s="1284"/>
      <c r="U108" s="1284"/>
      <c r="V108" s="1284"/>
      <c r="W108" s="1554"/>
      <c r="X108" s="1284"/>
      <c r="Y108" s="1284"/>
      <c r="Z108" s="480"/>
      <c r="AA108" s="1284"/>
      <c r="AB108" s="1284"/>
      <c r="AC108" s="1284"/>
      <c r="AD108" s="1284"/>
      <c r="AE108" s="1284"/>
      <c r="AF108" s="1550"/>
      <c r="AG108" s="558"/>
      <c r="AH108" s="558"/>
      <c r="AI108" s="558"/>
      <c r="AJ108" s="558"/>
      <c r="AK108" s="1559">
        <v>11</v>
      </c>
    </row>
    <row r="109" spans="1:37" s="2028" customFormat="1" ht="11.45" customHeight="1">
      <c r="A109" s="911"/>
      <c r="B109" s="911"/>
      <c r="C109" s="911"/>
      <c r="D109" s="911"/>
      <c r="E109" s="911"/>
      <c r="F109" s="1554"/>
      <c r="G109" s="1554"/>
      <c r="H109" s="287"/>
      <c r="N109" s="1284"/>
      <c r="P109" s="1284"/>
      <c r="Q109" s="1554"/>
      <c r="R109" s="1554"/>
      <c r="S109" s="1284"/>
      <c r="T109" s="1284"/>
      <c r="U109" s="1284"/>
      <c r="V109" s="1284"/>
      <c r="W109" s="1554"/>
      <c r="X109" s="1284"/>
      <c r="Y109" s="1284"/>
      <c r="Z109" s="480"/>
      <c r="AA109" s="1284"/>
      <c r="AB109" s="1284"/>
      <c r="AC109" s="1284"/>
      <c r="AD109" s="1284"/>
      <c r="AE109" s="1284"/>
      <c r="AF109" s="1550"/>
      <c r="AG109" s="558"/>
      <c r="AH109" s="558"/>
      <c r="AI109" s="558"/>
      <c r="AJ109" s="558"/>
      <c r="AK109" s="1559">
        <v>11</v>
      </c>
    </row>
    <row r="110" spans="1:37" s="2028" customFormat="1" ht="11.45" customHeight="1">
      <c r="A110" s="911"/>
      <c r="B110" s="911"/>
      <c r="C110" s="911"/>
      <c r="D110" s="911"/>
      <c r="E110" s="911"/>
      <c r="F110" s="1554"/>
      <c r="G110" s="1554"/>
      <c r="H110" s="287"/>
      <c r="N110" s="1284"/>
      <c r="P110" s="1284"/>
      <c r="Q110" s="1554"/>
      <c r="R110" s="1554"/>
      <c r="S110" s="1284"/>
      <c r="T110" s="1284"/>
      <c r="U110" s="1284"/>
      <c r="V110" s="1284"/>
      <c r="W110" s="1554"/>
      <c r="X110" s="1284"/>
      <c r="Y110" s="1284"/>
      <c r="Z110" s="480"/>
      <c r="AA110" s="1284"/>
      <c r="AB110" s="1284"/>
      <c r="AC110" s="1284"/>
      <c r="AD110" s="1284"/>
      <c r="AE110" s="1284"/>
      <c r="AF110" s="1550"/>
      <c r="AG110" s="558"/>
      <c r="AH110" s="558"/>
      <c r="AI110" s="558"/>
      <c r="AJ110" s="558"/>
      <c r="AK110" s="1559">
        <v>11</v>
      </c>
    </row>
    <row r="111" spans="1:37" s="2028" customFormat="1" ht="11.45" customHeight="1">
      <c r="A111" s="911"/>
      <c r="B111" s="911"/>
      <c r="C111" s="911"/>
      <c r="D111" s="911"/>
      <c r="E111" s="911"/>
      <c r="F111" s="1554"/>
      <c r="G111" s="1554"/>
      <c r="H111" s="287"/>
      <c r="N111" s="1284"/>
      <c r="P111" s="1284"/>
      <c r="Q111" s="1554"/>
      <c r="R111" s="1554"/>
      <c r="S111" s="1284"/>
      <c r="T111" s="1284"/>
      <c r="U111" s="1284"/>
      <c r="V111" s="1284"/>
      <c r="W111" s="1554"/>
      <c r="X111" s="1284"/>
      <c r="Y111" s="1284"/>
      <c r="Z111" s="480"/>
      <c r="AA111" s="1284"/>
      <c r="AB111" s="1284"/>
      <c r="AC111" s="1284"/>
      <c r="AD111" s="1284"/>
      <c r="AE111" s="1284"/>
      <c r="AF111" s="1550"/>
      <c r="AG111" s="558"/>
      <c r="AH111" s="558"/>
      <c r="AI111" s="558"/>
      <c r="AJ111" s="558"/>
      <c r="AK111" s="1559">
        <v>11</v>
      </c>
    </row>
    <row r="112" spans="1:37" s="2028" customFormat="1" ht="11.45" customHeight="1">
      <c r="A112" s="911"/>
      <c r="B112" s="911"/>
      <c r="C112" s="911"/>
      <c r="D112" s="911"/>
      <c r="E112" s="911"/>
      <c r="F112" s="1554"/>
      <c r="G112" s="1554"/>
      <c r="H112" s="287"/>
      <c r="N112" s="1284"/>
      <c r="P112" s="1284"/>
      <c r="Q112" s="1554"/>
      <c r="R112" s="1554"/>
      <c r="S112" s="1284"/>
      <c r="T112" s="1284"/>
      <c r="U112" s="1284"/>
      <c r="V112" s="1284"/>
      <c r="W112" s="1554"/>
      <c r="X112" s="1284"/>
      <c r="Y112" s="1284"/>
      <c r="Z112" s="480"/>
      <c r="AA112" s="1284"/>
      <c r="AB112" s="1284"/>
      <c r="AC112" s="1284"/>
      <c r="AD112" s="1284"/>
      <c r="AE112" s="1284"/>
      <c r="AF112" s="1550"/>
      <c r="AG112" s="558"/>
      <c r="AH112" s="558"/>
      <c r="AI112" s="558"/>
      <c r="AJ112" s="558"/>
      <c r="AK112" s="1559">
        <v>11</v>
      </c>
    </row>
    <row r="113" spans="1:37" s="2028" customFormat="1" ht="11.45" customHeight="1">
      <c r="A113" s="911"/>
      <c r="B113" s="911"/>
      <c r="C113" s="911"/>
      <c r="D113" s="911"/>
      <c r="E113" s="911"/>
      <c r="F113" s="1554"/>
      <c r="G113" s="1554"/>
      <c r="H113" s="287"/>
      <c r="N113" s="1284"/>
      <c r="P113" s="1284"/>
      <c r="Q113" s="1554"/>
      <c r="R113" s="1554"/>
      <c r="S113" s="1284"/>
      <c r="T113" s="1284"/>
      <c r="U113" s="1284"/>
      <c r="V113" s="1284"/>
      <c r="W113" s="1554"/>
      <c r="X113" s="1284"/>
      <c r="Y113" s="1284"/>
      <c r="Z113" s="480"/>
      <c r="AA113" s="1284"/>
      <c r="AB113" s="1284"/>
      <c r="AC113" s="1284"/>
      <c r="AD113" s="1284"/>
      <c r="AE113" s="1284"/>
      <c r="AF113" s="1550"/>
      <c r="AG113" s="558"/>
      <c r="AH113" s="558"/>
      <c r="AI113" s="558"/>
      <c r="AJ113" s="558"/>
      <c r="AK113" s="1559">
        <v>11</v>
      </c>
    </row>
    <row r="114" spans="1:37" s="2028" customFormat="1" ht="11.45" customHeight="1">
      <c r="A114" s="911"/>
      <c r="B114" s="911"/>
      <c r="C114" s="911"/>
      <c r="D114" s="911"/>
      <c r="E114" s="911"/>
      <c r="F114" s="1554"/>
      <c r="G114" s="1554"/>
      <c r="H114" s="287"/>
      <c r="N114" s="1284"/>
      <c r="P114" s="1284"/>
      <c r="Q114" s="1554"/>
      <c r="R114" s="1554"/>
      <c r="S114" s="1284"/>
      <c r="T114" s="1284"/>
      <c r="U114" s="1284"/>
      <c r="V114" s="1284"/>
      <c r="W114" s="1554"/>
      <c r="X114" s="1284"/>
      <c r="Y114" s="1284"/>
      <c r="Z114" s="480"/>
      <c r="AA114" s="1284"/>
      <c r="AB114" s="1284"/>
      <c r="AC114" s="1284"/>
      <c r="AD114" s="1284"/>
      <c r="AE114" s="1284"/>
      <c r="AF114" s="1550"/>
      <c r="AG114" s="558"/>
      <c r="AH114" s="558"/>
      <c r="AI114" s="558"/>
      <c r="AJ114" s="558"/>
      <c r="AK114" s="1559">
        <v>11</v>
      </c>
    </row>
    <row r="115" spans="1:37" s="2028" customFormat="1" ht="11.45" customHeight="1">
      <c r="A115" s="911"/>
      <c r="B115" s="911"/>
      <c r="C115" s="911"/>
      <c r="D115" s="911"/>
      <c r="E115" s="911"/>
      <c r="F115" s="1554"/>
      <c r="G115" s="1554"/>
      <c r="H115" s="287"/>
      <c r="N115" s="1284"/>
      <c r="P115" s="1284"/>
      <c r="Q115" s="1554"/>
      <c r="R115" s="1554"/>
      <c r="S115" s="1284"/>
      <c r="T115" s="1284"/>
      <c r="U115" s="1284"/>
      <c r="V115" s="1284"/>
      <c r="W115" s="1554"/>
      <c r="X115" s="1284"/>
      <c r="Y115" s="1284"/>
      <c r="Z115" s="480"/>
      <c r="AA115" s="1284"/>
      <c r="AB115" s="1284"/>
      <c r="AC115" s="1284"/>
      <c r="AD115" s="1284"/>
      <c r="AE115" s="1284"/>
      <c r="AF115" s="1550"/>
      <c r="AG115" s="558"/>
      <c r="AH115" s="558"/>
      <c r="AI115" s="558"/>
      <c r="AJ115" s="558"/>
      <c r="AK115" s="1559">
        <v>11</v>
      </c>
    </row>
    <row r="116" spans="1:37" s="2028" customFormat="1" ht="11.45" customHeight="1">
      <c r="A116" s="911"/>
      <c r="B116" s="911"/>
      <c r="C116" s="911"/>
      <c r="D116" s="911"/>
      <c r="E116" s="911"/>
      <c r="F116" s="1554"/>
      <c r="G116" s="1554"/>
      <c r="H116" s="287"/>
      <c r="N116" s="1284"/>
      <c r="P116" s="1284"/>
      <c r="Q116" s="1554"/>
      <c r="R116" s="1554"/>
      <c r="S116" s="1284"/>
      <c r="T116" s="1284"/>
      <c r="U116" s="1284"/>
      <c r="V116" s="1284"/>
      <c r="W116" s="1554"/>
      <c r="X116" s="1284"/>
      <c r="Y116" s="1284"/>
      <c r="Z116" s="480"/>
      <c r="AA116" s="1284"/>
      <c r="AB116" s="1284"/>
      <c r="AC116" s="1284"/>
      <c r="AD116" s="1284"/>
      <c r="AE116" s="1284"/>
      <c r="AF116" s="1550"/>
      <c r="AG116" s="558"/>
      <c r="AH116" s="558"/>
      <c r="AI116" s="558"/>
      <c r="AJ116" s="558"/>
      <c r="AK116" s="1559">
        <v>11</v>
      </c>
    </row>
    <row r="117" spans="1:37" s="2028" customFormat="1" ht="11.45" customHeight="1">
      <c r="A117" s="911"/>
      <c r="B117" s="911"/>
      <c r="C117" s="911"/>
      <c r="D117" s="911"/>
      <c r="E117" s="911"/>
      <c r="F117" s="1554"/>
      <c r="G117" s="1554"/>
      <c r="H117" s="287"/>
      <c r="N117" s="1284"/>
      <c r="P117" s="1284"/>
      <c r="Q117" s="1554"/>
      <c r="R117" s="1554"/>
      <c r="S117" s="1284"/>
      <c r="T117" s="1284"/>
      <c r="U117" s="1284"/>
      <c r="V117" s="1284"/>
      <c r="W117" s="1554"/>
      <c r="X117" s="1284"/>
      <c r="Y117" s="1284"/>
      <c r="Z117" s="480"/>
      <c r="AA117" s="1284"/>
      <c r="AB117" s="1284"/>
      <c r="AC117" s="1284"/>
      <c r="AD117" s="1284"/>
      <c r="AE117" s="1284"/>
      <c r="AF117" s="1550"/>
      <c r="AG117" s="558"/>
      <c r="AH117" s="558"/>
      <c r="AI117" s="558"/>
      <c r="AJ117" s="558"/>
      <c r="AK117" s="1559">
        <v>11</v>
      </c>
    </row>
    <row r="118" spans="1:37" s="2028" customFormat="1" ht="11.45" customHeight="1">
      <c r="A118" s="911"/>
      <c r="B118" s="911"/>
      <c r="C118" s="911"/>
      <c r="D118" s="911"/>
      <c r="E118" s="911"/>
      <c r="F118" s="1554"/>
      <c r="G118" s="1554"/>
      <c r="H118" s="287"/>
      <c r="N118" s="1284"/>
      <c r="P118" s="1284"/>
      <c r="Q118" s="1554"/>
      <c r="R118" s="1554"/>
      <c r="S118" s="1284"/>
      <c r="T118" s="1284"/>
      <c r="U118" s="1284"/>
      <c r="V118" s="1284"/>
      <c r="W118" s="1554"/>
      <c r="X118" s="1284"/>
      <c r="Y118" s="1284"/>
      <c r="Z118" s="480"/>
      <c r="AA118" s="1284"/>
      <c r="AB118" s="1284"/>
      <c r="AC118" s="1284"/>
      <c r="AD118" s="1284"/>
      <c r="AE118" s="1284"/>
      <c r="AF118" s="1550"/>
      <c r="AG118" s="558"/>
      <c r="AH118" s="558"/>
      <c r="AI118" s="558"/>
      <c r="AJ118" s="558"/>
      <c r="AK118" s="1559">
        <v>11</v>
      </c>
    </row>
    <row r="119" spans="1:37" s="2028" customFormat="1" ht="11.45" customHeight="1">
      <c r="A119" s="911"/>
      <c r="B119" s="911"/>
      <c r="C119" s="911"/>
      <c r="D119" s="911"/>
      <c r="E119" s="911"/>
      <c r="F119" s="1554"/>
      <c r="G119" s="1554"/>
      <c r="H119" s="287"/>
      <c r="N119" s="1284"/>
      <c r="P119" s="1284"/>
      <c r="Q119" s="1554"/>
      <c r="R119" s="1554"/>
      <c r="S119" s="1284"/>
      <c r="T119" s="1284"/>
      <c r="U119" s="1284"/>
      <c r="V119" s="1284"/>
      <c r="W119" s="1554"/>
      <c r="X119" s="1284"/>
      <c r="Y119" s="1284"/>
      <c r="Z119" s="480"/>
      <c r="AA119" s="1284"/>
      <c r="AB119" s="1284"/>
      <c r="AC119" s="1284"/>
      <c r="AD119" s="1284"/>
      <c r="AE119" s="1284"/>
      <c r="AF119" s="1550"/>
      <c r="AG119" s="558"/>
      <c r="AH119" s="558"/>
      <c r="AI119" s="558"/>
      <c r="AJ119" s="558"/>
      <c r="AK119" s="1559">
        <v>11</v>
      </c>
    </row>
    <row r="120" spans="1:37" s="2028" customFormat="1" ht="11.45" customHeight="1">
      <c r="A120" s="911"/>
      <c r="B120" s="911"/>
      <c r="C120" s="911"/>
      <c r="D120" s="911"/>
      <c r="E120" s="911"/>
      <c r="F120" s="1554"/>
      <c r="G120" s="1554"/>
      <c r="H120" s="287"/>
      <c r="N120" s="1284"/>
      <c r="P120" s="1284"/>
      <c r="Q120" s="1554"/>
      <c r="R120" s="1554"/>
      <c r="S120" s="1284"/>
      <c r="T120" s="1284"/>
      <c r="U120" s="1284"/>
      <c r="V120" s="1284"/>
      <c r="W120" s="1554"/>
      <c r="X120" s="1284"/>
      <c r="Y120" s="1284"/>
      <c r="Z120" s="480"/>
      <c r="AA120" s="1284"/>
      <c r="AB120" s="1284"/>
      <c r="AC120" s="1284"/>
      <c r="AD120" s="1284"/>
      <c r="AE120" s="1284"/>
      <c r="AF120" s="1550"/>
      <c r="AG120" s="558"/>
      <c r="AH120" s="558"/>
      <c r="AI120" s="558"/>
      <c r="AJ120" s="558"/>
      <c r="AK120" s="1559">
        <v>11</v>
      </c>
    </row>
    <row r="121" spans="1:37" s="2028" customFormat="1" ht="11.45" customHeight="1">
      <c r="A121" s="911"/>
      <c r="B121" s="911"/>
      <c r="C121" s="911"/>
      <c r="D121" s="911"/>
      <c r="E121" s="911"/>
      <c r="F121" s="1554"/>
      <c r="G121" s="1554"/>
      <c r="H121" s="287"/>
      <c r="N121" s="1284"/>
      <c r="P121" s="1284"/>
      <c r="Q121" s="1554"/>
      <c r="R121" s="1554"/>
      <c r="S121" s="1284"/>
      <c r="T121" s="1284"/>
      <c r="U121" s="1284"/>
      <c r="V121" s="1284"/>
      <c r="W121" s="1554"/>
      <c r="X121" s="1284"/>
      <c r="Y121" s="1284"/>
      <c r="Z121" s="480"/>
      <c r="AA121" s="1284"/>
      <c r="AB121" s="1284"/>
      <c r="AC121" s="1284"/>
      <c r="AD121" s="1284"/>
      <c r="AE121" s="1284"/>
      <c r="AF121" s="1550"/>
      <c r="AG121" s="558"/>
      <c r="AH121" s="558"/>
      <c r="AI121" s="558"/>
      <c r="AJ121" s="558"/>
      <c r="AK121" s="1559">
        <v>11</v>
      </c>
    </row>
    <row r="122" spans="1:37" s="2028" customFormat="1" ht="11.45" customHeight="1">
      <c r="A122" s="911"/>
      <c r="B122" s="911"/>
      <c r="C122" s="911"/>
      <c r="D122" s="911"/>
      <c r="E122" s="911"/>
      <c r="F122" s="1554"/>
      <c r="G122" s="1554"/>
      <c r="H122" s="287"/>
      <c r="N122" s="1284"/>
      <c r="P122" s="1284"/>
      <c r="Q122" s="1554"/>
      <c r="R122" s="1554"/>
      <c r="S122" s="1284"/>
      <c r="T122" s="1284"/>
      <c r="U122" s="1284"/>
      <c r="V122" s="1284"/>
      <c r="W122" s="1554"/>
      <c r="X122" s="1284"/>
      <c r="Y122" s="1284"/>
      <c r="Z122" s="480"/>
      <c r="AA122" s="1284"/>
      <c r="AB122" s="1284"/>
      <c r="AC122" s="1284"/>
      <c r="AD122" s="1284"/>
      <c r="AE122" s="1284"/>
      <c r="AF122" s="1550"/>
      <c r="AG122" s="558"/>
      <c r="AH122" s="558"/>
      <c r="AI122" s="558"/>
      <c r="AJ122" s="558"/>
      <c r="AK122" s="1559">
        <v>11</v>
      </c>
    </row>
    <row r="123" spans="1:37" s="2028" customFormat="1" ht="11.45" customHeight="1">
      <c r="A123" s="911"/>
      <c r="B123" s="911"/>
      <c r="C123" s="911"/>
      <c r="D123" s="911"/>
      <c r="E123" s="911"/>
      <c r="F123" s="1554"/>
      <c r="G123" s="1554"/>
      <c r="H123" s="287"/>
      <c r="N123" s="1284"/>
      <c r="P123" s="1284"/>
      <c r="Q123" s="1554"/>
      <c r="R123" s="1554"/>
      <c r="S123" s="1284"/>
      <c r="T123" s="1284"/>
      <c r="U123" s="1284"/>
      <c r="V123" s="1284"/>
      <c r="W123" s="1554"/>
      <c r="X123" s="1284"/>
      <c r="Y123" s="1284"/>
      <c r="Z123" s="480"/>
      <c r="AA123" s="1284"/>
      <c r="AB123" s="1284"/>
      <c r="AC123" s="1284"/>
      <c r="AD123" s="1284"/>
      <c r="AE123" s="1284"/>
      <c r="AF123" s="1550"/>
      <c r="AG123" s="558"/>
      <c r="AH123" s="558"/>
      <c r="AI123" s="558"/>
      <c r="AJ123" s="558"/>
      <c r="AK123" s="1559">
        <v>11</v>
      </c>
    </row>
    <row r="124" spans="1:37" s="2028" customFormat="1" ht="11.45" customHeight="1">
      <c r="A124" s="911"/>
      <c r="B124" s="911"/>
      <c r="C124" s="911"/>
      <c r="D124" s="911"/>
      <c r="E124" s="911"/>
      <c r="F124" s="1554"/>
      <c r="G124" s="1554"/>
      <c r="H124" s="287"/>
      <c r="N124" s="1284"/>
      <c r="P124" s="1284"/>
      <c r="Q124" s="1554"/>
      <c r="R124" s="1554"/>
      <c r="S124" s="1284"/>
      <c r="T124" s="1284"/>
      <c r="U124" s="1284"/>
      <c r="V124" s="1284"/>
      <c r="W124" s="1554"/>
      <c r="X124" s="1284"/>
      <c r="Y124" s="1284"/>
      <c r="Z124" s="480"/>
      <c r="AA124" s="1284"/>
      <c r="AB124" s="1284"/>
      <c r="AC124" s="1284"/>
      <c r="AD124" s="1284"/>
      <c r="AE124" s="1284"/>
      <c r="AF124" s="1550"/>
      <c r="AG124" s="558"/>
      <c r="AH124" s="558"/>
      <c r="AI124" s="558"/>
      <c r="AJ124" s="558"/>
      <c r="AK124" s="1559">
        <v>11</v>
      </c>
    </row>
    <row r="125" spans="1:37" s="2028" customFormat="1" ht="11.45" customHeight="1">
      <c r="A125" s="911"/>
      <c r="B125" s="911"/>
      <c r="C125" s="911"/>
      <c r="D125" s="911"/>
      <c r="E125" s="911"/>
      <c r="F125" s="1554"/>
      <c r="G125" s="1554"/>
      <c r="H125" s="287"/>
      <c r="N125" s="1284"/>
      <c r="P125" s="1284"/>
      <c r="Q125" s="1554"/>
      <c r="R125" s="1554"/>
      <c r="S125" s="1284"/>
      <c r="T125" s="1284"/>
      <c r="U125" s="1284"/>
      <c r="V125" s="1284"/>
      <c r="W125" s="1554"/>
      <c r="X125" s="1284"/>
      <c r="Y125" s="1284"/>
      <c r="Z125" s="480"/>
      <c r="AA125" s="1284"/>
      <c r="AB125" s="1284"/>
      <c r="AC125" s="1284"/>
      <c r="AD125" s="1284"/>
      <c r="AE125" s="1284"/>
      <c r="AF125" s="1550"/>
      <c r="AG125" s="558"/>
      <c r="AH125" s="558"/>
      <c r="AI125" s="558"/>
      <c r="AJ125" s="558"/>
      <c r="AK125" s="1559">
        <v>11</v>
      </c>
    </row>
    <row r="126" spans="1:37" s="2028" customFormat="1" ht="11.45" customHeight="1">
      <c r="A126" s="911"/>
      <c r="B126" s="911"/>
      <c r="C126" s="911"/>
      <c r="D126" s="911"/>
      <c r="E126" s="911"/>
      <c r="F126" s="1554"/>
      <c r="G126" s="1554"/>
      <c r="H126" s="287"/>
      <c r="N126" s="1284"/>
      <c r="P126" s="1284"/>
      <c r="Q126" s="1554"/>
      <c r="R126" s="1554"/>
      <c r="S126" s="1284"/>
      <c r="T126" s="1284"/>
      <c r="U126" s="1284"/>
      <c r="V126" s="1284"/>
      <c r="W126" s="1554"/>
      <c r="X126" s="1284"/>
      <c r="Y126" s="1284"/>
      <c r="Z126" s="480"/>
      <c r="AA126" s="1284"/>
      <c r="AB126" s="1284"/>
      <c r="AC126" s="1284"/>
      <c r="AD126" s="1284"/>
      <c r="AE126" s="1284"/>
      <c r="AF126" s="1550"/>
      <c r="AG126" s="558"/>
      <c r="AH126" s="558"/>
      <c r="AI126" s="558"/>
      <c r="AJ126" s="558"/>
      <c r="AK126" s="1559">
        <v>11</v>
      </c>
    </row>
    <row r="127" spans="1:37" s="2028" customFormat="1" ht="11.45" customHeight="1">
      <c r="A127" s="911"/>
      <c r="B127" s="911"/>
      <c r="C127" s="911"/>
      <c r="D127" s="911"/>
      <c r="E127" s="911"/>
      <c r="F127" s="1554"/>
      <c r="G127" s="1554"/>
      <c r="H127" s="287"/>
      <c r="N127" s="1284"/>
      <c r="P127" s="1284"/>
      <c r="Q127" s="1554"/>
      <c r="R127" s="1554"/>
      <c r="S127" s="1284"/>
      <c r="T127" s="1284"/>
      <c r="U127" s="1284"/>
      <c r="V127" s="1284"/>
      <c r="W127" s="1554"/>
      <c r="X127" s="1284"/>
      <c r="Y127" s="1284"/>
      <c r="Z127" s="480"/>
      <c r="AA127" s="1284"/>
      <c r="AB127" s="1284"/>
      <c r="AC127" s="1284"/>
      <c r="AD127" s="1284"/>
      <c r="AE127" s="1284"/>
      <c r="AF127" s="1550"/>
      <c r="AG127" s="558"/>
      <c r="AH127" s="558"/>
      <c r="AI127" s="558"/>
      <c r="AJ127" s="558"/>
      <c r="AK127" s="1559">
        <v>11</v>
      </c>
    </row>
    <row r="128" spans="1:37" s="2028" customFormat="1" ht="11.45" customHeight="1">
      <c r="A128" s="911"/>
      <c r="B128" s="911"/>
      <c r="C128" s="911"/>
      <c r="D128" s="911"/>
      <c r="E128" s="911"/>
      <c r="F128" s="1554"/>
      <c r="G128" s="1554"/>
      <c r="H128" s="287"/>
      <c r="N128" s="1284"/>
      <c r="P128" s="1284"/>
      <c r="Q128" s="1554"/>
      <c r="R128" s="1554"/>
      <c r="S128" s="1284"/>
      <c r="T128" s="1284"/>
      <c r="U128" s="1284"/>
      <c r="V128" s="1284"/>
      <c r="W128" s="1554"/>
      <c r="X128" s="1284"/>
      <c r="Y128" s="1284"/>
      <c r="Z128" s="480"/>
      <c r="AA128" s="1284"/>
      <c r="AB128" s="1284"/>
      <c r="AC128" s="1284"/>
      <c r="AD128" s="1284"/>
      <c r="AE128" s="1284"/>
      <c r="AF128" s="1550"/>
      <c r="AG128" s="558"/>
      <c r="AH128" s="558"/>
      <c r="AI128" s="558"/>
      <c r="AJ128" s="558"/>
      <c r="AK128" s="1559">
        <v>11</v>
      </c>
    </row>
    <row r="129" spans="1:37" s="2028" customFormat="1" ht="11.45" customHeight="1">
      <c r="A129" s="911"/>
      <c r="B129" s="911"/>
      <c r="C129" s="911"/>
      <c r="D129" s="911"/>
      <c r="E129" s="911"/>
      <c r="F129" s="1554"/>
      <c r="G129" s="1554"/>
      <c r="H129" s="287"/>
      <c r="N129" s="1284"/>
      <c r="P129" s="1284"/>
      <c r="Q129" s="1554"/>
      <c r="R129" s="1554"/>
      <c r="S129" s="1284"/>
      <c r="T129" s="1284"/>
      <c r="U129" s="1284"/>
      <c r="V129" s="1284"/>
      <c r="W129" s="1554"/>
      <c r="X129" s="1284"/>
      <c r="Y129" s="1284"/>
      <c r="Z129" s="480"/>
      <c r="AA129" s="1284"/>
      <c r="AB129" s="1284"/>
      <c r="AC129" s="1284"/>
      <c r="AD129" s="1284"/>
      <c r="AE129" s="1284"/>
      <c r="AF129" s="1550"/>
      <c r="AG129" s="558"/>
      <c r="AH129" s="558"/>
      <c r="AI129" s="558"/>
      <c r="AJ129" s="558"/>
      <c r="AK129" s="1559">
        <v>11</v>
      </c>
    </row>
    <row r="130" spans="1:37" s="2028" customFormat="1" ht="11.45" customHeight="1">
      <c r="A130" s="911"/>
      <c r="B130" s="911"/>
      <c r="C130" s="911"/>
      <c r="D130" s="911"/>
      <c r="E130" s="911"/>
      <c r="F130" s="1554"/>
      <c r="G130" s="1554"/>
      <c r="H130" s="287"/>
      <c r="N130" s="1284"/>
      <c r="P130" s="1284"/>
      <c r="Q130" s="1554"/>
      <c r="R130" s="1554"/>
      <c r="S130" s="1284"/>
      <c r="T130" s="1284"/>
      <c r="U130" s="1284"/>
      <c r="V130" s="1284"/>
      <c r="W130" s="1554"/>
      <c r="X130" s="1284"/>
      <c r="Y130" s="1284"/>
      <c r="Z130" s="480"/>
      <c r="AA130" s="1284"/>
      <c r="AB130" s="1284"/>
      <c r="AC130" s="1284"/>
      <c r="AD130" s="1284"/>
      <c r="AE130" s="1284"/>
      <c r="AF130" s="1550"/>
      <c r="AG130" s="558"/>
      <c r="AH130" s="558"/>
      <c r="AI130" s="558"/>
      <c r="AJ130" s="558"/>
      <c r="AK130" s="1559">
        <v>11</v>
      </c>
    </row>
    <row r="131" spans="1:37" s="2028" customFormat="1" ht="11.45" customHeight="1">
      <c r="A131" s="911"/>
      <c r="B131" s="911"/>
      <c r="C131" s="911"/>
      <c r="D131" s="911"/>
      <c r="E131" s="911"/>
      <c r="F131" s="1554"/>
      <c r="G131" s="1554"/>
      <c r="H131" s="287"/>
      <c r="N131" s="1284"/>
      <c r="P131" s="1284"/>
      <c r="Q131" s="1554"/>
      <c r="R131" s="1554"/>
      <c r="S131" s="1284"/>
      <c r="T131" s="1284"/>
      <c r="U131" s="1284"/>
      <c r="V131" s="1284"/>
      <c r="W131" s="1554"/>
      <c r="X131" s="1284"/>
      <c r="Y131" s="1284"/>
      <c r="Z131" s="480"/>
      <c r="AA131" s="1284"/>
      <c r="AB131" s="1284"/>
      <c r="AC131" s="1284"/>
      <c r="AD131" s="1284"/>
      <c r="AE131" s="1284"/>
      <c r="AF131" s="1550"/>
      <c r="AG131" s="558"/>
      <c r="AH131" s="558"/>
      <c r="AI131" s="558"/>
      <c r="AJ131" s="558"/>
      <c r="AK131" s="1559">
        <v>11</v>
      </c>
    </row>
    <row r="132" spans="1:37" s="2028" customFormat="1" ht="11.45" customHeight="1">
      <c r="A132" s="911"/>
      <c r="B132" s="911"/>
      <c r="C132" s="911"/>
      <c r="D132" s="911"/>
      <c r="E132" s="911"/>
      <c r="F132" s="1554"/>
      <c r="G132" s="1554"/>
      <c r="H132" s="287"/>
      <c r="N132" s="1284"/>
      <c r="P132" s="1284"/>
      <c r="Q132" s="1554"/>
      <c r="R132" s="1554"/>
      <c r="S132" s="1284"/>
      <c r="T132" s="1284"/>
      <c r="U132" s="1284"/>
      <c r="V132" s="1284"/>
      <c r="W132" s="1554"/>
      <c r="X132" s="1284"/>
      <c r="Y132" s="1284"/>
      <c r="Z132" s="480"/>
      <c r="AA132" s="1284"/>
      <c r="AB132" s="1284"/>
      <c r="AC132" s="1284"/>
      <c r="AD132" s="1284"/>
      <c r="AE132" s="1284"/>
      <c r="AF132" s="1550"/>
      <c r="AG132" s="558"/>
      <c r="AH132" s="558"/>
      <c r="AI132" s="558"/>
      <c r="AJ132" s="558"/>
      <c r="AK132" s="1559">
        <v>11</v>
      </c>
    </row>
    <row r="133" spans="1:37" s="2028" customFormat="1" ht="11.45" customHeight="1">
      <c r="A133" s="911"/>
      <c r="B133" s="911"/>
      <c r="C133" s="911"/>
      <c r="D133" s="911"/>
      <c r="E133" s="911"/>
      <c r="F133" s="1554"/>
      <c r="G133" s="1554"/>
      <c r="H133" s="287"/>
      <c r="N133" s="1284"/>
      <c r="P133" s="1284"/>
      <c r="Q133" s="1554"/>
      <c r="R133" s="1554"/>
      <c r="S133" s="1284"/>
      <c r="T133" s="1284"/>
      <c r="U133" s="1284"/>
      <c r="V133" s="1284"/>
      <c r="W133" s="1554"/>
      <c r="X133" s="1284"/>
      <c r="Y133" s="1284"/>
      <c r="Z133" s="480"/>
      <c r="AA133" s="1284"/>
      <c r="AB133" s="1284"/>
      <c r="AC133" s="1284"/>
      <c r="AD133" s="1284"/>
      <c r="AE133" s="1284"/>
      <c r="AF133" s="1550"/>
      <c r="AG133" s="558"/>
      <c r="AH133" s="558"/>
      <c r="AI133" s="558"/>
      <c r="AJ133" s="558"/>
      <c r="AK133" s="1559">
        <v>11</v>
      </c>
    </row>
    <row r="134" spans="1:37" s="2028" customFormat="1" ht="11.45" customHeight="1">
      <c r="A134" s="911"/>
      <c r="B134" s="911"/>
      <c r="C134" s="911"/>
      <c r="D134" s="911"/>
      <c r="E134" s="911"/>
      <c r="F134" s="1554"/>
      <c r="G134" s="1554"/>
      <c r="H134" s="287"/>
      <c r="N134" s="1284"/>
      <c r="P134" s="1284"/>
      <c r="Q134" s="1554"/>
      <c r="R134" s="1554"/>
      <c r="S134" s="1284"/>
      <c r="T134" s="1284"/>
      <c r="U134" s="1284"/>
      <c r="V134" s="1284"/>
      <c r="W134" s="1554"/>
      <c r="X134" s="1284"/>
      <c r="Y134" s="1284"/>
      <c r="Z134" s="480"/>
      <c r="AA134" s="1284"/>
      <c r="AB134" s="1284"/>
      <c r="AC134" s="1284"/>
      <c r="AD134" s="1284"/>
      <c r="AE134" s="1284"/>
      <c r="AF134" s="1550"/>
      <c r="AG134" s="558"/>
      <c r="AH134" s="558"/>
      <c r="AI134" s="558"/>
      <c r="AJ134" s="558"/>
      <c r="AK134" s="1559">
        <v>11</v>
      </c>
    </row>
    <row r="135" spans="1:37" s="2028" customFormat="1" ht="11.45" customHeight="1">
      <c r="A135" s="911"/>
      <c r="B135" s="911"/>
      <c r="C135" s="911"/>
      <c r="D135" s="911"/>
      <c r="E135" s="911"/>
      <c r="F135" s="1554"/>
      <c r="G135" s="1554"/>
      <c r="H135" s="287"/>
      <c r="N135" s="1284"/>
      <c r="P135" s="1284"/>
      <c r="Q135" s="1554"/>
      <c r="R135" s="1554"/>
      <c r="S135" s="1284"/>
      <c r="T135" s="1284"/>
      <c r="U135" s="1284"/>
      <c r="V135" s="1284"/>
      <c r="W135" s="1554"/>
      <c r="X135" s="1284"/>
      <c r="Y135" s="1284"/>
      <c r="Z135" s="480"/>
      <c r="AA135" s="1284"/>
      <c r="AB135" s="1284"/>
      <c r="AC135" s="1284"/>
      <c r="AD135" s="1284"/>
      <c r="AE135" s="1284"/>
      <c r="AF135" s="1550"/>
      <c r="AG135" s="558"/>
      <c r="AH135" s="558"/>
      <c r="AI135" s="558"/>
      <c r="AJ135" s="558"/>
      <c r="AK135" s="1559">
        <v>11</v>
      </c>
    </row>
    <row r="136" spans="1:37" s="2028" customFormat="1" ht="11.45" customHeight="1">
      <c r="A136" s="911"/>
      <c r="B136" s="911"/>
      <c r="C136" s="911"/>
      <c r="D136" s="911"/>
      <c r="E136" s="911"/>
      <c r="F136" s="1554"/>
      <c r="G136" s="1554"/>
      <c r="H136" s="287"/>
      <c r="N136" s="1284"/>
      <c r="P136" s="1284"/>
      <c r="Q136" s="1554"/>
      <c r="R136" s="1554"/>
      <c r="S136" s="1284"/>
      <c r="T136" s="1284"/>
      <c r="U136" s="1284"/>
      <c r="V136" s="1284"/>
      <c r="W136" s="1554"/>
      <c r="X136" s="1284"/>
      <c r="Y136" s="1284"/>
      <c r="Z136" s="480"/>
      <c r="AA136" s="1284"/>
      <c r="AB136" s="1284"/>
      <c r="AC136" s="1284"/>
      <c r="AD136" s="1284"/>
      <c r="AE136" s="1284"/>
      <c r="AF136" s="1550"/>
      <c r="AG136" s="558"/>
      <c r="AH136" s="558"/>
      <c r="AI136" s="558"/>
      <c r="AJ136" s="558"/>
      <c r="AK136" s="1559">
        <v>11</v>
      </c>
    </row>
    <row r="137" spans="1:37" s="2028" customFormat="1" ht="11.45" customHeight="1">
      <c r="A137" s="911"/>
      <c r="B137" s="911"/>
      <c r="C137" s="911"/>
      <c r="D137" s="911"/>
      <c r="E137" s="911"/>
      <c r="F137" s="1554"/>
      <c r="G137" s="1554"/>
      <c r="H137" s="287"/>
      <c r="N137" s="1284"/>
      <c r="P137" s="1284"/>
      <c r="Q137" s="1554"/>
      <c r="R137" s="1554"/>
      <c r="S137" s="1284"/>
      <c r="T137" s="1284"/>
      <c r="U137" s="1284"/>
      <c r="V137" s="1284"/>
      <c r="W137" s="1554"/>
      <c r="X137" s="1284"/>
      <c r="Y137" s="1284"/>
      <c r="Z137" s="480"/>
      <c r="AA137" s="1284"/>
      <c r="AB137" s="1284"/>
      <c r="AC137" s="1284"/>
      <c r="AD137" s="1284"/>
      <c r="AE137" s="1284"/>
      <c r="AF137" s="1550"/>
      <c r="AG137" s="558"/>
      <c r="AH137" s="558"/>
      <c r="AI137" s="558"/>
      <c r="AJ137" s="558"/>
      <c r="AK137" s="1559">
        <v>11</v>
      </c>
    </row>
    <row r="138" spans="1:37" s="2028" customFormat="1" ht="11.45" customHeight="1">
      <c r="A138" s="911"/>
      <c r="B138" s="911"/>
      <c r="C138" s="911"/>
      <c r="D138" s="911"/>
      <c r="E138" s="911"/>
      <c r="F138" s="1554"/>
      <c r="G138" s="1554"/>
      <c r="H138" s="287"/>
      <c r="N138" s="1284"/>
      <c r="P138" s="1284"/>
      <c r="Q138" s="1554"/>
      <c r="R138" s="1554"/>
      <c r="S138" s="1284"/>
      <c r="T138" s="1284"/>
      <c r="U138" s="1284"/>
      <c r="V138" s="1284"/>
      <c r="W138" s="1554"/>
      <c r="X138" s="1284"/>
      <c r="Y138" s="1284"/>
      <c r="Z138" s="480"/>
      <c r="AA138" s="1284"/>
      <c r="AB138" s="1284"/>
      <c r="AC138" s="1284"/>
      <c r="AD138" s="1284"/>
      <c r="AE138" s="1284"/>
      <c r="AF138" s="1550"/>
      <c r="AG138" s="558"/>
      <c r="AH138" s="558"/>
      <c r="AI138" s="558"/>
      <c r="AJ138" s="558"/>
      <c r="AK138" s="1559">
        <v>11</v>
      </c>
    </row>
    <row r="139" spans="1:37" s="2028" customFormat="1" ht="11.45" customHeight="1">
      <c r="A139" s="911"/>
      <c r="B139" s="911"/>
      <c r="C139" s="911"/>
      <c r="D139" s="911"/>
      <c r="E139" s="911"/>
      <c r="F139" s="1554"/>
      <c r="G139" s="1554"/>
      <c r="H139" s="287"/>
      <c r="N139" s="1284"/>
      <c r="P139" s="1284"/>
      <c r="Q139" s="1554"/>
      <c r="R139" s="1554"/>
      <c r="S139" s="1284"/>
      <c r="T139" s="1284"/>
      <c r="U139" s="1284"/>
      <c r="V139" s="1284"/>
      <c r="W139" s="1554"/>
      <c r="X139" s="1284"/>
      <c r="Y139" s="1284"/>
      <c r="Z139" s="480"/>
      <c r="AA139" s="1284"/>
      <c r="AB139" s="1284"/>
      <c r="AC139" s="1284"/>
      <c r="AD139" s="1284"/>
      <c r="AE139" s="1284"/>
      <c r="AF139" s="1550"/>
      <c r="AG139" s="558"/>
      <c r="AH139" s="558"/>
      <c r="AI139" s="558"/>
      <c r="AJ139" s="558"/>
      <c r="AK139" s="1559">
        <v>11</v>
      </c>
    </row>
    <row r="140" spans="1:37" s="2028" customFormat="1" ht="11.45" customHeight="1">
      <c r="A140" s="911"/>
      <c r="B140" s="911"/>
      <c r="C140" s="911"/>
      <c r="D140" s="911"/>
      <c r="E140" s="911"/>
      <c r="F140" s="1554"/>
      <c r="G140" s="1554"/>
      <c r="H140" s="287"/>
      <c r="N140" s="1284"/>
      <c r="P140" s="1284"/>
      <c r="Q140" s="1554"/>
      <c r="R140" s="1554"/>
      <c r="S140" s="1284"/>
      <c r="T140" s="1284"/>
      <c r="U140" s="1284"/>
      <c r="V140" s="1284"/>
      <c r="W140" s="1554"/>
      <c r="X140" s="1284"/>
      <c r="Y140" s="1284"/>
      <c r="Z140" s="480"/>
      <c r="AA140" s="1284"/>
      <c r="AB140" s="1284"/>
      <c r="AC140" s="1284"/>
      <c r="AD140" s="1284"/>
      <c r="AE140" s="1284"/>
      <c r="AF140" s="1550"/>
      <c r="AG140" s="558"/>
      <c r="AH140" s="558"/>
      <c r="AI140" s="558"/>
      <c r="AJ140" s="558"/>
      <c r="AK140" s="1559">
        <v>11</v>
      </c>
    </row>
    <row r="141" spans="1:37" s="2028" customFormat="1" ht="11.45" customHeight="1">
      <c r="A141" s="911"/>
      <c r="B141" s="911"/>
      <c r="C141" s="911"/>
      <c r="D141" s="911"/>
      <c r="E141" s="911"/>
      <c r="F141" s="1554"/>
      <c r="G141" s="1554"/>
      <c r="H141" s="287"/>
      <c r="N141" s="1284"/>
      <c r="P141" s="1284"/>
      <c r="Q141" s="1554"/>
      <c r="R141" s="1554"/>
      <c r="S141" s="1284"/>
      <c r="T141" s="1284"/>
      <c r="U141" s="1284"/>
      <c r="V141" s="1284"/>
      <c r="W141" s="1554"/>
      <c r="X141" s="1284"/>
      <c r="Y141" s="1284"/>
      <c r="Z141" s="480"/>
      <c r="AA141" s="1284"/>
      <c r="AB141" s="1284"/>
      <c r="AC141" s="1284"/>
      <c r="AD141" s="1284"/>
      <c r="AE141" s="1284"/>
      <c r="AF141" s="1550"/>
      <c r="AG141" s="558"/>
      <c r="AH141" s="558"/>
      <c r="AI141" s="558"/>
      <c r="AJ141" s="558"/>
      <c r="AK141" s="1559">
        <v>11</v>
      </c>
    </row>
    <row r="142" spans="1:37" s="2028" customFormat="1" ht="11.45" customHeight="1">
      <c r="A142" s="911"/>
      <c r="B142" s="911"/>
      <c r="C142" s="911"/>
      <c r="D142" s="911"/>
      <c r="E142" s="911"/>
      <c r="F142" s="1554"/>
      <c r="G142" s="1554"/>
      <c r="H142" s="287"/>
      <c r="N142" s="1284"/>
      <c r="P142" s="1284"/>
      <c r="Q142" s="1554"/>
      <c r="R142" s="1554"/>
      <c r="S142" s="1284"/>
      <c r="T142" s="1284"/>
      <c r="U142" s="1284"/>
      <c r="V142" s="1284"/>
      <c r="W142" s="1554"/>
      <c r="X142" s="1284"/>
      <c r="Y142" s="1284"/>
      <c r="Z142" s="480"/>
      <c r="AA142" s="1284"/>
      <c r="AB142" s="1284"/>
      <c r="AC142" s="1284"/>
      <c r="AD142" s="1284"/>
      <c r="AE142" s="1284"/>
      <c r="AF142" s="1550"/>
      <c r="AG142" s="558"/>
      <c r="AH142" s="558"/>
      <c r="AI142" s="558"/>
      <c r="AJ142" s="558"/>
      <c r="AK142" s="1559">
        <v>11</v>
      </c>
    </row>
    <row r="143" spans="1:37" s="2028" customFormat="1" ht="11.45" customHeight="1">
      <c r="A143" s="911"/>
      <c r="B143" s="911"/>
      <c r="C143" s="911"/>
      <c r="D143" s="911"/>
      <c r="E143" s="911"/>
      <c r="F143" s="1554"/>
      <c r="G143" s="1554"/>
      <c r="H143" s="287"/>
      <c r="N143" s="1284"/>
      <c r="P143" s="1284"/>
      <c r="Q143" s="1554"/>
      <c r="R143" s="1554"/>
      <c r="S143" s="1284"/>
      <c r="T143" s="1284"/>
      <c r="U143" s="1284"/>
      <c r="V143" s="1284"/>
      <c r="W143" s="1554"/>
      <c r="X143" s="1284"/>
      <c r="Y143" s="1284"/>
      <c r="Z143" s="480"/>
      <c r="AA143" s="1284"/>
      <c r="AB143" s="1284"/>
      <c r="AC143" s="1284"/>
      <c r="AD143" s="1284"/>
      <c r="AE143" s="1284"/>
      <c r="AF143" s="1550"/>
      <c r="AG143" s="558"/>
      <c r="AH143" s="558"/>
      <c r="AI143" s="558"/>
      <c r="AJ143" s="558"/>
      <c r="AK143" s="1559">
        <v>11</v>
      </c>
    </row>
    <row r="144" spans="1:37" s="2028" customFormat="1" ht="11.45" customHeight="1">
      <c r="A144" s="911"/>
      <c r="B144" s="911"/>
      <c r="C144" s="911"/>
      <c r="D144" s="911"/>
      <c r="E144" s="911"/>
      <c r="F144" s="1554"/>
      <c r="G144" s="1554"/>
      <c r="H144" s="287"/>
      <c r="N144" s="1284"/>
      <c r="P144" s="1284"/>
      <c r="Q144" s="1554"/>
      <c r="R144" s="1554"/>
      <c r="S144" s="1284"/>
      <c r="T144" s="1284"/>
      <c r="U144" s="1284"/>
      <c r="V144" s="1284"/>
      <c r="W144" s="1554"/>
      <c r="X144" s="1284"/>
      <c r="Y144" s="1284"/>
      <c r="Z144" s="480"/>
      <c r="AA144" s="1284"/>
      <c r="AB144" s="1284"/>
      <c r="AC144" s="1284"/>
      <c r="AD144" s="1284"/>
      <c r="AE144" s="1284"/>
      <c r="AF144" s="1550"/>
      <c r="AG144" s="558"/>
      <c r="AH144" s="558"/>
      <c r="AI144" s="558"/>
      <c r="AJ144" s="558"/>
      <c r="AK144" s="1559">
        <v>11</v>
      </c>
    </row>
    <row r="145" spans="1:37" s="2028" customFormat="1" ht="11.45" customHeight="1">
      <c r="A145" s="911"/>
      <c r="B145" s="911"/>
      <c r="C145" s="911"/>
      <c r="D145" s="911"/>
      <c r="E145" s="911"/>
      <c r="F145" s="1554"/>
      <c r="G145" s="1554"/>
      <c r="H145" s="287"/>
      <c r="N145" s="1284"/>
      <c r="P145" s="1284"/>
      <c r="Q145" s="1554"/>
      <c r="R145" s="1554"/>
      <c r="S145" s="1284"/>
      <c r="T145" s="1284"/>
      <c r="U145" s="1284"/>
      <c r="V145" s="1284"/>
      <c r="W145" s="1554"/>
      <c r="X145" s="1284"/>
      <c r="Y145" s="1284"/>
      <c r="Z145" s="480"/>
      <c r="AA145" s="1284"/>
      <c r="AB145" s="1284"/>
      <c r="AC145" s="1284"/>
      <c r="AD145" s="1284"/>
      <c r="AE145" s="1284"/>
      <c r="AF145" s="1550"/>
      <c r="AG145" s="558"/>
      <c r="AH145" s="558"/>
      <c r="AI145" s="558"/>
      <c r="AJ145" s="558"/>
      <c r="AK145" s="1559">
        <v>11</v>
      </c>
    </row>
    <row r="146" spans="1:37" s="2028" customFormat="1" ht="11.45" customHeight="1">
      <c r="A146" s="911"/>
      <c r="B146" s="911"/>
      <c r="C146" s="911"/>
      <c r="D146" s="911"/>
      <c r="E146" s="911"/>
      <c r="F146" s="1554"/>
      <c r="G146" s="1554"/>
      <c r="H146" s="287"/>
      <c r="N146" s="1284"/>
      <c r="P146" s="1284"/>
      <c r="Q146" s="1554"/>
      <c r="R146" s="1554"/>
      <c r="S146" s="1284"/>
      <c r="T146" s="1284"/>
      <c r="U146" s="1284"/>
      <c r="V146" s="1284"/>
      <c r="W146" s="1554"/>
      <c r="X146" s="1284"/>
      <c r="Y146" s="1284"/>
      <c r="Z146" s="480"/>
      <c r="AA146" s="1284"/>
      <c r="AB146" s="1284"/>
      <c r="AC146" s="1284"/>
      <c r="AD146" s="1284"/>
      <c r="AE146" s="1284"/>
      <c r="AF146" s="1550"/>
      <c r="AG146" s="558"/>
      <c r="AH146" s="558"/>
      <c r="AI146" s="558"/>
      <c r="AJ146" s="558"/>
      <c r="AK146" s="1559">
        <v>11</v>
      </c>
    </row>
    <row r="147" spans="1:37" s="2028" customFormat="1" ht="11.45" customHeight="1">
      <c r="A147" s="911"/>
      <c r="B147" s="911"/>
      <c r="C147" s="911"/>
      <c r="D147" s="911"/>
      <c r="E147" s="911"/>
      <c r="F147" s="1554"/>
      <c r="G147" s="1554"/>
      <c r="H147" s="287"/>
      <c r="N147" s="1284"/>
      <c r="P147" s="1284"/>
      <c r="Q147" s="1554"/>
      <c r="R147" s="1554"/>
      <c r="S147" s="1284"/>
      <c r="T147" s="1284"/>
      <c r="U147" s="1284"/>
      <c r="V147" s="1284"/>
      <c r="W147" s="1554"/>
      <c r="X147" s="1284"/>
      <c r="Y147" s="1284"/>
      <c r="Z147" s="480"/>
      <c r="AA147" s="1284"/>
      <c r="AB147" s="1284"/>
      <c r="AC147" s="1284"/>
      <c r="AD147" s="1284"/>
      <c r="AE147" s="1284"/>
      <c r="AF147" s="1550"/>
      <c r="AG147" s="558"/>
      <c r="AH147" s="558"/>
      <c r="AI147" s="558"/>
      <c r="AJ147" s="558"/>
      <c r="AK147" s="1559">
        <v>11</v>
      </c>
    </row>
    <row r="148" spans="1:37" s="2028" customFormat="1" ht="11.45" customHeight="1">
      <c r="A148" s="911"/>
      <c r="B148" s="911"/>
      <c r="C148" s="911"/>
      <c r="D148" s="911"/>
      <c r="E148" s="911"/>
      <c r="F148" s="1554"/>
      <c r="G148" s="1554"/>
      <c r="H148" s="287"/>
      <c r="N148" s="1284"/>
      <c r="P148" s="1284"/>
      <c r="Q148" s="1554"/>
      <c r="R148" s="1554"/>
      <c r="S148" s="1284"/>
      <c r="T148" s="1284"/>
      <c r="U148" s="1284"/>
      <c r="V148" s="1284"/>
      <c r="W148" s="1554"/>
      <c r="X148" s="1284"/>
      <c r="Y148" s="1284"/>
      <c r="Z148" s="480"/>
      <c r="AA148" s="1284"/>
      <c r="AB148" s="1284"/>
      <c r="AC148" s="1284"/>
      <c r="AD148" s="1284"/>
      <c r="AE148" s="1284"/>
      <c r="AF148" s="1550"/>
      <c r="AG148" s="558"/>
      <c r="AH148" s="558"/>
      <c r="AI148" s="558"/>
      <c r="AJ148" s="558"/>
      <c r="AK148" s="1559">
        <v>11</v>
      </c>
    </row>
    <row r="149" spans="1:37" s="2028" customFormat="1" ht="11.45" customHeight="1">
      <c r="A149" s="911"/>
      <c r="B149" s="911"/>
      <c r="C149" s="911"/>
      <c r="D149" s="911"/>
      <c r="E149" s="911"/>
      <c r="F149" s="1554"/>
      <c r="G149" s="1554"/>
      <c r="H149" s="287"/>
      <c r="N149" s="1284"/>
      <c r="P149" s="1284"/>
      <c r="Q149" s="1554"/>
      <c r="R149" s="1554"/>
      <c r="S149" s="1284"/>
      <c r="T149" s="1284"/>
      <c r="U149" s="1284"/>
      <c r="V149" s="1284"/>
      <c r="W149" s="1554"/>
      <c r="X149" s="1284"/>
      <c r="Y149" s="1284"/>
      <c r="Z149" s="480"/>
      <c r="AA149" s="1284"/>
      <c r="AB149" s="1284"/>
      <c r="AC149" s="1284"/>
      <c r="AD149" s="1284"/>
      <c r="AE149" s="1284"/>
      <c r="AF149" s="1550"/>
      <c r="AG149" s="558"/>
      <c r="AH149" s="558"/>
      <c r="AI149" s="558"/>
      <c r="AJ149" s="558"/>
      <c r="AK149" s="1559">
        <v>11</v>
      </c>
    </row>
    <row r="150" spans="1:37" s="2028" customFormat="1" ht="11.45" customHeight="1">
      <c r="A150" s="911"/>
      <c r="B150" s="911"/>
      <c r="C150" s="911"/>
      <c r="D150" s="911"/>
      <c r="E150" s="911"/>
      <c r="F150" s="1554"/>
      <c r="G150" s="1554"/>
      <c r="H150" s="287"/>
      <c r="N150" s="1284"/>
      <c r="P150" s="1284"/>
      <c r="Q150" s="1554"/>
      <c r="R150" s="1554"/>
      <c r="S150" s="1284"/>
      <c r="T150" s="1284"/>
      <c r="U150" s="1284"/>
      <c r="V150" s="1284"/>
      <c r="W150" s="1554"/>
      <c r="X150" s="1284"/>
      <c r="Y150" s="1284"/>
      <c r="Z150" s="480"/>
      <c r="AA150" s="1284"/>
      <c r="AB150" s="1284"/>
      <c r="AC150" s="1284"/>
      <c r="AD150" s="1284"/>
      <c r="AE150" s="1284"/>
      <c r="AF150" s="1550"/>
      <c r="AG150" s="558"/>
      <c r="AH150" s="558"/>
      <c r="AI150" s="558"/>
      <c r="AJ150" s="558"/>
      <c r="AK150" s="1559">
        <v>11</v>
      </c>
    </row>
    <row r="151" spans="1:37" s="2028" customFormat="1" ht="11.45" customHeight="1">
      <c r="A151" s="911"/>
      <c r="B151" s="911"/>
      <c r="C151" s="911"/>
      <c r="D151" s="911"/>
      <c r="E151" s="911"/>
      <c r="F151" s="1554"/>
      <c r="G151" s="1554"/>
      <c r="H151" s="287"/>
      <c r="N151" s="1284"/>
      <c r="P151" s="1284"/>
      <c r="Q151" s="1554"/>
      <c r="R151" s="1554"/>
      <c r="S151" s="1284"/>
      <c r="T151" s="1284"/>
      <c r="U151" s="1284"/>
      <c r="V151" s="1284"/>
      <c r="W151" s="1554"/>
      <c r="X151" s="1284"/>
      <c r="Y151" s="1284"/>
      <c r="Z151" s="480"/>
      <c r="AA151" s="1284"/>
      <c r="AB151" s="1284"/>
      <c r="AC151" s="1284"/>
      <c r="AD151" s="1284"/>
      <c r="AE151" s="1284"/>
      <c r="AF151" s="1550"/>
      <c r="AG151" s="558"/>
      <c r="AH151" s="558"/>
      <c r="AI151" s="558"/>
      <c r="AJ151" s="558"/>
      <c r="AK151" s="1559">
        <v>11</v>
      </c>
    </row>
    <row r="152" spans="1:37" s="2028" customFormat="1" ht="11.45" customHeight="1">
      <c r="A152" s="911"/>
      <c r="B152" s="911"/>
      <c r="C152" s="911"/>
      <c r="D152" s="911"/>
      <c r="E152" s="911"/>
      <c r="F152" s="1554"/>
      <c r="G152" s="1554"/>
      <c r="H152" s="287"/>
      <c r="N152" s="1284"/>
      <c r="P152" s="1284"/>
      <c r="Q152" s="1554"/>
      <c r="R152" s="1554"/>
      <c r="S152" s="1284"/>
      <c r="T152" s="1284"/>
      <c r="U152" s="1284"/>
      <c r="V152" s="1284"/>
      <c r="W152" s="1554"/>
      <c r="X152" s="1284"/>
      <c r="Y152" s="1284"/>
      <c r="Z152" s="480"/>
      <c r="AA152" s="1284"/>
      <c r="AB152" s="1284"/>
      <c r="AC152" s="1284"/>
      <c r="AD152" s="1284"/>
      <c r="AE152" s="1284"/>
      <c r="AF152" s="1550"/>
      <c r="AG152" s="558"/>
      <c r="AH152" s="558"/>
      <c r="AI152" s="558"/>
      <c r="AJ152" s="558"/>
      <c r="AK152" s="1559">
        <v>11</v>
      </c>
    </row>
    <row r="153" spans="1:37" s="2028" customFormat="1" ht="11.45" customHeight="1">
      <c r="A153" s="911"/>
      <c r="B153" s="911"/>
      <c r="C153" s="911"/>
      <c r="D153" s="911"/>
      <c r="E153" s="911"/>
      <c r="F153" s="1554"/>
      <c r="G153" s="1554"/>
      <c r="H153" s="287"/>
      <c r="N153" s="1284"/>
      <c r="P153" s="1284"/>
      <c r="Q153" s="1554"/>
      <c r="R153" s="1554"/>
      <c r="S153" s="1284"/>
      <c r="T153" s="1284"/>
      <c r="U153" s="1284"/>
      <c r="V153" s="1284"/>
      <c r="W153" s="1554"/>
      <c r="X153" s="1284"/>
      <c r="Y153" s="1284"/>
      <c r="Z153" s="480"/>
      <c r="AA153" s="1284"/>
      <c r="AB153" s="1284"/>
      <c r="AC153" s="1284"/>
      <c r="AD153" s="1284"/>
      <c r="AE153" s="1284"/>
      <c r="AF153" s="1550"/>
      <c r="AG153" s="558"/>
      <c r="AH153" s="558"/>
      <c r="AI153" s="558"/>
      <c r="AJ153" s="558"/>
      <c r="AK153" s="1559">
        <v>11</v>
      </c>
    </row>
    <row r="154" spans="1:37" s="2028" customFormat="1" ht="11.45" customHeight="1">
      <c r="A154" s="911"/>
      <c r="B154" s="911"/>
      <c r="C154" s="911"/>
      <c r="D154" s="911"/>
      <c r="E154" s="911"/>
      <c r="F154" s="1554"/>
      <c r="G154" s="1554"/>
      <c r="H154" s="287"/>
      <c r="N154" s="1284"/>
      <c r="P154" s="1284"/>
      <c r="Q154" s="1554"/>
      <c r="R154" s="1554"/>
      <c r="S154" s="1284"/>
      <c r="T154" s="1284"/>
      <c r="U154" s="1284"/>
      <c r="V154" s="1284"/>
      <c r="W154" s="1554"/>
      <c r="X154" s="1284"/>
      <c r="Y154" s="1284"/>
      <c r="Z154" s="480"/>
      <c r="AA154" s="1284"/>
      <c r="AB154" s="1284"/>
      <c r="AC154" s="1284"/>
      <c r="AD154" s="1284"/>
      <c r="AE154" s="1284"/>
      <c r="AF154" s="1550"/>
      <c r="AG154" s="558"/>
      <c r="AH154" s="558"/>
      <c r="AI154" s="558"/>
      <c r="AJ154" s="558"/>
      <c r="AK154" s="1559">
        <v>11</v>
      </c>
    </row>
    <row r="155" spans="1:37" s="2028" customFormat="1" ht="11.45" customHeight="1">
      <c r="A155" s="911"/>
      <c r="B155" s="911"/>
      <c r="C155" s="911"/>
      <c r="D155" s="911"/>
      <c r="E155" s="911"/>
      <c r="F155" s="1554"/>
      <c r="G155" s="1554"/>
      <c r="H155" s="287"/>
      <c r="N155" s="1284"/>
      <c r="P155" s="1284"/>
      <c r="Q155" s="1554"/>
      <c r="R155" s="1554"/>
      <c r="S155" s="1284"/>
      <c r="T155" s="1284"/>
      <c r="U155" s="1284"/>
      <c r="V155" s="1284"/>
      <c r="W155" s="1554"/>
      <c r="X155" s="1284"/>
      <c r="Y155" s="1284"/>
      <c r="Z155" s="480"/>
      <c r="AA155" s="1284"/>
      <c r="AB155" s="1284"/>
      <c r="AC155" s="1284"/>
      <c r="AD155" s="1284"/>
      <c r="AE155" s="1284"/>
      <c r="AF155" s="1550"/>
      <c r="AG155" s="558"/>
      <c r="AH155" s="558"/>
      <c r="AI155" s="558"/>
      <c r="AJ155" s="558"/>
      <c r="AK155" s="1559">
        <v>11</v>
      </c>
    </row>
    <row r="156" spans="1:37" s="2028" customFormat="1" ht="11.45" customHeight="1">
      <c r="A156" s="911"/>
      <c r="B156" s="911"/>
      <c r="C156" s="911"/>
      <c r="D156" s="911"/>
      <c r="E156" s="911"/>
      <c r="F156" s="1554"/>
      <c r="G156" s="1554"/>
      <c r="H156" s="287"/>
      <c r="N156" s="1284"/>
      <c r="P156" s="1284"/>
      <c r="Q156" s="1554"/>
      <c r="R156" s="1554"/>
      <c r="S156" s="1284"/>
      <c r="T156" s="1284"/>
      <c r="U156" s="1284"/>
      <c r="V156" s="1284"/>
      <c r="W156" s="1554"/>
      <c r="X156" s="1284"/>
      <c r="Y156" s="1284"/>
      <c r="Z156" s="480"/>
      <c r="AA156" s="1284"/>
      <c r="AB156" s="1284"/>
      <c r="AC156" s="1284"/>
      <c r="AD156" s="1284"/>
      <c r="AE156" s="1284"/>
      <c r="AF156" s="1550"/>
      <c r="AG156" s="558"/>
      <c r="AH156" s="558"/>
      <c r="AI156" s="558"/>
      <c r="AJ156" s="558"/>
      <c r="AK156" s="1559">
        <v>11</v>
      </c>
    </row>
    <row r="157" spans="1:37" s="2028" customFormat="1" ht="11.45" customHeight="1">
      <c r="A157" s="911"/>
      <c r="B157" s="911"/>
      <c r="C157" s="911"/>
      <c r="D157" s="911"/>
      <c r="E157" s="911"/>
      <c r="F157" s="1554"/>
      <c r="G157" s="1554"/>
      <c r="H157" s="287"/>
      <c r="N157" s="1284"/>
      <c r="P157" s="1284"/>
      <c r="Q157" s="1554"/>
      <c r="R157" s="1554"/>
      <c r="S157" s="1284"/>
      <c r="T157" s="1284"/>
      <c r="U157" s="1284"/>
      <c r="V157" s="1284"/>
      <c r="W157" s="1554"/>
      <c r="X157" s="1284"/>
      <c r="Y157" s="1284"/>
      <c r="Z157" s="480"/>
      <c r="AA157" s="1284"/>
      <c r="AB157" s="1284"/>
      <c r="AC157" s="1284"/>
      <c r="AD157" s="1284"/>
      <c r="AE157" s="1284"/>
      <c r="AF157" s="1550"/>
      <c r="AG157" s="558"/>
      <c r="AH157" s="558"/>
      <c r="AI157" s="558"/>
      <c r="AJ157" s="558"/>
      <c r="AK157" s="1559">
        <v>11</v>
      </c>
    </row>
    <row r="158" spans="1:37" s="2028" customFormat="1" ht="11.45" customHeight="1">
      <c r="A158" s="911"/>
      <c r="B158" s="911"/>
      <c r="C158" s="911"/>
      <c r="D158" s="911"/>
      <c r="E158" s="911"/>
      <c r="F158" s="1554"/>
      <c r="G158" s="1554"/>
      <c r="H158" s="287"/>
      <c r="N158" s="1284"/>
      <c r="P158" s="1284"/>
      <c r="Q158" s="1554"/>
      <c r="R158" s="1554"/>
      <c r="S158" s="1284"/>
      <c r="T158" s="1284"/>
      <c r="U158" s="1284"/>
      <c r="V158" s="1284"/>
      <c r="W158" s="1554"/>
      <c r="X158" s="1284"/>
      <c r="Y158" s="1284"/>
      <c r="Z158" s="480"/>
      <c r="AA158" s="1284"/>
      <c r="AB158" s="1284"/>
      <c r="AC158" s="1284"/>
      <c r="AD158" s="1284"/>
      <c r="AE158" s="1284"/>
      <c r="AF158" s="1550"/>
      <c r="AG158" s="558"/>
      <c r="AH158" s="558"/>
      <c r="AI158" s="558"/>
      <c r="AJ158" s="558"/>
      <c r="AK158" s="1559">
        <v>11</v>
      </c>
    </row>
    <row r="159" spans="1:37" s="2028" customFormat="1" ht="11.45" customHeight="1">
      <c r="A159" s="911"/>
      <c r="B159" s="911"/>
      <c r="C159" s="911"/>
      <c r="D159" s="911"/>
      <c r="E159" s="911"/>
      <c r="F159" s="1554"/>
      <c r="G159" s="1554"/>
      <c r="H159" s="287"/>
      <c r="N159" s="1284"/>
      <c r="P159" s="1284"/>
      <c r="Q159" s="1554"/>
      <c r="R159" s="1554"/>
      <c r="S159" s="1284"/>
      <c r="T159" s="1284"/>
      <c r="U159" s="1284"/>
      <c r="V159" s="1284"/>
      <c r="W159" s="1554"/>
      <c r="X159" s="1284"/>
      <c r="Y159" s="1284"/>
      <c r="Z159" s="480"/>
      <c r="AA159" s="1284"/>
      <c r="AB159" s="1284"/>
      <c r="AC159" s="1284"/>
      <c r="AD159" s="1284"/>
      <c r="AE159" s="1284"/>
      <c r="AF159" s="1550"/>
      <c r="AG159" s="558"/>
      <c r="AH159" s="558"/>
      <c r="AI159" s="558"/>
      <c r="AJ159" s="558"/>
      <c r="AK159" s="1559">
        <v>11</v>
      </c>
    </row>
    <row r="160" spans="1:37" s="2028" customFormat="1" ht="11.45" customHeight="1">
      <c r="A160" s="911"/>
      <c r="B160" s="911"/>
      <c r="C160" s="911"/>
      <c r="D160" s="911"/>
      <c r="E160" s="911"/>
      <c r="F160" s="1554"/>
      <c r="G160" s="1554"/>
      <c r="H160" s="287"/>
      <c r="N160" s="1284"/>
      <c r="P160" s="1284"/>
      <c r="Q160" s="1554"/>
      <c r="R160" s="1554"/>
      <c r="S160" s="1284"/>
      <c r="T160" s="1284"/>
      <c r="U160" s="1284"/>
      <c r="V160" s="1284"/>
      <c r="W160" s="1554"/>
      <c r="X160" s="1284"/>
      <c r="Y160" s="1284"/>
      <c r="Z160" s="480"/>
      <c r="AA160" s="1284"/>
      <c r="AB160" s="1284"/>
      <c r="AC160" s="1284"/>
      <c r="AD160" s="1284"/>
      <c r="AE160" s="1284"/>
      <c r="AF160" s="1550"/>
      <c r="AG160" s="558"/>
      <c r="AH160" s="558"/>
      <c r="AI160" s="558"/>
      <c r="AJ160" s="558"/>
      <c r="AK160" s="1559">
        <v>11</v>
      </c>
    </row>
    <row r="161" spans="1:37" s="2028" customFormat="1" ht="11.45" customHeight="1">
      <c r="A161" s="911"/>
      <c r="B161" s="911"/>
      <c r="C161" s="911"/>
      <c r="D161" s="911"/>
      <c r="E161" s="911"/>
      <c r="F161" s="1554"/>
      <c r="G161" s="1554"/>
      <c r="H161" s="287"/>
      <c r="N161" s="1284"/>
      <c r="P161" s="1284"/>
      <c r="Q161" s="1554"/>
      <c r="R161" s="1554"/>
      <c r="S161" s="1284"/>
      <c r="T161" s="1284"/>
      <c r="U161" s="1284"/>
      <c r="V161" s="1284"/>
      <c r="W161" s="1554"/>
      <c r="X161" s="1284"/>
      <c r="Y161" s="1284"/>
      <c r="Z161" s="480"/>
      <c r="AA161" s="1284"/>
      <c r="AB161" s="1284"/>
      <c r="AC161" s="1284"/>
      <c r="AD161" s="1284"/>
      <c r="AE161" s="1284"/>
      <c r="AF161" s="1550"/>
      <c r="AG161" s="558"/>
      <c r="AH161" s="558"/>
      <c r="AI161" s="558"/>
      <c r="AJ161" s="558"/>
      <c r="AK161" s="1559">
        <v>11</v>
      </c>
    </row>
    <row r="162" spans="1:37" s="2028" customFormat="1" ht="11.45" customHeight="1">
      <c r="A162" s="911"/>
      <c r="B162" s="911"/>
      <c r="C162" s="911"/>
      <c r="D162" s="911"/>
      <c r="E162" s="911"/>
      <c r="F162" s="1554"/>
      <c r="G162" s="1554"/>
      <c r="H162" s="287"/>
      <c r="N162" s="1284"/>
      <c r="P162" s="1284"/>
      <c r="Q162" s="1554"/>
      <c r="R162" s="1554"/>
      <c r="S162" s="1284"/>
      <c r="T162" s="1284"/>
      <c r="U162" s="1284"/>
      <c r="V162" s="1284"/>
      <c r="W162" s="1554"/>
      <c r="X162" s="1284"/>
      <c r="Y162" s="1284"/>
      <c r="Z162" s="480"/>
      <c r="AA162" s="1284"/>
      <c r="AB162" s="1284"/>
      <c r="AC162" s="1284"/>
      <c r="AD162" s="1284"/>
      <c r="AE162" s="1284"/>
      <c r="AF162" s="1550"/>
      <c r="AG162" s="558"/>
      <c r="AH162" s="558"/>
      <c r="AI162" s="558"/>
      <c r="AJ162" s="558"/>
      <c r="AK162" s="1559">
        <v>11</v>
      </c>
    </row>
    <row r="163" spans="1:37" s="2028" customFormat="1" ht="11.45" customHeight="1">
      <c r="A163" s="911"/>
      <c r="B163" s="911"/>
      <c r="C163" s="911"/>
      <c r="D163" s="911"/>
      <c r="E163" s="911"/>
      <c r="F163" s="1554"/>
      <c r="G163" s="1554"/>
      <c r="H163" s="287"/>
      <c r="N163" s="1284"/>
      <c r="P163" s="1284"/>
      <c r="Q163" s="1554"/>
      <c r="R163" s="1554"/>
      <c r="S163" s="1284"/>
      <c r="T163" s="1284"/>
      <c r="U163" s="1284"/>
      <c r="V163" s="1284"/>
      <c r="W163" s="1554"/>
      <c r="X163" s="1284"/>
      <c r="Y163" s="1284"/>
      <c r="Z163" s="480"/>
      <c r="AA163" s="1284"/>
      <c r="AB163" s="1284"/>
      <c r="AC163" s="1284"/>
      <c r="AD163" s="1284"/>
      <c r="AE163" s="1284"/>
      <c r="AF163" s="1550"/>
      <c r="AG163" s="558"/>
      <c r="AH163" s="558"/>
      <c r="AI163" s="558"/>
      <c r="AJ163" s="558"/>
      <c r="AK163" s="1559">
        <v>11</v>
      </c>
    </row>
    <row r="164" spans="1:37" s="2028" customFormat="1" ht="11.45" customHeight="1">
      <c r="A164" s="911"/>
      <c r="B164" s="911"/>
      <c r="C164" s="911"/>
      <c r="D164" s="911"/>
      <c r="E164" s="911"/>
      <c r="F164" s="1554"/>
      <c r="G164" s="1554"/>
      <c r="H164" s="287"/>
      <c r="N164" s="1284"/>
      <c r="P164" s="1284"/>
      <c r="Q164" s="1554"/>
      <c r="R164" s="1554"/>
      <c r="S164" s="1284"/>
      <c r="T164" s="1284"/>
      <c r="U164" s="1284"/>
      <c r="V164" s="1284"/>
      <c r="W164" s="1554"/>
      <c r="X164" s="1284"/>
      <c r="Y164" s="1284"/>
      <c r="Z164" s="480"/>
      <c r="AA164" s="1284"/>
      <c r="AB164" s="1284"/>
      <c r="AC164" s="1284"/>
      <c r="AD164" s="1284"/>
      <c r="AE164" s="1284"/>
      <c r="AF164" s="1550"/>
      <c r="AG164" s="558"/>
      <c r="AH164" s="558"/>
      <c r="AI164" s="558"/>
      <c r="AJ164" s="558"/>
      <c r="AK164" s="1559">
        <v>11</v>
      </c>
    </row>
    <row r="165" spans="1:37" s="2028" customFormat="1" ht="11.45" customHeight="1">
      <c r="A165" s="911"/>
      <c r="B165" s="911"/>
      <c r="C165" s="911"/>
      <c r="D165" s="911"/>
      <c r="E165" s="911"/>
      <c r="F165" s="1554"/>
      <c r="G165" s="1554"/>
      <c r="H165" s="287"/>
      <c r="N165" s="1284"/>
      <c r="P165" s="1284"/>
      <c r="Q165" s="1554"/>
      <c r="R165" s="1554"/>
      <c r="S165" s="1284"/>
      <c r="T165" s="1284"/>
      <c r="U165" s="1284"/>
      <c r="V165" s="1284"/>
      <c r="W165" s="1554"/>
      <c r="X165" s="1284"/>
      <c r="Y165" s="1284"/>
      <c r="Z165" s="480"/>
      <c r="AA165" s="1284"/>
      <c r="AB165" s="1284"/>
      <c r="AC165" s="1284"/>
      <c r="AD165" s="1284"/>
      <c r="AE165" s="1284"/>
      <c r="AF165" s="1550"/>
      <c r="AG165" s="558"/>
      <c r="AH165" s="558"/>
      <c r="AI165" s="558"/>
      <c r="AJ165" s="558"/>
      <c r="AK165" s="1559">
        <v>11</v>
      </c>
    </row>
    <row r="166" spans="1:37" s="2028" customFormat="1" ht="11.45" customHeight="1">
      <c r="A166" s="911"/>
      <c r="B166" s="911"/>
      <c r="C166" s="911"/>
      <c r="D166" s="911"/>
      <c r="E166" s="911"/>
      <c r="F166" s="1554"/>
      <c r="G166" s="1554"/>
      <c r="H166" s="287"/>
      <c r="N166" s="1284"/>
      <c r="P166" s="1284"/>
      <c r="Q166" s="1554"/>
      <c r="R166" s="1554"/>
      <c r="S166" s="1284"/>
      <c r="T166" s="1284"/>
      <c r="U166" s="1284"/>
      <c r="V166" s="1284"/>
      <c r="W166" s="1554"/>
      <c r="X166" s="1284"/>
      <c r="Y166" s="1284"/>
      <c r="Z166" s="480"/>
      <c r="AA166" s="1284"/>
      <c r="AB166" s="1284"/>
      <c r="AC166" s="1284"/>
      <c r="AD166" s="1284"/>
      <c r="AE166" s="1284"/>
      <c r="AF166" s="1550"/>
      <c r="AG166" s="558"/>
      <c r="AH166" s="558"/>
      <c r="AI166" s="558"/>
      <c r="AJ166" s="558"/>
      <c r="AK166" s="1559">
        <v>11</v>
      </c>
    </row>
    <row r="167" spans="1:37" s="2028" customFormat="1" ht="11.45" customHeight="1">
      <c r="A167" s="911"/>
      <c r="B167" s="911"/>
      <c r="C167" s="911"/>
      <c r="D167" s="911"/>
      <c r="E167" s="911"/>
      <c r="F167" s="1554"/>
      <c r="G167" s="1554"/>
      <c r="H167" s="287"/>
      <c r="N167" s="1284"/>
      <c r="P167" s="1284"/>
      <c r="Q167" s="1554"/>
      <c r="R167" s="1554"/>
      <c r="S167" s="1284"/>
      <c r="T167" s="1284"/>
      <c r="U167" s="1284"/>
      <c r="V167" s="1284"/>
      <c r="W167" s="1554"/>
      <c r="X167" s="1284"/>
      <c r="Y167" s="1284"/>
      <c r="Z167" s="480"/>
      <c r="AA167" s="1284"/>
      <c r="AB167" s="1284"/>
      <c r="AC167" s="1284"/>
      <c r="AD167" s="1284"/>
      <c r="AE167" s="1284"/>
      <c r="AF167" s="1550"/>
      <c r="AG167" s="558"/>
      <c r="AH167" s="558"/>
      <c r="AI167" s="558"/>
      <c r="AJ167" s="558"/>
      <c r="AK167" s="1559">
        <v>11</v>
      </c>
    </row>
    <row r="168" spans="1:37" s="2028" customFormat="1" ht="11.45" customHeight="1">
      <c r="A168" s="911"/>
      <c r="B168" s="911"/>
      <c r="C168" s="911"/>
      <c r="D168" s="911"/>
      <c r="E168" s="911"/>
      <c r="F168" s="1554"/>
      <c r="G168" s="1554"/>
      <c r="H168" s="287"/>
      <c r="N168" s="1284"/>
      <c r="P168" s="1284"/>
      <c r="Q168" s="1554"/>
      <c r="R168" s="1554"/>
      <c r="S168" s="1284"/>
      <c r="T168" s="1284"/>
      <c r="U168" s="1284"/>
      <c r="V168" s="1284"/>
      <c r="W168" s="1554"/>
      <c r="X168" s="1284"/>
      <c r="Y168" s="1284"/>
      <c r="Z168" s="480"/>
      <c r="AA168" s="1284"/>
      <c r="AB168" s="1284"/>
      <c r="AC168" s="1284"/>
      <c r="AD168" s="1284"/>
      <c r="AE168" s="1284"/>
      <c r="AF168" s="1550"/>
      <c r="AG168" s="558"/>
      <c r="AH168" s="558"/>
      <c r="AI168" s="558"/>
      <c r="AJ168" s="558"/>
      <c r="AK168" s="1559">
        <v>11</v>
      </c>
    </row>
    <row r="169" spans="1:37" s="2028" customFormat="1" ht="11.45" customHeight="1">
      <c r="A169" s="911"/>
      <c r="B169" s="911"/>
      <c r="C169" s="911"/>
      <c r="D169" s="911"/>
      <c r="E169" s="911"/>
      <c r="F169" s="1554"/>
      <c r="G169" s="1554"/>
      <c r="H169" s="287"/>
      <c r="N169" s="1284"/>
      <c r="P169" s="1284"/>
      <c r="Q169" s="1554"/>
      <c r="R169" s="1554"/>
      <c r="S169" s="1284"/>
      <c r="T169" s="1284"/>
      <c r="U169" s="1284"/>
      <c r="V169" s="1284"/>
      <c r="W169" s="1554"/>
      <c r="X169" s="1284"/>
      <c r="Y169" s="1284"/>
      <c r="Z169" s="480"/>
      <c r="AA169" s="1284"/>
      <c r="AB169" s="1284"/>
      <c r="AC169" s="1284"/>
      <c r="AD169" s="1284"/>
      <c r="AE169" s="1284"/>
      <c r="AF169" s="1550"/>
      <c r="AG169" s="558"/>
      <c r="AH169" s="558"/>
      <c r="AI169" s="558"/>
      <c r="AJ169" s="558"/>
      <c r="AK169" s="1559">
        <v>11</v>
      </c>
    </row>
    <row r="170" spans="1:37" s="2028" customFormat="1" ht="11.45" customHeight="1">
      <c r="A170" s="911"/>
      <c r="B170" s="911"/>
      <c r="C170" s="911"/>
      <c r="D170" s="911"/>
      <c r="E170" s="911"/>
      <c r="F170" s="1554"/>
      <c r="G170" s="1554"/>
      <c r="H170" s="287"/>
      <c r="N170" s="1284"/>
      <c r="P170" s="1284"/>
      <c r="Q170" s="1554"/>
      <c r="R170" s="1554"/>
      <c r="S170" s="1284"/>
      <c r="T170" s="1284"/>
      <c r="U170" s="1284"/>
      <c r="V170" s="1284"/>
      <c r="W170" s="1554"/>
      <c r="X170" s="1284"/>
      <c r="Y170" s="1284"/>
      <c r="Z170" s="480"/>
      <c r="AA170" s="1284"/>
      <c r="AB170" s="1284"/>
      <c r="AC170" s="1284"/>
      <c r="AD170" s="1284"/>
      <c r="AE170" s="1284"/>
      <c r="AF170" s="1550"/>
      <c r="AG170" s="558"/>
      <c r="AH170" s="558"/>
      <c r="AI170" s="558"/>
      <c r="AJ170" s="558"/>
      <c r="AK170" s="1559">
        <v>11</v>
      </c>
    </row>
    <row r="171" spans="1:37" s="2028" customFormat="1" ht="11.45" customHeight="1">
      <c r="A171" s="911"/>
      <c r="B171" s="911"/>
      <c r="C171" s="911"/>
      <c r="D171" s="911"/>
      <c r="E171" s="911"/>
      <c r="F171" s="1554"/>
      <c r="G171" s="1554"/>
      <c r="H171" s="287"/>
      <c r="N171" s="1284"/>
      <c r="P171" s="1284"/>
      <c r="Q171" s="1554"/>
      <c r="R171" s="1554"/>
      <c r="S171" s="1284"/>
      <c r="T171" s="1284"/>
      <c r="U171" s="1284"/>
      <c r="V171" s="1284"/>
      <c r="W171" s="1554"/>
      <c r="X171" s="1284"/>
      <c r="Y171" s="1284"/>
      <c r="Z171" s="480"/>
      <c r="AA171" s="1284"/>
      <c r="AB171" s="1284"/>
      <c r="AC171" s="1284"/>
      <c r="AD171" s="1284"/>
      <c r="AE171" s="1284"/>
      <c r="AF171" s="1550"/>
      <c r="AG171" s="558"/>
      <c r="AH171" s="558"/>
      <c r="AI171" s="558"/>
      <c r="AJ171" s="558"/>
      <c r="AK171" s="1559">
        <v>11</v>
      </c>
    </row>
    <row r="172" spans="1:37" s="2028" customFormat="1" ht="11.45" customHeight="1">
      <c r="A172" s="911"/>
      <c r="B172" s="911"/>
      <c r="C172" s="911"/>
      <c r="D172" s="911"/>
      <c r="E172" s="911"/>
      <c r="F172" s="1554"/>
      <c r="G172" s="1554"/>
      <c r="H172" s="287"/>
      <c r="N172" s="1284"/>
      <c r="P172" s="1284"/>
      <c r="Q172" s="1554"/>
      <c r="R172" s="1554"/>
      <c r="S172" s="1284"/>
      <c r="T172" s="1284"/>
      <c r="U172" s="1284"/>
      <c r="V172" s="1284"/>
      <c r="W172" s="1554"/>
      <c r="X172" s="1284"/>
      <c r="Y172" s="1284"/>
      <c r="Z172" s="480"/>
      <c r="AA172" s="1284"/>
      <c r="AB172" s="1284"/>
      <c r="AC172" s="1284"/>
      <c r="AD172" s="1284"/>
      <c r="AE172" s="1284"/>
      <c r="AF172" s="1550"/>
      <c r="AG172" s="558"/>
      <c r="AH172" s="558"/>
      <c r="AI172" s="558"/>
      <c r="AJ172" s="558"/>
      <c r="AK172" s="1559">
        <v>11</v>
      </c>
    </row>
    <row r="173" spans="1:37" s="2028" customFormat="1" ht="11.45" customHeight="1">
      <c r="A173" s="911"/>
      <c r="B173" s="911"/>
      <c r="C173" s="911"/>
      <c r="D173" s="911"/>
      <c r="E173" s="911"/>
      <c r="F173" s="1554"/>
      <c r="G173" s="1554"/>
      <c r="H173" s="287"/>
      <c r="N173" s="1284"/>
      <c r="P173" s="1284"/>
      <c r="Q173" s="1554"/>
      <c r="R173" s="1554"/>
      <c r="S173" s="1284"/>
      <c r="T173" s="1284"/>
      <c r="U173" s="1284"/>
      <c r="V173" s="1284"/>
      <c r="W173" s="1554"/>
      <c r="X173" s="1284"/>
      <c r="Y173" s="1284"/>
      <c r="Z173" s="480"/>
      <c r="AA173" s="1284"/>
      <c r="AB173" s="1284"/>
      <c r="AC173" s="1284"/>
      <c r="AD173" s="1284"/>
      <c r="AE173" s="1284"/>
      <c r="AF173" s="1550"/>
      <c r="AG173" s="558"/>
      <c r="AH173" s="558"/>
      <c r="AI173" s="558"/>
      <c r="AJ173" s="558"/>
      <c r="AK173" s="1559">
        <v>11</v>
      </c>
    </row>
    <row r="174" spans="1:37" s="2028" customFormat="1" ht="11.45" customHeight="1">
      <c r="A174" s="911"/>
      <c r="B174" s="911"/>
      <c r="C174" s="911"/>
      <c r="D174" s="911"/>
      <c r="E174" s="911"/>
      <c r="F174" s="1554"/>
      <c r="G174" s="1554"/>
      <c r="H174" s="287"/>
      <c r="N174" s="1284"/>
      <c r="P174" s="1284"/>
      <c r="Q174" s="1554"/>
      <c r="R174" s="1554"/>
      <c r="S174" s="1284"/>
      <c r="T174" s="1284"/>
      <c r="U174" s="1284"/>
      <c r="V174" s="1284"/>
      <c r="W174" s="1554"/>
      <c r="X174" s="1284"/>
      <c r="Y174" s="1284"/>
      <c r="Z174" s="480"/>
      <c r="AA174" s="1284"/>
      <c r="AB174" s="1284"/>
      <c r="AC174" s="1284"/>
      <c r="AD174" s="1284"/>
      <c r="AE174" s="1284"/>
      <c r="AF174" s="1550"/>
      <c r="AG174" s="558"/>
      <c r="AH174" s="558"/>
      <c r="AI174" s="558"/>
      <c r="AJ174" s="558"/>
      <c r="AK174" s="1559">
        <v>11</v>
      </c>
    </row>
    <row r="175" spans="1:37" s="2028" customFormat="1" ht="11.45" customHeight="1">
      <c r="A175" s="911"/>
      <c r="B175" s="911"/>
      <c r="C175" s="911"/>
      <c r="D175" s="911"/>
      <c r="E175" s="911"/>
      <c r="F175" s="1554"/>
      <c r="G175" s="1554"/>
      <c r="H175" s="287"/>
      <c r="N175" s="1284"/>
      <c r="P175" s="1284"/>
      <c r="Q175" s="1554"/>
      <c r="R175" s="1554"/>
      <c r="S175" s="1284"/>
      <c r="T175" s="1284"/>
      <c r="U175" s="1284"/>
      <c r="V175" s="1284"/>
      <c r="W175" s="1554"/>
      <c r="X175" s="1284"/>
      <c r="Y175" s="1284"/>
      <c r="Z175" s="480"/>
      <c r="AA175" s="1284"/>
      <c r="AB175" s="1284"/>
      <c r="AC175" s="1284"/>
      <c r="AD175" s="1284"/>
      <c r="AE175" s="1284"/>
      <c r="AF175" s="1550"/>
      <c r="AG175" s="558"/>
      <c r="AH175" s="558"/>
      <c r="AI175" s="558"/>
      <c r="AJ175" s="558"/>
      <c r="AK175" s="1559">
        <v>11</v>
      </c>
    </row>
    <row r="176" spans="1:37" s="2028" customFormat="1" ht="11.45" customHeight="1">
      <c r="A176" s="911"/>
      <c r="B176" s="911"/>
      <c r="C176" s="911"/>
      <c r="D176" s="911"/>
      <c r="E176" s="911"/>
      <c r="F176" s="1554"/>
      <c r="G176" s="1554"/>
      <c r="H176" s="287"/>
      <c r="N176" s="1284"/>
      <c r="P176" s="1284"/>
      <c r="Q176" s="1554"/>
      <c r="R176" s="1554"/>
      <c r="S176" s="1284"/>
      <c r="T176" s="1284"/>
      <c r="U176" s="1284"/>
      <c r="V176" s="1284"/>
      <c r="W176" s="1554"/>
      <c r="X176" s="1284"/>
      <c r="Y176" s="1284"/>
      <c r="Z176" s="480"/>
      <c r="AA176" s="1284"/>
      <c r="AB176" s="1284"/>
      <c r="AC176" s="1284"/>
      <c r="AD176" s="1284"/>
      <c r="AE176" s="1284"/>
      <c r="AF176" s="1550"/>
      <c r="AG176" s="558"/>
      <c r="AH176" s="558"/>
      <c r="AI176" s="558"/>
      <c r="AJ176" s="558"/>
      <c r="AK176" s="1559">
        <v>11</v>
      </c>
    </row>
    <row r="177" spans="1:37" s="2028" customFormat="1" ht="11.45" customHeight="1">
      <c r="A177" s="911"/>
      <c r="B177" s="911"/>
      <c r="C177" s="911"/>
      <c r="D177" s="911"/>
      <c r="E177" s="911"/>
      <c r="F177" s="1554"/>
      <c r="G177" s="1554"/>
      <c r="H177" s="287"/>
      <c r="N177" s="1284"/>
      <c r="P177" s="1284"/>
      <c r="Q177" s="1554"/>
      <c r="R177" s="1554"/>
      <c r="S177" s="1284"/>
      <c r="T177" s="1284"/>
      <c r="U177" s="1284"/>
      <c r="V177" s="1284"/>
      <c r="W177" s="1554"/>
      <c r="X177" s="1284"/>
      <c r="Y177" s="1284"/>
      <c r="Z177" s="480"/>
      <c r="AA177" s="1284"/>
      <c r="AB177" s="1284"/>
      <c r="AC177" s="1284"/>
      <c r="AD177" s="1284"/>
      <c r="AE177" s="1284"/>
      <c r="AF177" s="1550"/>
      <c r="AG177" s="558"/>
      <c r="AH177" s="558"/>
      <c r="AI177" s="558"/>
      <c r="AJ177" s="558"/>
      <c r="AK177" s="1559">
        <v>11</v>
      </c>
    </row>
    <row r="178" spans="1:37" s="2028" customFormat="1" ht="11.45" customHeight="1">
      <c r="A178" s="911"/>
      <c r="B178" s="911"/>
      <c r="C178" s="911"/>
      <c r="D178" s="911"/>
      <c r="E178" s="911"/>
      <c r="F178" s="1554"/>
      <c r="G178" s="1554"/>
      <c r="H178" s="287"/>
      <c r="N178" s="1284"/>
      <c r="P178" s="1284"/>
      <c r="Q178" s="1554"/>
      <c r="R178" s="1554"/>
      <c r="S178" s="1284"/>
      <c r="T178" s="1284"/>
      <c r="U178" s="1284"/>
      <c r="V178" s="1284"/>
      <c r="W178" s="1554"/>
      <c r="X178" s="1284"/>
      <c r="Y178" s="1284"/>
      <c r="Z178" s="480"/>
      <c r="AA178" s="1284"/>
      <c r="AB178" s="1284"/>
      <c r="AC178" s="1284"/>
      <c r="AD178" s="1284"/>
      <c r="AE178" s="1284"/>
      <c r="AF178" s="1550"/>
      <c r="AG178" s="558"/>
      <c r="AH178" s="558"/>
      <c r="AI178" s="558"/>
      <c r="AJ178" s="558"/>
      <c r="AK178" s="1559">
        <v>11</v>
      </c>
    </row>
    <row r="179" spans="1:37" s="2028" customFormat="1" ht="11.45" customHeight="1">
      <c r="A179" s="911"/>
      <c r="B179" s="911"/>
      <c r="C179" s="911"/>
      <c r="D179" s="911"/>
      <c r="E179" s="911"/>
      <c r="F179" s="1554"/>
      <c r="G179" s="1554"/>
      <c r="H179" s="287"/>
      <c r="N179" s="1284"/>
      <c r="P179" s="1284"/>
      <c r="Q179" s="1554"/>
      <c r="R179" s="1554"/>
      <c r="S179" s="1284"/>
      <c r="T179" s="1284"/>
      <c r="U179" s="1284"/>
      <c r="V179" s="1284"/>
      <c r="W179" s="1554"/>
      <c r="X179" s="1284"/>
      <c r="Y179" s="1284"/>
      <c r="Z179" s="480"/>
      <c r="AA179" s="1284"/>
      <c r="AB179" s="1284"/>
      <c r="AC179" s="1284"/>
      <c r="AD179" s="1284"/>
      <c r="AE179" s="1284"/>
      <c r="AF179" s="1550"/>
      <c r="AG179" s="558"/>
      <c r="AH179" s="558"/>
      <c r="AI179" s="558"/>
      <c r="AJ179" s="558"/>
      <c r="AK179" s="1559">
        <v>11</v>
      </c>
    </row>
    <row r="180" spans="1:37" s="2028" customFormat="1" ht="11.45" customHeight="1">
      <c r="A180" s="911"/>
      <c r="B180" s="911"/>
      <c r="C180" s="911"/>
      <c r="D180" s="911"/>
      <c r="E180" s="911"/>
      <c r="F180" s="1554"/>
      <c r="G180" s="1554"/>
      <c r="H180" s="287"/>
      <c r="N180" s="1284"/>
      <c r="P180" s="1284"/>
      <c r="Q180" s="1554"/>
      <c r="R180" s="1554"/>
      <c r="S180" s="1284"/>
      <c r="T180" s="1284"/>
      <c r="U180" s="1284"/>
      <c r="V180" s="1284"/>
      <c r="W180" s="1554"/>
      <c r="X180" s="1284"/>
      <c r="Y180" s="1284"/>
      <c r="Z180" s="480"/>
      <c r="AA180" s="1284"/>
      <c r="AB180" s="1284"/>
      <c r="AC180" s="1284"/>
      <c r="AD180" s="1284"/>
      <c r="AE180" s="1284"/>
      <c r="AF180" s="1550"/>
      <c r="AG180" s="558"/>
      <c r="AH180" s="558"/>
      <c r="AI180" s="558"/>
      <c r="AJ180" s="558"/>
      <c r="AK180" s="1559">
        <v>11</v>
      </c>
    </row>
    <row r="181" spans="1:37" s="2028" customFormat="1" ht="11.45" customHeight="1">
      <c r="A181" s="911"/>
      <c r="B181" s="911"/>
      <c r="C181" s="911"/>
      <c r="D181" s="911"/>
      <c r="E181" s="911"/>
      <c r="F181" s="1554"/>
      <c r="G181" s="1554"/>
      <c r="H181" s="287"/>
      <c r="N181" s="1284"/>
      <c r="P181" s="1284"/>
      <c r="Q181" s="1554"/>
      <c r="R181" s="1554"/>
      <c r="S181" s="1284"/>
      <c r="T181" s="1284"/>
      <c r="U181" s="1284"/>
      <c r="V181" s="1284"/>
      <c r="W181" s="1554"/>
      <c r="X181" s="1284"/>
      <c r="Y181" s="1284"/>
      <c r="Z181" s="480"/>
      <c r="AA181" s="1284"/>
      <c r="AB181" s="1284"/>
      <c r="AC181" s="1284"/>
      <c r="AD181" s="1284"/>
      <c r="AE181" s="1284"/>
      <c r="AF181" s="1550"/>
      <c r="AG181" s="558"/>
      <c r="AH181" s="558"/>
      <c r="AI181" s="558"/>
      <c r="AJ181" s="558"/>
      <c r="AK181" s="1559">
        <v>11</v>
      </c>
    </row>
    <row r="182" spans="1:37" s="2028" customFormat="1" ht="11.45" customHeight="1">
      <c r="A182" s="911"/>
      <c r="B182" s="911"/>
      <c r="C182" s="911"/>
      <c r="D182" s="911"/>
      <c r="E182" s="911"/>
      <c r="F182" s="1554"/>
      <c r="G182" s="1554"/>
      <c r="H182" s="287"/>
      <c r="N182" s="1284"/>
      <c r="P182" s="1284"/>
      <c r="Q182" s="1554"/>
      <c r="R182" s="1554"/>
      <c r="S182" s="1284"/>
      <c r="T182" s="1284"/>
      <c r="U182" s="1284"/>
      <c r="V182" s="1284"/>
      <c r="W182" s="1554"/>
      <c r="X182" s="1284"/>
      <c r="Y182" s="1284"/>
      <c r="Z182" s="480"/>
      <c r="AA182" s="1284"/>
      <c r="AB182" s="1284"/>
      <c r="AC182" s="1284"/>
      <c r="AD182" s="1284"/>
      <c r="AE182" s="1284"/>
      <c r="AF182" s="1550"/>
      <c r="AG182" s="558"/>
      <c r="AH182" s="558"/>
      <c r="AI182" s="558"/>
      <c r="AJ182" s="558"/>
      <c r="AK182" s="1559">
        <v>11</v>
      </c>
    </row>
    <row r="183" spans="1:37" s="2028" customFormat="1" ht="11.45" customHeight="1">
      <c r="A183" s="911"/>
      <c r="B183" s="911"/>
      <c r="C183" s="911"/>
      <c r="D183" s="911"/>
      <c r="E183" s="911"/>
      <c r="F183" s="1554"/>
      <c r="G183" s="1554"/>
      <c r="H183" s="287"/>
      <c r="N183" s="1284"/>
      <c r="P183" s="1284"/>
      <c r="Q183" s="1554"/>
      <c r="R183" s="1554"/>
      <c r="S183" s="1284"/>
      <c r="T183" s="1284"/>
      <c r="U183" s="1284"/>
      <c r="V183" s="1284"/>
      <c r="W183" s="1554"/>
      <c r="X183" s="1284"/>
      <c r="Y183" s="1284"/>
      <c r="Z183" s="480"/>
      <c r="AA183" s="1284"/>
      <c r="AB183" s="1284"/>
      <c r="AC183" s="1284"/>
      <c r="AD183" s="1284"/>
      <c r="AE183" s="1284"/>
      <c r="AF183" s="1550"/>
      <c r="AG183" s="558"/>
      <c r="AH183" s="558"/>
      <c r="AI183" s="558"/>
      <c r="AJ183" s="558"/>
      <c r="AK183" s="1559">
        <v>11</v>
      </c>
    </row>
    <row r="184" spans="1:37" s="2028" customFormat="1" ht="11.45" customHeight="1">
      <c r="A184" s="911"/>
      <c r="B184" s="911"/>
      <c r="C184" s="911"/>
      <c r="D184" s="911"/>
      <c r="E184" s="911"/>
      <c r="F184" s="1554"/>
      <c r="G184" s="1554"/>
      <c r="H184" s="287"/>
      <c r="N184" s="1284"/>
      <c r="P184" s="1284"/>
      <c r="Q184" s="1554"/>
      <c r="R184" s="1554"/>
      <c r="S184" s="1284"/>
      <c r="T184" s="1284"/>
      <c r="U184" s="1284"/>
      <c r="V184" s="1284"/>
      <c r="W184" s="1554"/>
      <c r="X184" s="1284"/>
      <c r="Y184" s="1284"/>
      <c r="Z184" s="480"/>
      <c r="AA184" s="1284"/>
      <c r="AB184" s="1284"/>
      <c r="AC184" s="1284"/>
      <c r="AD184" s="1284"/>
      <c r="AE184" s="1284"/>
      <c r="AF184" s="1550"/>
      <c r="AG184" s="558"/>
      <c r="AH184" s="558"/>
      <c r="AI184" s="558"/>
      <c r="AJ184" s="558"/>
      <c r="AK184" s="1559">
        <v>11</v>
      </c>
    </row>
    <row r="185" spans="1:37" s="2028" customFormat="1" ht="11.45" customHeight="1">
      <c r="A185" s="911"/>
      <c r="B185" s="911"/>
      <c r="C185" s="911"/>
      <c r="D185" s="911"/>
      <c r="E185" s="911"/>
      <c r="F185" s="1554"/>
      <c r="G185" s="1554"/>
      <c r="H185" s="287"/>
      <c r="N185" s="1284"/>
      <c r="P185" s="1284"/>
      <c r="Q185" s="1554"/>
      <c r="R185" s="1554"/>
      <c r="S185" s="1284"/>
      <c r="T185" s="1284"/>
      <c r="U185" s="1284"/>
      <c r="V185" s="1284"/>
      <c r="W185" s="1554"/>
      <c r="X185" s="1284"/>
      <c r="Y185" s="1284"/>
      <c r="Z185" s="480"/>
      <c r="AA185" s="1284"/>
      <c r="AB185" s="1284"/>
      <c r="AC185" s="1284"/>
      <c r="AD185" s="1284"/>
      <c r="AE185" s="1284"/>
      <c r="AF185" s="1550"/>
      <c r="AG185" s="558"/>
      <c r="AH185" s="558"/>
      <c r="AI185" s="558"/>
      <c r="AJ185" s="558"/>
      <c r="AK185" s="1559">
        <v>11</v>
      </c>
    </row>
    <row r="186" spans="1:37" s="2028" customFormat="1" ht="11.45" customHeight="1">
      <c r="A186" s="911"/>
      <c r="B186" s="911"/>
      <c r="C186" s="911"/>
      <c r="D186" s="911"/>
      <c r="E186" s="911"/>
      <c r="F186" s="1554"/>
      <c r="G186" s="1554"/>
      <c r="H186" s="287"/>
      <c r="N186" s="1284"/>
      <c r="P186" s="1284"/>
      <c r="Q186" s="1554"/>
      <c r="R186" s="1554"/>
      <c r="S186" s="1284"/>
      <c r="T186" s="1284"/>
      <c r="U186" s="1284"/>
      <c r="V186" s="1284"/>
      <c r="W186" s="1554"/>
      <c r="X186" s="1284"/>
      <c r="Y186" s="1284"/>
      <c r="Z186" s="480"/>
      <c r="AA186" s="1284"/>
      <c r="AB186" s="1284"/>
      <c r="AC186" s="1284"/>
      <c r="AD186" s="1284"/>
      <c r="AE186" s="1284"/>
      <c r="AF186" s="1550"/>
      <c r="AG186" s="558"/>
      <c r="AH186" s="558"/>
      <c r="AI186" s="558"/>
      <c r="AJ186" s="558"/>
      <c r="AK186" s="1559">
        <v>11</v>
      </c>
    </row>
    <row r="187" spans="1:37" s="2028" customFormat="1" ht="11.45" customHeight="1">
      <c r="A187" s="911"/>
      <c r="B187" s="911"/>
      <c r="C187" s="911"/>
      <c r="D187" s="911"/>
      <c r="E187" s="911"/>
      <c r="F187" s="1554"/>
      <c r="G187" s="1554"/>
      <c r="H187" s="287"/>
      <c r="N187" s="1284"/>
      <c r="P187" s="1284"/>
      <c r="Q187" s="1554"/>
      <c r="R187" s="1554"/>
      <c r="S187" s="1284"/>
      <c r="T187" s="1284"/>
      <c r="U187" s="1284"/>
      <c r="V187" s="1284"/>
      <c r="W187" s="1554"/>
      <c r="X187" s="1284"/>
      <c r="Y187" s="1284"/>
      <c r="Z187" s="480"/>
      <c r="AA187" s="1284"/>
      <c r="AB187" s="1284"/>
      <c r="AC187" s="1284"/>
      <c r="AD187" s="1284"/>
      <c r="AE187" s="1284"/>
      <c r="AF187" s="1550"/>
      <c r="AG187" s="558"/>
      <c r="AH187" s="558"/>
      <c r="AI187" s="558"/>
      <c r="AJ187" s="558"/>
      <c r="AK187" s="1559">
        <v>11</v>
      </c>
    </row>
    <row r="188" spans="1:37" s="2028" customFormat="1" ht="11.45" customHeight="1">
      <c r="A188" s="911"/>
      <c r="B188" s="911"/>
      <c r="C188" s="911"/>
      <c r="D188" s="911"/>
      <c r="E188" s="911"/>
      <c r="F188" s="1554"/>
      <c r="G188" s="1554"/>
      <c r="H188" s="287"/>
      <c r="N188" s="1284"/>
      <c r="P188" s="1284"/>
      <c r="Q188" s="1554"/>
      <c r="R188" s="1554"/>
      <c r="S188" s="1284"/>
      <c r="T188" s="1284"/>
      <c r="U188" s="1284"/>
      <c r="V188" s="1284"/>
      <c r="W188" s="1554"/>
      <c r="X188" s="1284"/>
      <c r="Y188" s="1284"/>
      <c r="Z188" s="480"/>
      <c r="AA188" s="1284"/>
      <c r="AB188" s="1284"/>
      <c r="AC188" s="1284"/>
      <c r="AD188" s="1284"/>
      <c r="AE188" s="1284"/>
      <c r="AF188" s="1550"/>
      <c r="AG188" s="558"/>
      <c r="AH188" s="558"/>
      <c r="AI188" s="558"/>
      <c r="AJ188" s="558"/>
      <c r="AK188" s="1559">
        <v>11</v>
      </c>
    </row>
    <row r="189" spans="1:37" s="2028" customFormat="1" ht="11.45" customHeight="1">
      <c r="A189" s="911"/>
      <c r="B189" s="911"/>
      <c r="C189" s="911"/>
      <c r="D189" s="911"/>
      <c r="E189" s="911"/>
      <c r="F189" s="1554"/>
      <c r="G189" s="1554"/>
      <c r="H189" s="287"/>
      <c r="N189" s="1284"/>
      <c r="P189" s="1284"/>
      <c r="Q189" s="1554"/>
      <c r="R189" s="1554"/>
      <c r="S189" s="1284"/>
      <c r="T189" s="1284"/>
      <c r="U189" s="1284"/>
      <c r="V189" s="1284"/>
      <c r="W189" s="1554"/>
      <c r="X189" s="1284"/>
      <c r="Y189" s="1284"/>
      <c r="Z189" s="480"/>
      <c r="AA189" s="1284"/>
      <c r="AB189" s="1284"/>
      <c r="AC189" s="1284"/>
      <c r="AD189" s="1284"/>
      <c r="AE189" s="1284"/>
      <c r="AF189" s="1550"/>
      <c r="AG189" s="558"/>
      <c r="AH189" s="558"/>
      <c r="AI189" s="558"/>
      <c r="AJ189" s="558"/>
      <c r="AK189" s="1559">
        <v>11</v>
      </c>
    </row>
    <row r="190" spans="1:37" ht="11.45" customHeight="1">
      <c r="AK190" s="1549">
        <v>11</v>
      </c>
    </row>
    <row r="191" spans="1:37" ht="11.45" customHeight="1">
      <c r="AK191" s="1549">
        <v>11</v>
      </c>
    </row>
    <row r="192" spans="1:37" ht="11.45" customHeight="1">
      <c r="AK192" s="1549">
        <v>11</v>
      </c>
    </row>
    <row r="193" spans="1:37" ht="11.45" customHeight="1">
      <c r="A193" s="914"/>
      <c r="B193" s="914"/>
      <c r="C193" s="914"/>
      <c r="D193" s="914"/>
      <c r="E193" s="914"/>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4"/>
      <c r="B194" s="914"/>
      <c r="C194" s="914"/>
      <c r="D194" s="914"/>
      <c r="E194" s="914"/>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4"/>
      <c r="B195" s="914"/>
      <c r="C195" s="914"/>
      <c r="D195" s="914"/>
      <c r="E195" s="914"/>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4"/>
      <c r="B196" s="914"/>
      <c r="C196" s="914"/>
      <c r="D196" s="914"/>
      <c r="E196" s="914"/>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4"/>
      <c r="B197" s="914"/>
      <c r="C197" s="914"/>
      <c r="D197" s="914"/>
      <c r="E197" s="914"/>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4"/>
      <c r="B198" s="914"/>
      <c r="C198" s="914"/>
      <c r="D198" s="914"/>
      <c r="E198" s="914"/>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4"/>
      <c r="B199" s="914"/>
      <c r="C199" s="914"/>
      <c r="D199" s="914"/>
      <c r="E199" s="914"/>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4"/>
      <c r="B200" s="914"/>
      <c r="C200" s="914"/>
      <c r="D200" s="914"/>
      <c r="E200" s="914"/>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4"/>
      <c r="B201" s="914"/>
      <c r="C201" s="914"/>
      <c r="D201" s="914"/>
      <c r="E201" s="914"/>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4"/>
      <c r="B202" s="914"/>
      <c r="C202" s="914"/>
      <c r="D202" s="914"/>
      <c r="E202" s="914"/>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4"/>
      <c r="B203" s="914"/>
      <c r="C203" s="914"/>
      <c r="D203" s="914"/>
      <c r="E203" s="914"/>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1" t="s">
        <v>84</v>
      </c>
      <c r="B204" s="911" t="s">
        <v>148</v>
      </c>
      <c r="C204" s="911" t="s">
        <v>148</v>
      </c>
      <c r="D204" s="911" t="s">
        <v>148</v>
      </c>
      <c r="E204" s="911" t="s">
        <v>148</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80">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62" hidden="1"/>
    <col min="5" max="5" width="9.140625" style="2109" hidden="1" customWidth="1"/>
    <col min="6" max="7" width="9.140625" style="2056" hidden="1" customWidth="1"/>
    <col min="8" max="8" width="3" style="2059" customWidth="1"/>
    <col min="9" max="9" width="6" style="2062" customWidth="1"/>
    <col min="10" max="10" width="63" style="2062" customWidth="1"/>
    <col min="11" max="11" width="9" style="2062" customWidth="1"/>
    <col min="12" max="12" width="39" style="2062" customWidth="1"/>
    <col min="13" max="13" width="89" style="2062" customWidth="1"/>
    <col min="14" max="14" width="10" style="2062" customWidth="1"/>
    <col min="15" max="16" width="10" style="2057" customWidth="1"/>
    <col min="17" max="22" width="10" style="2062" customWidth="1"/>
    <col min="23" max="23" width="10.5703125" style="2062" hidden="1"/>
  </cols>
  <sheetData>
    <row r="1" spans="1:23" ht="22.5" hidden="1" customHeight="1">
      <c r="S1" s="192"/>
      <c r="T1" s="192"/>
      <c r="V1" s="192"/>
      <c r="W1" s="1549" t="s">
        <v>14</v>
      </c>
    </row>
    <row r="2" spans="1:23" ht="22.5" hidden="1" customHeight="1">
      <c r="B2" s="1965" t="s">
        <v>684</v>
      </c>
      <c r="C2" s="1965" t="s">
        <v>685</v>
      </c>
      <c r="D2" s="1964" t="s">
        <v>624</v>
      </c>
      <c r="E2" s="1970">
        <f>I2-3</f>
        <v>-3</v>
      </c>
      <c r="F2" s="1970">
        <f>J2</f>
        <v>0</v>
      </c>
      <c r="H2" s="1647" t="s">
        <v>686</v>
      </c>
      <c r="I2" s="1936"/>
      <c r="J2" s="1600"/>
      <c r="K2" s="1930" t="s">
        <v>303</v>
      </c>
      <c r="L2" s="1082"/>
      <c r="M2" s="234"/>
      <c r="N2" s="1542"/>
      <c r="P2" s="1549"/>
      <c r="W2" s="1549">
        <v>0</v>
      </c>
    </row>
    <row r="3" spans="1:23" ht="14.25" hidden="1" customHeight="1">
      <c r="W3" s="1549">
        <v>0</v>
      </c>
    </row>
    <row r="4" spans="1:23" ht="6.4" customHeight="1">
      <c r="H4" s="312"/>
      <c r="I4" s="393"/>
      <c r="J4" s="393"/>
      <c r="K4" s="393"/>
      <c r="L4" s="25"/>
      <c r="M4" s="25"/>
      <c r="W4" s="1549">
        <v>6</v>
      </c>
    </row>
    <row r="5" spans="1:23" ht="50.25" customHeight="1">
      <c r="H5" s="312"/>
      <c r="I5" s="2437" t="s">
        <v>687</v>
      </c>
      <c r="J5" s="2437"/>
      <c r="K5" s="2437"/>
      <c r="L5" s="2437"/>
      <c r="M5" s="203"/>
      <c r="W5" s="1549">
        <v>48</v>
      </c>
    </row>
    <row r="6" spans="1:23" ht="18" customHeight="1">
      <c r="H6" s="312"/>
      <c r="I6" s="2409" t="str">
        <f>IF(org=0,"Не определено",org)</f>
        <v>ПАО "ТГК-1" филиал "Невский"</v>
      </c>
      <c r="J6" s="2409"/>
      <c r="K6" s="2409"/>
      <c r="L6" s="2409"/>
      <c r="M6" s="203"/>
      <c r="W6" s="1549">
        <v>17</v>
      </c>
    </row>
    <row r="7" spans="1:23" ht="14.65" customHeight="1">
      <c r="H7" s="312"/>
      <c r="I7" s="393"/>
      <c r="J7" s="399"/>
      <c r="K7" s="399"/>
      <c r="L7" s="688"/>
      <c r="M7" s="130"/>
      <c r="W7" s="1549">
        <v>14</v>
      </c>
    </row>
    <row r="8" spans="1:23" ht="14.65" customHeight="1">
      <c r="H8" s="312"/>
      <c r="I8" s="2557" t="s">
        <v>297</v>
      </c>
      <c r="J8" s="2558"/>
      <c r="K8" s="2558"/>
      <c r="L8" s="2559"/>
      <c r="M8" s="2560" t="s">
        <v>298</v>
      </c>
      <c r="W8" s="1549">
        <v>14</v>
      </c>
    </row>
    <row r="9" spans="1:23" ht="35.65" customHeight="1">
      <c r="E9" s="1963" t="s">
        <v>615</v>
      </c>
      <c r="F9" s="1963" t="s">
        <v>621</v>
      </c>
      <c r="H9" s="312"/>
      <c r="I9" s="1937" t="s">
        <v>90</v>
      </c>
      <c r="J9" s="1938" t="s">
        <v>299</v>
      </c>
      <c r="K9" s="1976" t="s">
        <v>563</v>
      </c>
      <c r="L9" s="1977" t="s">
        <v>300</v>
      </c>
      <c r="M9" s="2560"/>
      <c r="W9" s="1549">
        <v>34</v>
      </c>
    </row>
    <row r="10" spans="1:23" ht="35.65" customHeight="1">
      <c r="B10" s="1965" t="s">
        <v>688</v>
      </c>
      <c r="C10" s="1965" t="s">
        <v>689</v>
      </c>
      <c r="D10" s="1964" t="s">
        <v>624</v>
      </c>
      <c r="E10" s="1968" t="s">
        <v>625</v>
      </c>
      <c r="F10" s="1968" t="s">
        <v>625</v>
      </c>
      <c r="H10" s="312"/>
      <c r="I10" s="1936" t="s">
        <v>108</v>
      </c>
      <c r="J10" s="1801" t="s">
        <v>690</v>
      </c>
      <c r="K10" s="1930" t="s">
        <v>303</v>
      </c>
      <c r="L10" s="748"/>
      <c r="M10" s="234" t="s">
        <v>691</v>
      </c>
      <c r="W10" s="1549">
        <v>34</v>
      </c>
    </row>
    <row r="11" spans="1:23" ht="50.25" customHeight="1">
      <c r="B11" s="1965" t="s">
        <v>692</v>
      </c>
      <c r="C11" s="1965" t="s">
        <v>693</v>
      </c>
      <c r="D11" s="1964" t="s">
        <v>624</v>
      </c>
      <c r="E11" s="1968" t="s">
        <v>625</v>
      </c>
      <c r="F11" s="1968" t="s">
        <v>625</v>
      </c>
      <c r="H11" s="312"/>
      <c r="I11" s="1936" t="s">
        <v>109</v>
      </c>
      <c r="J11" s="1801" t="s">
        <v>694</v>
      </c>
      <c r="K11" s="1930" t="s">
        <v>303</v>
      </c>
      <c r="L11" s="748"/>
      <c r="M11" s="234" t="s">
        <v>691</v>
      </c>
      <c r="W11" s="1549">
        <v>48</v>
      </c>
    </row>
    <row r="12" spans="1:23" ht="48.2" customHeight="1">
      <c r="B12" s="1965" t="s">
        <v>695</v>
      </c>
      <c r="C12" s="1965" t="s">
        <v>696</v>
      </c>
      <c r="D12" s="1964" t="s">
        <v>624</v>
      </c>
      <c r="E12" s="1968" t="s">
        <v>625</v>
      </c>
      <c r="F12" s="1968" t="s">
        <v>625</v>
      </c>
      <c r="H12" s="1606"/>
      <c r="I12" s="1936" t="s">
        <v>92</v>
      </c>
      <c r="J12" s="1943" t="s">
        <v>697</v>
      </c>
      <c r="K12" s="1930" t="s">
        <v>303</v>
      </c>
      <c r="L12" s="748"/>
      <c r="M12" s="234" t="s">
        <v>698</v>
      </c>
      <c r="N12" s="1542"/>
      <c r="P12" s="1549"/>
      <c r="W12" s="1549">
        <v>46</v>
      </c>
    </row>
    <row r="13" spans="1:23" ht="14.65" customHeight="1">
      <c r="E13" s="280"/>
      <c r="H13" s="312"/>
      <c r="I13" s="284"/>
      <c r="J13" s="587" t="s">
        <v>699</v>
      </c>
      <c r="K13" s="507"/>
      <c r="L13" s="151"/>
      <c r="M13" s="234"/>
      <c r="W13" s="1549">
        <v>14</v>
      </c>
    </row>
    <row r="14" spans="1:23" ht="14.65" customHeight="1">
      <c r="E14" s="280"/>
      <c r="H14" s="312"/>
      <c r="I14" s="980"/>
      <c r="J14" s="1595"/>
      <c r="K14" s="1596"/>
      <c r="L14" s="1597"/>
      <c r="M14" s="1940"/>
      <c r="W14" s="1549">
        <v>14</v>
      </c>
    </row>
    <row r="15" spans="1:23" ht="14.65" customHeight="1">
      <c r="I15" s="1599"/>
      <c r="J15" s="2455"/>
      <c r="K15" s="2455"/>
      <c r="L15" s="2455"/>
      <c r="M15" s="2455"/>
      <c r="W15" s="1549">
        <v>14</v>
      </c>
    </row>
    <row r="16" spans="1:23" ht="21" hidden="1" customHeight="1">
      <c r="A16" s="1942" t="s">
        <v>84</v>
      </c>
      <c r="B16" s="1549">
        <v>9</v>
      </c>
      <c r="C16" s="1549">
        <v>9</v>
      </c>
      <c r="D16" s="1549">
        <v>9</v>
      </c>
      <c r="E16" s="1942" t="s">
        <v>147</v>
      </c>
      <c r="F16" s="1967" t="s">
        <v>147</v>
      </c>
      <c r="G16" s="1969"/>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031" hidden="1" customWidth="1"/>
    <col min="2" max="2" width="16.85546875" style="2056" hidden="1" customWidth="1"/>
    <col min="3" max="3" width="5.5703125" style="2034" hidden="1" customWidth="1"/>
    <col min="4" max="4" width="3" style="2062" customWidth="1"/>
    <col min="5" max="5" width="7" style="2062" customWidth="1"/>
    <col min="6" max="6" width="56" style="2062" customWidth="1"/>
    <col min="7" max="7" width="10" style="2062" customWidth="1"/>
    <col min="8" max="8" width="40.7109375" style="2062" hidden="1" customWidth="1"/>
    <col min="9" max="9" width="40" style="2062" customWidth="1"/>
    <col min="10" max="10" width="102" style="2062" customWidth="1"/>
    <col min="11" max="11" width="9" style="2056" customWidth="1"/>
    <col min="12" max="12" width="5" style="2034" customWidth="1"/>
    <col min="13" max="13" width="3" style="2034" customWidth="1"/>
    <col min="14" max="17" width="3" style="2056" customWidth="1"/>
    <col min="18" max="18" width="10" style="2034" customWidth="1"/>
    <col min="19" max="19" width="34" style="2056" customWidth="1"/>
    <col min="20" max="20" width="9" style="2056" customWidth="1"/>
    <col min="21" max="21" width="8" style="2033" customWidth="1"/>
    <col min="22" max="26" width="8" style="2056" customWidth="1"/>
    <col min="27" max="31" width="8" style="2071" customWidth="1"/>
    <col min="32" max="32" width="10.42578125" style="2062" hidden="1" customWidth="1"/>
  </cols>
  <sheetData>
    <row r="1" spans="1:32" s="2056" customFormat="1" ht="22.5" hidden="1" customHeight="1">
      <c r="A1" s="911"/>
      <c r="C1" s="1554"/>
      <c r="D1" s="473"/>
      <c r="H1" s="1078">
        <v>4</v>
      </c>
      <c r="I1" s="1078">
        <v>4</v>
      </c>
      <c r="L1" s="1554"/>
      <c r="M1" s="1554"/>
      <c r="R1" s="1554"/>
      <c r="AF1" s="1078" t="s">
        <v>14</v>
      </c>
    </row>
    <row r="2" spans="1:32" s="2056" customFormat="1" ht="22.5" hidden="1" customHeight="1">
      <c r="A2" s="911"/>
      <c r="C2" s="1554"/>
      <c r="D2" s="474"/>
      <c r="E2" s="1555"/>
      <c r="F2" s="476"/>
      <c r="G2" s="1557" t="s">
        <v>549</v>
      </c>
      <c r="H2" s="477"/>
      <c r="I2" s="477"/>
      <c r="J2" s="478" t="s">
        <v>700</v>
      </c>
      <c r="K2" s="479"/>
      <c r="L2" s="1554"/>
      <c r="M2" s="1554"/>
      <c r="R2" s="1554"/>
      <c r="U2" s="480"/>
      <c r="AA2" s="1550"/>
      <c r="AB2" s="1550"/>
      <c r="AC2" s="1550"/>
      <c r="AD2" s="1550"/>
      <c r="AE2" s="1550"/>
      <c r="AF2" s="1078">
        <v>0</v>
      </c>
    </row>
    <row r="3" spans="1:32" ht="11.25" hidden="1" customHeight="1">
      <c r="AF3" s="1549">
        <v>0</v>
      </c>
    </row>
    <row r="4" spans="1:32" s="2071"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1.5" customHeight="1">
      <c r="E6" s="2386" t="s">
        <v>701</v>
      </c>
      <c r="F6" s="2386"/>
      <c r="G6" s="2386"/>
      <c r="H6" s="2386"/>
      <c r="I6" s="2386"/>
      <c r="J6" s="492"/>
      <c r="AF6" s="1549">
        <v>30</v>
      </c>
    </row>
    <row r="7" spans="1:32" ht="11.45" customHeight="1">
      <c r="E7" s="2409" t="str">
        <f>IF(org=0,"Не определено",org)</f>
        <v>ПАО "ТГК-1" филиал "Невский"</v>
      </c>
      <c r="F7" s="2409"/>
      <c r="G7" s="2409"/>
      <c r="H7" s="2409"/>
      <c r="I7" s="2409"/>
      <c r="AF7" s="1549">
        <v>11</v>
      </c>
    </row>
    <row r="8" spans="1:32" ht="11.45" customHeight="1">
      <c r="E8" s="1054"/>
      <c r="F8" s="1054"/>
      <c r="G8" s="1054"/>
      <c r="H8" s="1054"/>
      <c r="I8" s="1054"/>
      <c r="AF8" s="1549">
        <v>11</v>
      </c>
    </row>
    <row r="9" spans="1:32" s="2034" customFormat="1" ht="4.1500000000000004" customHeight="1">
      <c r="A9" s="1085"/>
      <c r="D9" s="1560"/>
      <c r="H9" s="814"/>
      <c r="I9" s="814" t="s">
        <v>116</v>
      </c>
      <c r="AF9" s="1554">
        <v>4</v>
      </c>
    </row>
    <row r="10" spans="1:32" ht="11.45" customHeight="1">
      <c r="E10" s="647"/>
      <c r="F10" s="2543" t="s">
        <v>104</v>
      </c>
      <c r="G10" s="2544"/>
      <c r="H10" s="1470" t="str">
        <f>IF(H9="","",INDEX(DIFFERENTIATION_UNMERGE_VD,MATCH(H9,DIFFERENTIATION_ID_DIFF,0)))</f>
        <v/>
      </c>
      <c r="I10" s="1470">
        <f>IF(I9="","",INDEX(DIFFERENTIATION_UNMERGE_VD,MATCH(I9,DIFFERENTIATION_ID_DIFF,0)))</f>
        <v>0</v>
      </c>
      <c r="J10" s="2328"/>
      <c r="AF10" s="1549">
        <v>11</v>
      </c>
    </row>
    <row r="11" spans="1:32" ht="11.45" customHeight="1">
      <c r="E11" s="647"/>
      <c r="F11" s="2543" t="s">
        <v>561</v>
      </c>
      <c r="G11" s="2544"/>
      <c r="H11" s="1470" t="str">
        <f>IF(H9="","",INDEX(DIFFERENTIATION_UNMERGE_AREA,MATCH(H9,DIFFERENTIATION_ID_DIFF,0)))</f>
        <v/>
      </c>
      <c r="I11" s="1470" t="str">
        <f>IF(I9="","",INDEX(DIFFERENTIATION_UNMERGE_AREA,MATCH(I9,DIFFERENTIATION_ID_DIFF,0)))</f>
        <v/>
      </c>
      <c r="J11" s="2328"/>
      <c r="AF11" s="1549">
        <v>11</v>
      </c>
    </row>
    <row r="12" spans="1:32" ht="1.1499999999999999" customHeight="1">
      <c r="E12" s="1580"/>
      <c r="F12" s="2561" t="s">
        <v>562</v>
      </c>
      <c r="G12" s="2562"/>
      <c r="H12" s="1581" t="str">
        <f>IF(H9="","",INDEX(DIFFERENTIATION_UNMERGE_SYSTEM,MATCH(H9,DIFFERENTIATION_ID_DIFF,0)))</f>
        <v/>
      </c>
      <c r="I12" s="1581" t="str">
        <f>IF(I9="","",INDEX(DIFFERENTIATION_UNMERGE_SYSTEM,MATCH(I9,DIFFERENTIATION_ID_DIFF,0)))</f>
        <v>без дифференциации</v>
      </c>
      <c r="J12" s="2328"/>
      <c r="AF12" s="1549">
        <v>1</v>
      </c>
    </row>
    <row r="13" spans="1:32" ht="11.45" customHeight="1">
      <c r="E13" s="2545" t="s">
        <v>297</v>
      </c>
      <c r="F13" s="2546"/>
      <c r="G13" s="2546"/>
      <c r="H13" s="1469"/>
      <c r="I13" s="1469"/>
      <c r="J13" s="2328"/>
      <c r="AF13" s="1549">
        <v>11</v>
      </c>
    </row>
    <row r="14" spans="1:32" ht="24" customHeight="1">
      <c r="E14" s="1557" t="s">
        <v>90</v>
      </c>
      <c r="F14" s="1552" t="s">
        <v>299</v>
      </c>
      <c r="G14" s="1552" t="s">
        <v>563</v>
      </c>
      <c r="H14" s="1552" t="s">
        <v>300</v>
      </c>
      <c r="I14" s="1552" t="s">
        <v>300</v>
      </c>
      <c r="J14" s="2328"/>
      <c r="AF14" s="1549">
        <v>23</v>
      </c>
    </row>
    <row r="15" spans="1:32" ht="19.899999999999999" customHeight="1">
      <c r="D15" s="1556"/>
      <c r="E15" s="1548" t="s">
        <v>108</v>
      </c>
      <c r="F15" s="643" t="s">
        <v>702</v>
      </c>
      <c r="G15" s="1564" t="s">
        <v>549</v>
      </c>
      <c r="H15" s="493"/>
      <c r="I15" s="493"/>
      <c r="J15" s="226" t="s">
        <v>703</v>
      </c>
      <c r="K15" s="479" t="s">
        <v>627</v>
      </c>
      <c r="AF15" s="1549">
        <v>19</v>
      </c>
    </row>
    <row r="16" spans="1:32" ht="35.65" customHeight="1">
      <c r="D16" s="1556"/>
      <c r="E16" s="1548" t="s">
        <v>109</v>
      </c>
      <c r="F16" s="643" t="s">
        <v>704</v>
      </c>
      <c r="G16" s="1564" t="s">
        <v>549</v>
      </c>
      <c r="H16" s="494">
        <f>SUM(H17,H20:H32)</f>
        <v>0</v>
      </c>
      <c r="I16" s="494">
        <f>SUM(I17,I20,I23,I26,I29:I32)</f>
        <v>0</v>
      </c>
      <c r="J16" s="226" t="s">
        <v>705</v>
      </c>
      <c r="K16" s="479" t="s">
        <v>627</v>
      </c>
      <c r="AF16" s="1549">
        <v>34</v>
      </c>
    </row>
    <row r="17" spans="1:32" ht="19.899999999999999" customHeight="1">
      <c r="D17" s="1556"/>
      <c r="E17" s="1582" t="s">
        <v>706</v>
      </c>
      <c r="F17" s="879" t="s">
        <v>707</v>
      </c>
      <c r="G17" s="1561" t="s">
        <v>549</v>
      </c>
      <c r="H17" s="493"/>
      <c r="I17" s="493"/>
      <c r="J17" s="226" t="s">
        <v>708</v>
      </c>
      <c r="K17" s="479"/>
      <c r="AF17" s="1549">
        <v>19</v>
      </c>
    </row>
    <row r="18" spans="1:32" ht="24" customHeight="1">
      <c r="D18" s="1556"/>
      <c r="E18" s="1582" t="s">
        <v>709</v>
      </c>
      <c r="F18" s="1568" t="s">
        <v>710</v>
      </c>
      <c r="G18" s="1561" t="s">
        <v>549</v>
      </c>
      <c r="H18" s="493"/>
      <c r="I18" s="493"/>
      <c r="J18" s="226" t="s">
        <v>711</v>
      </c>
      <c r="K18" s="479"/>
      <c r="AF18" s="1549">
        <v>23</v>
      </c>
    </row>
    <row r="19" spans="1:32" ht="35.65" customHeight="1">
      <c r="D19" s="1556"/>
      <c r="E19" s="1582" t="s">
        <v>712</v>
      </c>
      <c r="F19" s="1568" t="s">
        <v>713</v>
      </c>
      <c r="G19" s="1561" t="s">
        <v>549</v>
      </c>
      <c r="H19" s="493"/>
      <c r="I19" s="493"/>
      <c r="J19" s="226"/>
      <c r="K19" s="479"/>
      <c r="AF19" s="1549">
        <v>34</v>
      </c>
    </row>
    <row r="20" spans="1:32" ht="19.899999999999999" customHeight="1">
      <c r="D20" s="1556"/>
      <c r="E20" s="1582" t="s">
        <v>304</v>
      </c>
      <c r="F20" s="879" t="s">
        <v>714</v>
      </c>
      <c r="G20" s="1561" t="s">
        <v>549</v>
      </c>
      <c r="H20" s="493"/>
      <c r="I20" s="493"/>
      <c r="J20" s="226" t="s">
        <v>715</v>
      </c>
      <c r="K20" s="479"/>
      <c r="AF20" s="1549">
        <v>19</v>
      </c>
    </row>
    <row r="21" spans="1:32" ht="19.899999999999999" customHeight="1">
      <c r="D21" s="1556"/>
      <c r="E21" s="1582" t="s">
        <v>716</v>
      </c>
      <c r="F21" s="1568" t="s">
        <v>717</v>
      </c>
      <c r="G21" s="1561" t="s">
        <v>549</v>
      </c>
      <c r="H21" s="493"/>
      <c r="I21" s="493"/>
      <c r="J21" s="226"/>
      <c r="K21" s="479"/>
      <c r="AF21" s="1549">
        <v>19</v>
      </c>
    </row>
    <row r="22" spans="1:32" ht="19.899999999999999" customHeight="1">
      <c r="D22" s="1556"/>
      <c r="E22" s="1582" t="s">
        <v>718</v>
      </c>
      <c r="F22" s="1568" t="s">
        <v>719</v>
      </c>
      <c r="G22" s="1561" t="s">
        <v>549</v>
      </c>
      <c r="H22" s="493"/>
      <c r="I22" s="493"/>
      <c r="J22" s="226"/>
      <c r="K22" s="479"/>
      <c r="AF22" s="1549">
        <v>19</v>
      </c>
    </row>
    <row r="23" spans="1:32" ht="24" customHeight="1">
      <c r="D23" s="1556"/>
      <c r="E23" s="1582" t="s">
        <v>307</v>
      </c>
      <c r="F23" s="879" t="s">
        <v>720</v>
      </c>
      <c r="G23" s="1561" t="s">
        <v>549</v>
      </c>
      <c r="H23" s="493"/>
      <c r="I23" s="493"/>
      <c r="J23" s="226" t="s">
        <v>721</v>
      </c>
      <c r="K23" s="479"/>
      <c r="AF23" s="1549">
        <v>23</v>
      </c>
    </row>
    <row r="24" spans="1:32" ht="19.899999999999999" customHeight="1">
      <c r="D24" s="1556"/>
      <c r="E24" s="1582" t="s">
        <v>722</v>
      </c>
      <c r="F24" s="1568" t="s">
        <v>723</v>
      </c>
      <c r="G24" s="1561" t="s">
        <v>549</v>
      </c>
      <c r="H24" s="493"/>
      <c r="I24" s="493"/>
      <c r="J24" s="226"/>
      <c r="K24" s="479"/>
      <c r="AF24" s="1549">
        <v>19</v>
      </c>
    </row>
    <row r="25" spans="1:32" ht="35.65" customHeight="1">
      <c r="D25" s="1556"/>
      <c r="E25" s="1582" t="s">
        <v>724</v>
      </c>
      <c r="F25" s="1568" t="s">
        <v>725</v>
      </c>
      <c r="G25" s="1561" t="s">
        <v>549</v>
      </c>
      <c r="H25" s="493"/>
      <c r="I25" s="493"/>
      <c r="J25" s="226"/>
      <c r="K25" s="479"/>
      <c r="AF25" s="1549">
        <v>34</v>
      </c>
    </row>
    <row r="26" spans="1:32" ht="24" customHeight="1">
      <c r="D26" s="1556"/>
      <c r="E26" s="1582" t="s">
        <v>726</v>
      </c>
      <c r="F26" s="879" t="s">
        <v>727</v>
      </c>
      <c r="G26" s="1561" t="s">
        <v>549</v>
      </c>
      <c r="H26" s="493"/>
      <c r="I26" s="493"/>
      <c r="J26" s="226" t="s">
        <v>728</v>
      </c>
      <c r="K26" s="479"/>
      <c r="AF26" s="1549">
        <v>23</v>
      </c>
    </row>
    <row r="27" spans="1:32" ht="19.899999999999999" customHeight="1">
      <c r="D27" s="1556"/>
      <c r="E27" s="1593" t="s">
        <v>729</v>
      </c>
      <c r="F27" s="1568" t="s">
        <v>730</v>
      </c>
      <c r="G27" s="1572" t="s">
        <v>549</v>
      </c>
      <c r="H27" s="1594"/>
      <c r="I27" s="1594"/>
      <c r="J27" s="226"/>
      <c r="K27" s="479"/>
      <c r="AF27" s="1549">
        <v>19</v>
      </c>
    </row>
    <row r="28" spans="1:32" ht="19.899999999999999" customHeight="1">
      <c r="D28" s="1556"/>
      <c r="E28" s="1593" t="s">
        <v>731</v>
      </c>
      <c r="F28" s="1568" t="s">
        <v>732</v>
      </c>
      <c r="G28" s="1572" t="s">
        <v>549</v>
      </c>
      <c r="H28" s="1594"/>
      <c r="I28" s="1594"/>
      <c r="J28" s="226"/>
      <c r="K28" s="479"/>
      <c r="AF28" s="1549">
        <v>19</v>
      </c>
    </row>
    <row r="29" spans="1:32" ht="19.899999999999999" customHeight="1">
      <c r="D29" s="1556"/>
      <c r="E29" s="1593" t="s">
        <v>733</v>
      </c>
      <c r="F29" s="879" t="s">
        <v>734</v>
      </c>
      <c r="G29" s="1572" t="s">
        <v>549</v>
      </c>
      <c r="H29" s="1594"/>
      <c r="I29" s="1594"/>
      <c r="J29" s="226"/>
      <c r="K29" s="479"/>
      <c r="AF29" s="1549">
        <v>19</v>
      </c>
    </row>
    <row r="30" spans="1:32" ht="19.899999999999999" customHeight="1">
      <c r="D30" s="1556"/>
      <c r="E30" s="1593" t="s">
        <v>735</v>
      </c>
      <c r="F30" s="879" t="s">
        <v>736</v>
      </c>
      <c r="G30" s="1572" t="s">
        <v>549</v>
      </c>
      <c r="H30" s="1594"/>
      <c r="I30" s="1594"/>
      <c r="J30" s="226"/>
      <c r="K30" s="479"/>
      <c r="AF30" s="1549">
        <v>19</v>
      </c>
    </row>
    <row r="31" spans="1:32" ht="19.899999999999999" customHeight="1">
      <c r="D31" s="1556"/>
      <c r="E31" s="1593" t="s">
        <v>737</v>
      </c>
      <c r="F31" s="879" t="s">
        <v>738</v>
      </c>
      <c r="G31" s="1572" t="s">
        <v>549</v>
      </c>
      <c r="H31" s="1594"/>
      <c r="I31" s="1594"/>
      <c r="J31" s="226"/>
      <c r="K31" s="479"/>
      <c r="AF31" s="1549">
        <v>19</v>
      </c>
    </row>
    <row r="32" spans="1:32" s="2056" customFormat="1" ht="35.65" customHeight="1">
      <c r="A32" s="911"/>
      <c r="C32" s="1554"/>
      <c r="D32" s="1556"/>
      <c r="E32" s="1593" t="s">
        <v>739</v>
      </c>
      <c r="F32" s="879" t="s">
        <v>740</v>
      </c>
      <c r="G32" s="1562" t="s">
        <v>549</v>
      </c>
      <c r="H32" s="515">
        <f>SUM(H33:H34)</f>
        <v>0</v>
      </c>
      <c r="I32" s="515">
        <f>SUM(I33:I34)</f>
        <v>0</v>
      </c>
      <c r="J32" s="226" t="s">
        <v>741</v>
      </c>
      <c r="K32" s="479"/>
      <c r="L32" s="1554"/>
      <c r="M32" s="1554"/>
      <c r="R32" s="1554"/>
      <c r="U32" s="480"/>
      <c r="AA32" s="1550"/>
      <c r="AB32" s="1550"/>
      <c r="AC32" s="1550"/>
      <c r="AD32" s="1550"/>
      <c r="AE32" s="1550"/>
      <c r="AF32" s="1078">
        <v>34</v>
      </c>
    </row>
    <row r="33" spans="1:32" s="2034" customFormat="1" ht="1.1499999999999999" customHeight="1">
      <c r="A33" s="1085"/>
      <c r="D33" s="484"/>
      <c r="E33" s="732" t="str">
        <f>E32&amp;".0"</f>
        <v>2.8.0</v>
      </c>
      <c r="F33" s="915"/>
      <c r="G33" s="487"/>
      <c r="H33" s="916"/>
      <c r="I33" s="916"/>
      <c r="J33" s="917"/>
      <c r="AF33" s="1554">
        <v>1</v>
      </c>
    </row>
    <row r="34" spans="1:32" s="2056" customFormat="1" ht="19.899999999999999" customHeight="1">
      <c r="A34" s="911"/>
      <c r="C34" s="1554"/>
      <c r="D34" s="1551"/>
      <c r="E34" s="506"/>
      <c r="F34" s="1584" t="s">
        <v>574</v>
      </c>
      <c r="G34" s="508"/>
      <c r="H34" s="509"/>
      <c r="I34" s="509"/>
      <c r="J34" s="238" t="s">
        <v>742</v>
      </c>
      <c r="K34" s="479"/>
      <c r="L34" s="1554"/>
      <c r="M34" s="1554"/>
      <c r="R34" s="1554"/>
      <c r="U34" s="480"/>
      <c r="AA34" s="1550"/>
      <c r="AB34" s="1550"/>
      <c r="AC34" s="1550"/>
      <c r="AD34" s="1550"/>
      <c r="AE34" s="1550"/>
      <c r="AF34" s="1078">
        <v>19</v>
      </c>
    </row>
    <row r="35" spans="1:32" ht="60" customHeight="1">
      <c r="D35" s="1556"/>
      <c r="E35" s="1593" t="s">
        <v>743</v>
      </c>
      <c r="F35" s="879" t="s">
        <v>744</v>
      </c>
      <c r="G35" s="1572" t="s">
        <v>549</v>
      </c>
      <c r="H35" s="1594"/>
      <c r="I35" s="1594"/>
      <c r="J35" s="226" t="s">
        <v>745</v>
      </c>
      <c r="K35" s="479"/>
      <c r="AF35" s="1549">
        <v>57</v>
      </c>
    </row>
    <row r="36" spans="1:32" s="2056" customFormat="1" ht="24" customHeight="1">
      <c r="A36" s="913" t="s">
        <v>575</v>
      </c>
      <c r="C36" s="1554"/>
      <c r="D36" s="1556"/>
      <c r="E36" s="1582" t="s">
        <v>92</v>
      </c>
      <c r="F36" s="643" t="s">
        <v>746</v>
      </c>
      <c r="G36" s="1561" t="s">
        <v>549</v>
      </c>
      <c r="H36" s="493"/>
      <c r="I36" s="493"/>
      <c r="J36" s="226" t="s">
        <v>747</v>
      </c>
      <c r="K36" s="479"/>
      <c r="L36" s="1554"/>
      <c r="M36" s="1554"/>
      <c r="R36" s="1554"/>
      <c r="U36" s="480"/>
      <c r="AA36" s="1550"/>
      <c r="AB36" s="1550"/>
      <c r="AC36" s="1550"/>
      <c r="AD36" s="1550"/>
      <c r="AE36" s="1550"/>
      <c r="AF36" s="1078">
        <v>23</v>
      </c>
    </row>
    <row r="37" spans="1:32" s="2056" customFormat="1" ht="35.65" customHeight="1">
      <c r="A37" s="913"/>
      <c r="C37" s="1554"/>
      <c r="D37" s="1556"/>
      <c r="E37" s="1582" t="s">
        <v>321</v>
      </c>
      <c r="F37" s="879" t="s">
        <v>748</v>
      </c>
      <c r="G37" s="1572"/>
      <c r="H37" s="493"/>
      <c r="I37" s="493"/>
      <c r="J37" s="226"/>
      <c r="K37" s="479"/>
      <c r="L37" s="1554"/>
      <c r="M37" s="1554"/>
      <c r="R37" s="1554"/>
      <c r="U37" s="480"/>
      <c r="AA37" s="1550"/>
      <c r="AB37" s="1550"/>
      <c r="AC37" s="1550"/>
      <c r="AD37" s="1550"/>
      <c r="AE37" s="1550"/>
      <c r="AF37" s="1078">
        <v>34</v>
      </c>
    </row>
    <row r="38" spans="1:32" s="2056" customFormat="1" ht="19.899999999999999" customHeight="1">
      <c r="A38" s="911"/>
      <c r="C38" s="1554"/>
      <c r="D38" s="511"/>
      <c r="E38" s="1582" t="s">
        <v>93</v>
      </c>
      <c r="F38" s="643" t="s">
        <v>749</v>
      </c>
      <c r="G38" s="1561" t="s">
        <v>549</v>
      </c>
      <c r="H38" s="493"/>
      <c r="I38" s="493"/>
      <c r="J38" s="226" t="s">
        <v>750</v>
      </c>
      <c r="K38" s="479"/>
      <c r="L38" s="1554"/>
      <c r="M38" s="1554"/>
      <c r="R38" s="1554"/>
      <c r="U38" s="480"/>
      <c r="AA38" s="1550"/>
      <c r="AB38" s="1550"/>
      <c r="AC38" s="1550"/>
      <c r="AD38" s="1550"/>
      <c r="AE38" s="1550"/>
      <c r="AF38" s="1078">
        <v>19</v>
      </c>
    </row>
    <row r="39" spans="1:32" s="2056" customFormat="1" ht="24" customHeight="1">
      <c r="A39" s="911"/>
      <c r="C39" s="1554"/>
      <c r="D39" s="511"/>
      <c r="E39" s="1582" t="s">
        <v>751</v>
      </c>
      <c r="F39" s="879" t="s">
        <v>752</v>
      </c>
      <c r="G39" s="1572" t="s">
        <v>549</v>
      </c>
      <c r="H39" s="493"/>
      <c r="I39" s="493"/>
      <c r="J39" s="226" t="s">
        <v>753</v>
      </c>
      <c r="K39" s="479"/>
      <c r="L39" s="1554"/>
      <c r="M39" s="1554"/>
      <c r="R39" s="1554"/>
      <c r="U39" s="480"/>
      <c r="AA39" s="1550"/>
      <c r="AB39" s="1550"/>
      <c r="AC39" s="1550"/>
      <c r="AD39" s="1550"/>
      <c r="AE39" s="1550"/>
      <c r="AF39" s="1078">
        <v>23</v>
      </c>
    </row>
    <row r="40" spans="1:32" s="2056" customFormat="1" ht="24" customHeight="1">
      <c r="A40" s="911"/>
      <c r="C40" s="1554"/>
      <c r="D40" s="1556"/>
      <c r="E40" s="1582" t="s">
        <v>754</v>
      </c>
      <c r="F40" s="1568" t="s">
        <v>755</v>
      </c>
      <c r="G40" s="1561" t="s">
        <v>549</v>
      </c>
      <c r="H40" s="493"/>
      <c r="I40" s="493"/>
      <c r="J40" s="226" t="s">
        <v>756</v>
      </c>
      <c r="K40" s="479"/>
      <c r="L40" s="1554"/>
      <c r="M40" s="1554"/>
      <c r="R40" s="1554"/>
      <c r="U40" s="480"/>
      <c r="AA40" s="1550"/>
      <c r="AB40" s="1550"/>
      <c r="AC40" s="1550"/>
      <c r="AD40" s="1550"/>
      <c r="AE40" s="1550"/>
      <c r="AF40" s="1078">
        <v>23</v>
      </c>
    </row>
    <row r="41" spans="1:32" s="2056" customFormat="1" ht="24" customHeight="1">
      <c r="A41" s="911"/>
      <c r="C41" s="1554"/>
      <c r="D41" s="1556"/>
      <c r="E41" s="1582" t="s">
        <v>757</v>
      </c>
      <c r="F41" s="1568" t="s">
        <v>758</v>
      </c>
      <c r="G41" s="1561" t="s">
        <v>549</v>
      </c>
      <c r="H41" s="493"/>
      <c r="I41" s="493"/>
      <c r="J41" s="226" t="s">
        <v>759</v>
      </c>
      <c r="K41" s="479"/>
      <c r="L41" s="1554"/>
      <c r="M41" s="1554"/>
      <c r="R41" s="1554"/>
      <c r="U41" s="480"/>
      <c r="AA41" s="1550"/>
      <c r="AB41" s="1550"/>
      <c r="AC41" s="1550"/>
      <c r="AD41" s="1550"/>
      <c r="AE41" s="1550"/>
      <c r="AF41" s="1078">
        <v>23</v>
      </c>
    </row>
    <row r="42" spans="1:32" s="2056" customFormat="1" ht="24" customHeight="1">
      <c r="A42" s="911"/>
      <c r="C42" s="1554"/>
      <c r="D42" s="1556"/>
      <c r="E42" s="1582" t="s">
        <v>760</v>
      </c>
      <c r="F42" s="1568" t="s">
        <v>761</v>
      </c>
      <c r="G42" s="1561" t="s">
        <v>549</v>
      </c>
      <c r="H42" s="493"/>
      <c r="I42" s="493"/>
      <c r="J42" s="226" t="s">
        <v>762</v>
      </c>
      <c r="K42" s="479"/>
      <c r="L42" s="1554"/>
      <c r="M42" s="1554"/>
      <c r="R42" s="1554"/>
      <c r="U42" s="480"/>
      <c r="AA42" s="1550"/>
      <c r="AB42" s="1550"/>
      <c r="AC42" s="1550"/>
      <c r="AD42" s="1550"/>
      <c r="AE42" s="1550"/>
      <c r="AF42" s="1078">
        <v>23</v>
      </c>
    </row>
    <row r="43" spans="1:32" s="2056" customFormat="1" ht="35.65" customHeight="1">
      <c r="A43" s="911"/>
      <c r="C43" s="1554" t="s">
        <v>585</v>
      </c>
      <c r="D43" s="1556"/>
      <c r="E43" s="1582" t="s">
        <v>110</v>
      </c>
      <c r="F43" s="643" t="s">
        <v>626</v>
      </c>
      <c r="G43" s="1564" t="s">
        <v>763</v>
      </c>
      <c r="H43" s="337"/>
      <c r="I43" s="337"/>
      <c r="J43" s="226" t="s">
        <v>764</v>
      </c>
      <c r="K43" s="479"/>
      <c r="L43" s="1554"/>
      <c r="M43" s="1554"/>
      <c r="R43" s="1554"/>
      <c r="U43" s="480"/>
      <c r="AA43" s="1550"/>
      <c r="AB43" s="1550"/>
      <c r="AC43" s="1550"/>
      <c r="AD43" s="1550"/>
      <c r="AE43" s="1550"/>
      <c r="AF43" s="1078">
        <v>34</v>
      </c>
    </row>
    <row r="44" spans="1:32" s="2056" customFormat="1" ht="35.65" customHeight="1">
      <c r="A44" s="911"/>
      <c r="C44" s="1554"/>
      <c r="D44" s="1556"/>
      <c r="E44" s="1582" t="s">
        <v>94</v>
      </c>
      <c r="F44" s="643" t="s">
        <v>765</v>
      </c>
      <c r="G44" s="1561" t="s">
        <v>766</v>
      </c>
      <c r="H44" s="481"/>
      <c r="I44" s="481"/>
      <c r="J44" s="226" t="s">
        <v>767</v>
      </c>
      <c r="K44" s="479"/>
      <c r="L44" s="1554"/>
      <c r="M44" s="1554"/>
      <c r="R44" s="1554"/>
      <c r="U44" s="480"/>
      <c r="AA44" s="1550"/>
      <c r="AB44" s="1550"/>
      <c r="AC44" s="1550"/>
      <c r="AD44" s="1550"/>
      <c r="AE44" s="1550"/>
      <c r="AF44" s="1078">
        <v>34</v>
      </c>
    </row>
    <row r="45" spans="1:32" s="2056" customFormat="1" ht="24" customHeight="1">
      <c r="A45" s="911"/>
      <c r="C45" s="1554"/>
      <c r="D45" s="1556"/>
      <c r="E45" s="1582" t="s">
        <v>95</v>
      </c>
      <c r="F45" s="643" t="s">
        <v>768</v>
      </c>
      <c r="G45" s="1572" t="s">
        <v>769</v>
      </c>
      <c r="H45" s="481"/>
      <c r="I45" s="481"/>
      <c r="J45" s="226" t="s">
        <v>770</v>
      </c>
      <c r="K45" s="479"/>
      <c r="L45" s="1554"/>
      <c r="M45" s="1554"/>
      <c r="R45" s="1554"/>
      <c r="U45" s="480"/>
      <c r="AA45" s="1550"/>
      <c r="AB45" s="1550"/>
      <c r="AC45" s="1550"/>
      <c r="AD45" s="1550"/>
      <c r="AE45" s="1550"/>
      <c r="AF45" s="1078">
        <v>23</v>
      </c>
    </row>
    <row r="46" spans="1:32" s="2056" customFormat="1" ht="19.899999999999999" customHeight="1">
      <c r="A46" s="911"/>
      <c r="C46" s="1554"/>
      <c r="D46" s="1556"/>
      <c r="E46" s="1582" t="s">
        <v>111</v>
      </c>
      <c r="F46" s="643" t="s">
        <v>771</v>
      </c>
      <c r="G46" s="1561" t="s">
        <v>587</v>
      </c>
      <c r="H46" s="513"/>
      <c r="I46" s="513"/>
      <c r="J46" s="226"/>
      <c r="K46" s="479"/>
      <c r="L46" s="1554"/>
      <c r="M46" s="1554"/>
      <c r="R46" s="1554"/>
      <c r="U46" s="480"/>
      <c r="AA46" s="1550"/>
      <c r="AB46" s="1550"/>
      <c r="AC46" s="1550"/>
      <c r="AD46" s="1550"/>
      <c r="AE46" s="1550"/>
      <c r="AF46" s="1078">
        <v>19</v>
      </c>
    </row>
    <row r="47" spans="1:32" ht="11.45" customHeight="1">
      <c r="D47" s="1556"/>
      <c r="AF47" s="1549">
        <v>11</v>
      </c>
    </row>
    <row r="48" spans="1:32" s="2028"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028"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028" customFormat="1" ht="11.45" customHeight="1">
      <c r="A50" s="911"/>
      <c r="B50" s="1554"/>
      <c r="C50" s="1554"/>
      <c r="D50" s="287"/>
      <c r="H50" s="502"/>
      <c r="I50" s="502"/>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028"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028"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028"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028"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028"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028"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028"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028"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028"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028"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028"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028"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028"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028"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028"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028"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028"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028"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028"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028"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028"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028"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028"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028"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028"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028"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028"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028"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028"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028"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028"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028"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028"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028"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028"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028"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028"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028"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028"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028"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028"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028"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028"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028"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028"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028"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028"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028"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028"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028"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028"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028"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028"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028"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028"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028"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028"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028"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028"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028"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028"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028"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028"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028"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028"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028"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028"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028"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028"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028"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028"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028"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028"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028"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028"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028"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028"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028"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028"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028"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028"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028"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028"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028"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028"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028"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028"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028"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028"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028"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028"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028"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028"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028"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028"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028"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028"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028"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028"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028"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028"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028"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028"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028"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028"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028"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028"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028"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028"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028"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028"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028"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028"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028"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028"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028"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028"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028"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028"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028"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028"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028"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028"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028"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028"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028"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028"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028"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028"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028"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028"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028"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028"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028"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028"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028"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028"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028"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028"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028"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028"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028"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028"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028"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028"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028"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028"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028"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028"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028"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028"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028"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ht="11.45" customHeight="1">
      <c r="AF203" s="1549">
        <v>11</v>
      </c>
    </row>
    <row r="204" spans="1:32" ht="11.45" customHeight="1">
      <c r="AF204" s="1549">
        <v>11</v>
      </c>
    </row>
    <row r="205" spans="1:32" ht="11.45" customHeight="1">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4"/>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4"/>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4"/>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4"/>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4"/>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4"/>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4"/>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1" t="s">
        <v>84</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80">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031" hidden="1" customWidth="1"/>
    <col min="2" max="2" width="16.85546875" style="2056" hidden="1" customWidth="1"/>
    <col min="3" max="3" width="5.5703125" style="2034" hidden="1" customWidth="1"/>
    <col min="4" max="4" width="3" style="2062" customWidth="1"/>
    <col min="5" max="5" width="7" style="2062" customWidth="1"/>
    <col min="6" max="6" width="54" style="2062" customWidth="1"/>
    <col min="7" max="7" width="10" style="2062" customWidth="1"/>
    <col min="8" max="8" width="40.7109375" style="2062" hidden="1" customWidth="1"/>
    <col min="9" max="9" width="40" style="2062" customWidth="1"/>
    <col min="10" max="10" width="102" style="2062" customWidth="1"/>
    <col min="11" max="11" width="9" style="2056" customWidth="1"/>
    <col min="12" max="12" width="5" style="2034" customWidth="1"/>
    <col min="13" max="13" width="3" style="2034" customWidth="1"/>
    <col min="14" max="17" width="3" style="2056" customWidth="1"/>
    <col min="18" max="18" width="10" style="2034" customWidth="1"/>
    <col min="19" max="19" width="34" style="2056" customWidth="1"/>
    <col min="20" max="20" width="9" style="2056" customWidth="1"/>
    <col min="21" max="21" width="8" style="2033" customWidth="1"/>
    <col min="22" max="26" width="8" style="2056" customWidth="1"/>
    <col min="27" max="31" width="8" style="2071" customWidth="1"/>
    <col min="32" max="32" width="9.140625" style="2062" hidden="1"/>
  </cols>
  <sheetData>
    <row r="1" spans="1:32" s="2056" customFormat="1" ht="22.5" hidden="1" customHeight="1">
      <c r="A1" s="911"/>
      <c r="C1" s="1554"/>
      <c r="D1" s="473"/>
      <c r="H1" s="1078">
        <v>4</v>
      </c>
      <c r="I1" s="1078">
        <v>4</v>
      </c>
      <c r="L1" s="1554"/>
      <c r="M1" s="1554"/>
      <c r="R1" s="1554"/>
      <c r="AF1" s="1078" t="s">
        <v>14</v>
      </c>
    </row>
    <row r="2" spans="1:32" s="2056" customFormat="1" ht="22.5" hidden="1" customHeight="1">
      <c r="A2" s="911"/>
      <c r="C2" s="1554"/>
      <c r="D2" s="474"/>
      <c r="E2" s="1576"/>
      <c r="F2" s="476"/>
      <c r="G2" s="1575" t="s">
        <v>549</v>
      </c>
      <c r="H2" s="477"/>
      <c r="I2" s="477"/>
      <c r="J2" s="478" t="s">
        <v>552</v>
      </c>
      <c r="K2" s="479"/>
      <c r="L2" s="1554"/>
      <c r="M2" s="1554"/>
      <c r="R2" s="1554"/>
      <c r="U2" s="480"/>
      <c r="AA2" s="1550"/>
      <c r="AB2" s="1550"/>
      <c r="AC2" s="1550"/>
      <c r="AD2" s="1550"/>
      <c r="AE2" s="1550"/>
      <c r="AF2" s="1078">
        <v>0</v>
      </c>
    </row>
    <row r="3" spans="1:32" ht="11.25" hidden="1" customHeight="1">
      <c r="AF3" s="1549">
        <v>0</v>
      </c>
    </row>
    <row r="4" spans="1:32" s="2071"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3.75" customHeight="1">
      <c r="E6" s="2437" t="s">
        <v>772</v>
      </c>
      <c r="F6" s="2437"/>
      <c r="G6" s="2437"/>
      <c r="H6" s="2437"/>
      <c r="I6" s="2437"/>
      <c r="J6" s="492"/>
      <c r="AF6" s="1549">
        <v>32</v>
      </c>
    </row>
    <row r="7" spans="1:32" ht="25.15" customHeight="1">
      <c r="E7" s="2409" t="str">
        <f>IF(org=0,"Не определено",org)</f>
        <v>ПАО "ТГК-1" филиал "Невский"</v>
      </c>
      <c r="F7" s="2409"/>
      <c r="G7" s="2409"/>
      <c r="H7" s="2409"/>
      <c r="I7" s="2409"/>
      <c r="AF7" s="1549">
        <v>24</v>
      </c>
    </row>
    <row r="8" spans="1:32" ht="11.45" customHeight="1">
      <c r="E8" s="1054"/>
      <c r="F8" s="1054"/>
      <c r="G8" s="1054"/>
      <c r="H8" s="1054"/>
      <c r="I8" s="1054"/>
      <c r="AF8" s="1549">
        <v>11</v>
      </c>
    </row>
    <row r="9" spans="1:32" s="2034" customFormat="1" ht="1.1499999999999999" customHeight="1">
      <c r="A9" s="1085"/>
      <c r="D9" s="1560"/>
      <c r="H9" s="814"/>
      <c r="I9" s="814" t="s">
        <v>116</v>
      </c>
      <c r="AF9" s="1554">
        <v>1</v>
      </c>
    </row>
    <row r="10" spans="1:32" ht="11.45" customHeight="1">
      <c r="E10" s="647"/>
      <c r="F10" s="2543" t="s">
        <v>104</v>
      </c>
      <c r="G10" s="2544"/>
      <c r="H10" s="1577" t="str">
        <f>IF(H9="","",INDEX(DIFFERENTIATION_UNMERGE_VD,MATCH(H9,DIFFERENTIATION_ID_DIFF,0)))</f>
        <v/>
      </c>
      <c r="I10" s="1577">
        <f>IF(I9="","",INDEX(DIFFERENTIATION_UNMERGE_VD,MATCH(I9,DIFFERENTIATION_ID_DIFF,0)))</f>
        <v>0</v>
      </c>
      <c r="J10" s="2328"/>
      <c r="AF10" s="1549">
        <v>11</v>
      </c>
    </row>
    <row r="11" spans="1:32" ht="11.45" customHeight="1">
      <c r="E11" s="647"/>
      <c r="F11" s="2543" t="s">
        <v>561</v>
      </c>
      <c r="G11" s="2544"/>
      <c r="H11" s="1577" t="str">
        <f>IF(H9="","",INDEX(DIFFERENTIATION_UNMERGE_AREA,MATCH(H9,DIFFERENTIATION_ID_DIFF,0)))</f>
        <v/>
      </c>
      <c r="I11" s="1577" t="str">
        <f>IF(I9="","",INDEX(DIFFERENTIATION_UNMERGE_AREA,MATCH(I9,DIFFERENTIATION_ID_DIFF,0)))</f>
        <v/>
      </c>
      <c r="J11" s="2328"/>
      <c r="AF11" s="1549">
        <v>11</v>
      </c>
    </row>
    <row r="12" spans="1:32" ht="11.25" hidden="1" customHeight="1">
      <c r="E12" s="1580"/>
      <c r="F12" s="2561" t="s">
        <v>562</v>
      </c>
      <c r="G12" s="2562"/>
      <c r="H12" s="1581" t="str">
        <f>IF(H9="","",INDEX(DIFFERENTIATION_UNMERGE_SYSTEM,MATCH(H9,DIFFERENTIATION_ID_DIFF,0)))</f>
        <v/>
      </c>
      <c r="I12" s="1581" t="str">
        <f>IF(I9="","",INDEX(DIFFERENTIATION_UNMERGE_SYSTEM,MATCH(I9,DIFFERENTIATION_ID_DIFF,0)))</f>
        <v>без дифференциации</v>
      </c>
      <c r="J12" s="2328"/>
      <c r="AF12" s="1549">
        <v>0</v>
      </c>
    </row>
    <row r="13" spans="1:32" ht="11.45" customHeight="1">
      <c r="E13" s="2545" t="s">
        <v>297</v>
      </c>
      <c r="F13" s="2546"/>
      <c r="G13" s="2546"/>
      <c r="H13" s="1574"/>
      <c r="I13" s="1574"/>
      <c r="J13" s="2328"/>
      <c r="AF13" s="1549">
        <v>11</v>
      </c>
    </row>
    <row r="14" spans="1:32" ht="24" customHeight="1">
      <c r="E14" s="1575" t="s">
        <v>90</v>
      </c>
      <c r="F14" s="1578" t="s">
        <v>299</v>
      </c>
      <c r="G14" s="1578" t="s">
        <v>563</v>
      </c>
      <c r="H14" s="1578" t="s">
        <v>300</v>
      </c>
      <c r="I14" s="1578" t="s">
        <v>300</v>
      </c>
      <c r="J14" s="2328"/>
      <c r="AF14" s="1549">
        <v>23</v>
      </c>
    </row>
    <row r="15" spans="1:32" ht="19.899999999999999" customHeight="1">
      <c r="D15" s="1556"/>
      <c r="E15" s="1548" t="s">
        <v>108</v>
      </c>
      <c r="F15" s="643" t="s">
        <v>773</v>
      </c>
      <c r="G15" s="1575" t="s">
        <v>549</v>
      </c>
      <c r="H15" s="493"/>
      <c r="I15" s="493"/>
      <c r="J15" s="226" t="s">
        <v>774</v>
      </c>
      <c r="K15" s="479" t="s">
        <v>627</v>
      </c>
      <c r="AF15" s="1549">
        <v>19</v>
      </c>
    </row>
    <row r="16" spans="1:32" ht="24" customHeight="1">
      <c r="D16" s="1556"/>
      <c r="E16" s="1548" t="s">
        <v>109</v>
      </c>
      <c r="F16" s="1583" t="s">
        <v>775</v>
      </c>
      <c r="G16" s="1575" t="s">
        <v>549</v>
      </c>
      <c r="H16" s="494">
        <f>SUM(H17,H20:H27)</f>
        <v>0</v>
      </c>
      <c r="I16" s="494">
        <f>SUM(I17,I20:I27)</f>
        <v>0</v>
      </c>
      <c r="J16" s="226" t="s">
        <v>776</v>
      </c>
      <c r="K16" s="479" t="s">
        <v>627</v>
      </c>
      <c r="AF16" s="1549">
        <v>23</v>
      </c>
    </row>
    <row r="17" spans="1:32" ht="35.65" customHeight="1">
      <c r="D17" s="1556"/>
      <c r="E17" s="1582" t="s">
        <v>706</v>
      </c>
      <c r="F17" s="1585" t="s">
        <v>777</v>
      </c>
      <c r="G17" s="1572" t="s">
        <v>549</v>
      </c>
      <c r="H17" s="493"/>
      <c r="I17" s="493"/>
      <c r="J17" s="226" t="s">
        <v>778</v>
      </c>
      <c r="K17" s="479"/>
      <c r="AF17" s="1549">
        <v>34</v>
      </c>
    </row>
    <row r="18" spans="1:32" ht="19.899999999999999" customHeight="1">
      <c r="D18" s="1556"/>
      <c r="E18" s="1582" t="s">
        <v>709</v>
      </c>
      <c r="F18" s="1586" t="s">
        <v>779</v>
      </c>
      <c r="G18" s="1572" t="s">
        <v>549</v>
      </c>
      <c r="H18" s="493"/>
      <c r="I18" s="493"/>
      <c r="J18" s="226"/>
      <c r="K18" s="479"/>
      <c r="AF18" s="1549">
        <v>19</v>
      </c>
    </row>
    <row r="19" spans="1:32" ht="24" customHeight="1">
      <c r="D19" s="1556"/>
      <c r="E19" s="1582" t="s">
        <v>712</v>
      </c>
      <c r="F19" s="1586" t="s">
        <v>780</v>
      </c>
      <c r="G19" s="1572" t="s">
        <v>549</v>
      </c>
      <c r="H19" s="493"/>
      <c r="I19" s="493"/>
      <c r="J19" s="226"/>
      <c r="K19" s="479"/>
      <c r="AF19" s="1549">
        <v>23</v>
      </c>
    </row>
    <row r="20" spans="1:32" ht="35.65" customHeight="1">
      <c r="D20" s="1556"/>
      <c r="E20" s="1582" t="s">
        <v>304</v>
      </c>
      <c r="F20" s="1585" t="s">
        <v>781</v>
      </c>
      <c r="G20" s="1572" t="s">
        <v>549</v>
      </c>
      <c r="H20" s="493"/>
      <c r="I20" s="493"/>
      <c r="J20" s="226"/>
      <c r="K20" s="479"/>
      <c r="AF20" s="1549">
        <v>34</v>
      </c>
    </row>
    <row r="21" spans="1:32" ht="48.2" customHeight="1">
      <c r="D21" s="1556"/>
      <c r="E21" s="1582" t="s">
        <v>307</v>
      </c>
      <c r="F21" s="1585" t="s">
        <v>782</v>
      </c>
      <c r="G21" s="1572" t="s">
        <v>549</v>
      </c>
      <c r="H21" s="493"/>
      <c r="I21" s="493"/>
      <c r="J21" s="226"/>
      <c r="K21" s="479"/>
      <c r="AF21" s="1549">
        <v>46</v>
      </c>
    </row>
    <row r="22" spans="1:32" ht="60" customHeight="1">
      <c r="D22" s="1556"/>
      <c r="E22" s="1582" t="s">
        <v>726</v>
      </c>
      <c r="F22" s="1585" t="s">
        <v>783</v>
      </c>
      <c r="G22" s="1572" t="s">
        <v>549</v>
      </c>
      <c r="H22" s="493"/>
      <c r="I22" s="493"/>
      <c r="J22" s="226"/>
      <c r="K22" s="479"/>
      <c r="AF22" s="1549">
        <v>57</v>
      </c>
    </row>
    <row r="23" spans="1:32" ht="35.65" customHeight="1">
      <c r="D23" s="1556"/>
      <c r="E23" s="1582" t="s">
        <v>733</v>
      </c>
      <c r="F23" s="1585" t="s">
        <v>784</v>
      </c>
      <c r="G23" s="1572" t="s">
        <v>549</v>
      </c>
      <c r="H23" s="493"/>
      <c r="I23" s="493"/>
      <c r="J23" s="226"/>
      <c r="K23" s="479"/>
      <c r="AF23" s="1549">
        <v>34</v>
      </c>
    </row>
    <row r="24" spans="1:32" ht="35.65" customHeight="1">
      <c r="D24" s="1556"/>
      <c r="E24" s="1582" t="s">
        <v>735</v>
      </c>
      <c r="F24" s="1585" t="s">
        <v>785</v>
      </c>
      <c r="G24" s="1572" t="s">
        <v>549</v>
      </c>
      <c r="H24" s="493"/>
      <c r="I24" s="493"/>
      <c r="J24" s="226"/>
      <c r="K24" s="479"/>
      <c r="AF24" s="1549">
        <v>34</v>
      </c>
    </row>
    <row r="25" spans="1:32" ht="24" customHeight="1">
      <c r="D25" s="1556"/>
      <c r="E25" s="1582" t="s">
        <v>737</v>
      </c>
      <c r="F25" s="1585" t="s">
        <v>786</v>
      </c>
      <c r="G25" s="1572" t="s">
        <v>549</v>
      </c>
      <c r="H25" s="493"/>
      <c r="I25" s="493"/>
      <c r="J25" s="226"/>
      <c r="K25" s="479"/>
      <c r="AF25" s="1549">
        <v>23</v>
      </c>
    </row>
    <row r="26" spans="1:32" ht="76.5" customHeight="1">
      <c r="D26" s="1556"/>
      <c r="E26" s="1582" t="s">
        <v>739</v>
      </c>
      <c r="F26" s="1585" t="s">
        <v>787</v>
      </c>
      <c r="G26" s="1572" t="s">
        <v>549</v>
      </c>
      <c r="H26" s="493"/>
      <c r="I26" s="493"/>
      <c r="J26" s="226"/>
      <c r="K26" s="479"/>
      <c r="AF26" s="1549">
        <v>73</v>
      </c>
    </row>
    <row r="27" spans="1:32" s="2056" customFormat="1" ht="35.65" customHeight="1">
      <c r="A27" s="911"/>
      <c r="C27" s="1554"/>
      <c r="D27" s="1556"/>
      <c r="E27" s="1547" t="s">
        <v>743</v>
      </c>
      <c r="F27" s="1546" t="s">
        <v>788</v>
      </c>
      <c r="G27" s="1573" t="s">
        <v>549</v>
      </c>
      <c r="H27" s="515">
        <f>SUM(H28:H29)</f>
        <v>0</v>
      </c>
      <c r="I27" s="515">
        <f>SUM(I28:I29)</f>
        <v>0</v>
      </c>
      <c r="J27" s="226" t="s">
        <v>741</v>
      </c>
      <c r="K27" s="479"/>
      <c r="L27" s="1554"/>
      <c r="M27" s="1554"/>
      <c r="R27" s="1554"/>
      <c r="U27" s="480"/>
      <c r="AA27" s="1550"/>
      <c r="AB27" s="1550"/>
      <c r="AC27" s="1550"/>
      <c r="AD27" s="1550"/>
      <c r="AE27" s="1550"/>
      <c r="AF27" s="1078">
        <v>34</v>
      </c>
    </row>
    <row r="28" spans="1:32" s="2034" customFormat="1" ht="1.1499999999999999" customHeight="1">
      <c r="A28" s="1085"/>
      <c r="D28" s="484"/>
      <c r="E28" s="732" t="str">
        <f>E27&amp;".0"</f>
        <v>2.9.0</v>
      </c>
      <c r="F28" s="915"/>
      <c r="G28" s="487"/>
      <c r="H28" s="916"/>
      <c r="I28" s="916"/>
      <c r="J28" s="917"/>
      <c r="AF28" s="1554">
        <v>1</v>
      </c>
    </row>
    <row r="29" spans="1:32" s="2056" customFormat="1" ht="19.899999999999999" customHeight="1">
      <c r="A29" s="911"/>
      <c r="C29" s="1554"/>
      <c r="D29" s="1551"/>
      <c r="E29" s="506"/>
      <c r="F29" s="1584" t="s">
        <v>574</v>
      </c>
      <c r="G29" s="508"/>
      <c r="H29" s="509"/>
      <c r="I29" s="509"/>
      <c r="J29" s="238" t="s">
        <v>742</v>
      </c>
      <c r="K29" s="479"/>
      <c r="L29" s="1554"/>
      <c r="M29" s="1554"/>
      <c r="R29" s="1554"/>
      <c r="U29" s="480"/>
      <c r="AA29" s="1550"/>
      <c r="AB29" s="1550"/>
      <c r="AC29" s="1550"/>
      <c r="AD29" s="1550"/>
      <c r="AE29" s="1550"/>
      <c r="AF29" s="1078">
        <v>19</v>
      </c>
    </row>
    <row r="30" spans="1:32" s="2056" customFormat="1" ht="24" customHeight="1">
      <c r="A30" s="911"/>
      <c r="C30" s="1554"/>
      <c r="D30" s="1556"/>
      <c r="E30" s="1582" t="s">
        <v>92</v>
      </c>
      <c r="F30" s="1579" t="s">
        <v>789</v>
      </c>
      <c r="G30" s="1572" t="s">
        <v>549</v>
      </c>
      <c r="H30" s="493"/>
      <c r="I30" s="493"/>
      <c r="J30" s="226"/>
      <c r="K30" s="479"/>
      <c r="L30" s="1554"/>
      <c r="M30" s="1554"/>
      <c r="R30" s="1554"/>
      <c r="U30" s="480"/>
      <c r="AA30" s="1550"/>
      <c r="AB30" s="1550"/>
      <c r="AC30" s="1550"/>
      <c r="AD30" s="1550"/>
      <c r="AE30" s="1550"/>
      <c r="AF30" s="1078">
        <v>23</v>
      </c>
    </row>
    <row r="31" spans="1:32" s="2056" customFormat="1" ht="35.65" customHeight="1">
      <c r="A31" s="911"/>
      <c r="C31" s="1554"/>
      <c r="D31" s="511"/>
      <c r="E31" s="1582" t="s">
        <v>93</v>
      </c>
      <c r="F31" s="1579" t="s">
        <v>790</v>
      </c>
      <c r="G31" s="1572" t="s">
        <v>549</v>
      </c>
      <c r="H31" s="493"/>
      <c r="I31" s="493"/>
      <c r="J31" s="226" t="s">
        <v>791</v>
      </c>
      <c r="K31" s="479"/>
      <c r="L31" s="1554"/>
      <c r="M31" s="1554"/>
      <c r="R31" s="1554"/>
      <c r="U31" s="480"/>
      <c r="AA31" s="1550"/>
      <c r="AB31" s="1550"/>
      <c r="AC31" s="1550"/>
      <c r="AD31" s="1550"/>
      <c r="AE31" s="1550"/>
      <c r="AF31" s="1078">
        <v>34</v>
      </c>
    </row>
    <row r="32" spans="1:32" s="2056" customFormat="1" ht="24" customHeight="1">
      <c r="A32" s="911"/>
      <c r="C32" s="1554"/>
      <c r="D32" s="1556"/>
      <c r="E32" s="1582" t="s">
        <v>751</v>
      </c>
      <c r="F32" s="626" t="s">
        <v>755</v>
      </c>
      <c r="G32" s="1572" t="s">
        <v>549</v>
      </c>
      <c r="H32" s="493"/>
      <c r="I32" s="493"/>
      <c r="J32" s="226" t="s">
        <v>792</v>
      </c>
      <c r="K32" s="479"/>
      <c r="L32" s="1554"/>
      <c r="M32" s="1554"/>
      <c r="R32" s="1554"/>
      <c r="U32" s="480"/>
      <c r="AA32" s="1550"/>
      <c r="AB32" s="1550"/>
      <c r="AC32" s="1550"/>
      <c r="AD32" s="1550"/>
      <c r="AE32" s="1550"/>
      <c r="AF32" s="1078">
        <v>23</v>
      </c>
    </row>
    <row r="33" spans="1:32" s="2056" customFormat="1" ht="24" customHeight="1">
      <c r="A33" s="911"/>
      <c r="C33" s="1554"/>
      <c r="D33" s="1556"/>
      <c r="E33" s="1582" t="s">
        <v>793</v>
      </c>
      <c r="F33" s="626" t="s">
        <v>794</v>
      </c>
      <c r="G33" s="1572" t="s">
        <v>549</v>
      </c>
      <c r="H33" s="493"/>
      <c r="I33" s="493"/>
      <c r="J33" s="226" t="s">
        <v>795</v>
      </c>
      <c r="K33" s="479"/>
      <c r="L33" s="1554"/>
      <c r="M33" s="1554"/>
      <c r="R33" s="1554"/>
      <c r="U33" s="480"/>
      <c r="AA33" s="1550"/>
      <c r="AB33" s="1550"/>
      <c r="AC33" s="1550"/>
      <c r="AD33" s="1550"/>
      <c r="AE33" s="1550"/>
      <c r="AF33" s="1078">
        <v>23</v>
      </c>
    </row>
    <row r="34" spans="1:32" s="2056" customFormat="1" ht="24" customHeight="1">
      <c r="A34" s="911"/>
      <c r="C34" s="1554"/>
      <c r="D34" s="1556"/>
      <c r="E34" s="1582" t="s">
        <v>796</v>
      </c>
      <c r="F34" s="626" t="s">
        <v>761</v>
      </c>
      <c r="G34" s="1572" t="s">
        <v>549</v>
      </c>
      <c r="H34" s="493"/>
      <c r="I34" s="493"/>
      <c r="J34" s="226" t="s">
        <v>797</v>
      </c>
      <c r="K34" s="479"/>
      <c r="L34" s="1554"/>
      <c r="M34" s="1554"/>
      <c r="R34" s="1554"/>
      <c r="U34" s="480"/>
      <c r="AA34" s="1550"/>
      <c r="AB34" s="1550"/>
      <c r="AC34" s="1550"/>
      <c r="AD34" s="1550"/>
      <c r="AE34" s="1550"/>
      <c r="AF34" s="1078">
        <v>23</v>
      </c>
    </row>
    <row r="35" spans="1:32" s="2056" customFormat="1" ht="35.65" customHeight="1">
      <c r="A35" s="911"/>
      <c r="C35" s="1554" t="s">
        <v>585</v>
      </c>
      <c r="D35" s="1556"/>
      <c r="E35" s="1582" t="s">
        <v>110</v>
      </c>
      <c r="F35" s="1579" t="s">
        <v>626</v>
      </c>
      <c r="G35" s="1575" t="s">
        <v>303</v>
      </c>
      <c r="H35" s="337"/>
      <c r="I35" s="337"/>
      <c r="J35" s="226" t="s">
        <v>798</v>
      </c>
      <c r="K35" s="479"/>
      <c r="L35" s="1554"/>
      <c r="M35" s="1554"/>
      <c r="R35" s="1554"/>
      <c r="U35" s="480"/>
      <c r="AA35" s="1550"/>
      <c r="AB35" s="1550"/>
      <c r="AC35" s="1550"/>
      <c r="AD35" s="1550"/>
      <c r="AE35" s="1550"/>
      <c r="AF35" s="1078">
        <v>34</v>
      </c>
    </row>
    <row r="36" spans="1:32" s="2056" customFormat="1" ht="35.65" customHeight="1">
      <c r="A36" s="911"/>
      <c r="C36" s="1554"/>
      <c r="D36" s="1556"/>
      <c r="E36" s="1582" t="s">
        <v>94</v>
      </c>
      <c r="F36" s="1579" t="s">
        <v>799</v>
      </c>
      <c r="G36" s="1572" t="s">
        <v>766</v>
      </c>
      <c r="H36" s="481"/>
      <c r="I36" s="481"/>
      <c r="J36" s="226" t="s">
        <v>767</v>
      </c>
      <c r="K36" s="479"/>
      <c r="L36" s="1554"/>
      <c r="M36" s="1554"/>
      <c r="R36" s="1554"/>
      <c r="U36" s="480"/>
      <c r="AA36" s="1550"/>
      <c r="AB36" s="1550"/>
      <c r="AC36" s="1550"/>
      <c r="AD36" s="1550"/>
      <c r="AE36" s="1550"/>
      <c r="AF36" s="1078">
        <v>34</v>
      </c>
    </row>
    <row r="37" spans="1:32" s="2056" customFormat="1" ht="24" customHeight="1">
      <c r="A37" s="911"/>
      <c r="C37" s="1554"/>
      <c r="D37" s="1556"/>
      <c r="E37" s="1582" t="s">
        <v>95</v>
      </c>
      <c r="F37" s="1579" t="s">
        <v>800</v>
      </c>
      <c r="G37" s="1572" t="s">
        <v>769</v>
      </c>
      <c r="H37" s="481"/>
      <c r="I37" s="481"/>
      <c r="J37" s="226" t="s">
        <v>770</v>
      </c>
      <c r="K37" s="479"/>
      <c r="L37" s="1554"/>
      <c r="M37" s="1554"/>
      <c r="R37" s="1554"/>
      <c r="U37" s="480"/>
      <c r="AA37" s="1550"/>
      <c r="AB37" s="1550"/>
      <c r="AC37" s="1550"/>
      <c r="AD37" s="1550"/>
      <c r="AE37" s="1550"/>
      <c r="AF37" s="1078">
        <v>23</v>
      </c>
    </row>
    <row r="38" spans="1:32" ht="11.45" customHeight="1">
      <c r="D38" s="1556"/>
      <c r="AF38" s="1549">
        <v>11</v>
      </c>
    </row>
    <row r="39" spans="1:32" ht="27.4" customHeight="1">
      <c r="D39" s="1556"/>
      <c r="E39" s="1171" t="s">
        <v>801</v>
      </c>
      <c r="F39" s="2455" t="s">
        <v>802</v>
      </c>
      <c r="G39" s="2455"/>
      <c r="H39" s="305"/>
      <c r="I39" s="305"/>
      <c r="J39" s="305"/>
      <c r="AF39" s="1549">
        <v>26</v>
      </c>
    </row>
    <row r="40" spans="1:32" s="2028" customFormat="1" ht="39.75" customHeight="1">
      <c r="A40" s="911"/>
      <c r="B40" s="1554"/>
      <c r="C40" s="1554"/>
      <c r="D40" s="287"/>
      <c r="F40" s="2455" t="s">
        <v>803</v>
      </c>
      <c r="G40" s="2455"/>
      <c r="H40" s="305"/>
      <c r="I40" s="305"/>
      <c r="J40" s="305"/>
      <c r="K40" s="1078"/>
      <c r="L40" s="1554"/>
      <c r="M40" s="1554"/>
      <c r="N40" s="1078"/>
      <c r="O40" s="1078"/>
      <c r="P40" s="1078"/>
      <c r="Q40" s="1078"/>
      <c r="R40" s="1554"/>
      <c r="S40" s="1078"/>
      <c r="T40" s="1078"/>
      <c r="U40" s="480"/>
      <c r="V40" s="1078"/>
      <c r="W40" s="1078"/>
      <c r="X40" s="1078"/>
      <c r="Y40" s="1078"/>
      <c r="Z40" s="1078"/>
      <c r="AA40" s="1550"/>
      <c r="AB40" s="502"/>
      <c r="AC40" s="502"/>
      <c r="AD40" s="502"/>
      <c r="AE40" s="502"/>
      <c r="AF40" s="1559">
        <v>38</v>
      </c>
    </row>
    <row r="41" spans="1:32" s="2028" customFormat="1" ht="11.45" customHeight="1">
      <c r="A41" s="911"/>
      <c r="B41" s="1554"/>
      <c r="C41" s="1554"/>
      <c r="D41" s="287"/>
      <c r="K41" s="1078"/>
      <c r="L41" s="1554"/>
      <c r="M41" s="1554"/>
      <c r="N41" s="1078"/>
      <c r="O41" s="1078"/>
      <c r="P41" s="1078"/>
      <c r="Q41" s="1078"/>
      <c r="R41" s="1554"/>
      <c r="S41" s="1078"/>
      <c r="T41" s="1078"/>
      <c r="U41" s="480"/>
      <c r="V41" s="1078"/>
      <c r="W41" s="1078"/>
      <c r="X41" s="1078"/>
      <c r="Y41" s="1078"/>
      <c r="Z41" s="1078"/>
      <c r="AA41" s="1550"/>
      <c r="AB41" s="502"/>
      <c r="AC41" s="502"/>
      <c r="AD41" s="502"/>
      <c r="AE41" s="502"/>
      <c r="AF41" s="1559">
        <v>11</v>
      </c>
    </row>
    <row r="42" spans="1:32" s="2028" customFormat="1" ht="11.45" customHeight="1">
      <c r="A42" s="911"/>
      <c r="B42" s="1554"/>
      <c r="C42" s="1554"/>
      <c r="D42" s="287"/>
      <c r="K42" s="1078"/>
      <c r="L42" s="1554"/>
      <c r="M42" s="1554"/>
      <c r="N42" s="1078"/>
      <c r="O42" s="1078"/>
      <c r="P42" s="1078"/>
      <c r="Q42" s="1078"/>
      <c r="R42" s="1554"/>
      <c r="S42" s="1078"/>
      <c r="T42" s="1078"/>
      <c r="U42" s="480"/>
      <c r="V42" s="1078"/>
      <c r="W42" s="1078"/>
      <c r="X42" s="1078"/>
      <c r="Y42" s="1078"/>
      <c r="Z42" s="1078"/>
      <c r="AA42" s="1550"/>
      <c r="AB42" s="502"/>
      <c r="AC42" s="502"/>
      <c r="AD42" s="502"/>
      <c r="AE42" s="502"/>
      <c r="AF42" s="1559">
        <v>11</v>
      </c>
    </row>
    <row r="43" spans="1:32" s="2028" customFormat="1" ht="11.45" customHeight="1">
      <c r="A43" s="911"/>
      <c r="B43" s="1554"/>
      <c r="C43" s="1554"/>
      <c r="D43" s="287"/>
      <c r="H43" s="502"/>
      <c r="I43" s="502"/>
      <c r="K43" s="1078"/>
      <c r="L43" s="1554"/>
      <c r="M43" s="1554"/>
      <c r="N43" s="1078"/>
      <c r="O43" s="1078"/>
      <c r="P43" s="1078"/>
      <c r="Q43" s="1078"/>
      <c r="R43" s="1554"/>
      <c r="S43" s="1078"/>
      <c r="T43" s="1078"/>
      <c r="U43" s="480"/>
      <c r="V43" s="1078"/>
      <c r="W43" s="1078"/>
      <c r="X43" s="1078"/>
      <c r="Y43" s="1078"/>
      <c r="Z43" s="1078"/>
      <c r="AA43" s="1550"/>
      <c r="AB43" s="502"/>
      <c r="AC43" s="502"/>
      <c r="AD43" s="502"/>
      <c r="AE43" s="502"/>
      <c r="AF43" s="1559">
        <v>11</v>
      </c>
    </row>
    <row r="44" spans="1:32" s="2028" customFormat="1" ht="11.45" customHeight="1">
      <c r="A44" s="911"/>
      <c r="B44" s="1554"/>
      <c r="C44" s="1554"/>
      <c r="D44" s="287"/>
      <c r="K44" s="1078"/>
      <c r="L44" s="1554"/>
      <c r="M44" s="1554"/>
      <c r="N44" s="1078"/>
      <c r="O44" s="1078"/>
      <c r="P44" s="1078"/>
      <c r="Q44" s="1078"/>
      <c r="R44" s="1554"/>
      <c r="S44" s="1078"/>
      <c r="T44" s="1078"/>
      <c r="U44" s="480"/>
      <c r="V44" s="1078"/>
      <c r="W44" s="1078"/>
      <c r="X44" s="1078"/>
      <c r="Y44" s="1078"/>
      <c r="Z44" s="1078"/>
      <c r="AA44" s="1550"/>
      <c r="AB44" s="502"/>
      <c r="AC44" s="502"/>
      <c r="AD44" s="502"/>
      <c r="AE44" s="502"/>
      <c r="AF44" s="1559">
        <v>11</v>
      </c>
    </row>
    <row r="45" spans="1:32" s="2028" customFormat="1" ht="11.45" customHeight="1">
      <c r="A45" s="911"/>
      <c r="B45" s="1554"/>
      <c r="C45" s="1554"/>
      <c r="D45" s="287"/>
      <c r="K45" s="1078"/>
      <c r="L45" s="1554"/>
      <c r="M45" s="1554"/>
      <c r="N45" s="1078"/>
      <c r="O45" s="1078"/>
      <c r="P45" s="1078"/>
      <c r="Q45" s="1078"/>
      <c r="R45" s="1554"/>
      <c r="S45" s="1078"/>
      <c r="T45" s="1078"/>
      <c r="U45" s="480"/>
      <c r="V45" s="1078"/>
      <c r="W45" s="1078"/>
      <c r="X45" s="1078"/>
      <c r="Y45" s="1078"/>
      <c r="Z45" s="1078"/>
      <c r="AA45" s="1550"/>
      <c r="AB45" s="502"/>
      <c r="AC45" s="502"/>
      <c r="AD45" s="502"/>
      <c r="AE45" s="502"/>
      <c r="AF45" s="1559">
        <v>11</v>
      </c>
    </row>
    <row r="46" spans="1:32" s="2028" customFormat="1" ht="11.45" customHeight="1">
      <c r="A46" s="911"/>
      <c r="B46" s="1554"/>
      <c r="C46" s="1554"/>
      <c r="D46" s="287"/>
      <c r="K46" s="1078"/>
      <c r="L46" s="1554"/>
      <c r="M46" s="1554"/>
      <c r="N46" s="1078"/>
      <c r="O46" s="1078"/>
      <c r="P46" s="1078"/>
      <c r="Q46" s="1078"/>
      <c r="R46" s="1554"/>
      <c r="S46" s="1078"/>
      <c r="T46" s="1078"/>
      <c r="U46" s="480"/>
      <c r="V46" s="1078"/>
      <c r="W46" s="1078"/>
      <c r="X46" s="1078"/>
      <c r="Y46" s="1078"/>
      <c r="Z46" s="1078"/>
      <c r="AA46" s="1550"/>
      <c r="AB46" s="502"/>
      <c r="AC46" s="502"/>
      <c r="AD46" s="502"/>
      <c r="AE46" s="502"/>
      <c r="AF46" s="1559">
        <v>11</v>
      </c>
    </row>
    <row r="47" spans="1:32" s="2028" customFormat="1" ht="11.45" customHeight="1">
      <c r="A47" s="911"/>
      <c r="B47" s="1554"/>
      <c r="C47" s="1554"/>
      <c r="D47" s="287"/>
      <c r="K47" s="1078"/>
      <c r="L47" s="1554"/>
      <c r="M47" s="1554"/>
      <c r="N47" s="1078"/>
      <c r="O47" s="1078"/>
      <c r="P47" s="1078"/>
      <c r="Q47" s="1078"/>
      <c r="R47" s="1554"/>
      <c r="S47" s="1078"/>
      <c r="T47" s="1078"/>
      <c r="U47" s="480"/>
      <c r="V47" s="1078"/>
      <c r="W47" s="1078"/>
      <c r="X47" s="1078"/>
      <c r="Y47" s="1078"/>
      <c r="Z47" s="1078"/>
      <c r="AA47" s="1550"/>
      <c r="AB47" s="502"/>
      <c r="AC47" s="502"/>
      <c r="AD47" s="502"/>
      <c r="AE47" s="502"/>
      <c r="AF47" s="1559">
        <v>11</v>
      </c>
    </row>
    <row r="48" spans="1:32" s="2028"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028"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028" customFormat="1" ht="11.45" customHeight="1">
      <c r="A50" s="911"/>
      <c r="B50" s="1554"/>
      <c r="C50" s="1554"/>
      <c r="D50" s="287"/>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028"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028"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028"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028"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028"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028"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028"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028"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028"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028"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028"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028"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028"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028"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028"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028"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028"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028"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028"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028"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028"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028"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028"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028"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028"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028"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028"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028"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028"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028"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028"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028"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028"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028"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028"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028"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028"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028"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028"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028"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028"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028"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028"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028"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028"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028"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028"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028"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028"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028"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028"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028"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028"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028"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028"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028"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028"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028"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028"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028"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028"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028"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028"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028"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028"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028"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028"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028"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028"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028"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028"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028"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028"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028"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028"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028"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028"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028"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028"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028"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028"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028"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028"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028"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028"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028"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028"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028"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028"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028"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028"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028"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028"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028"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028"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028"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028"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028"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028"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028"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028"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028"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028"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028"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028"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028"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028"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028"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028"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028"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028"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028"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028"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028"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028"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028"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028"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028"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028"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028"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028"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028"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028"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028"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028"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028"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028"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028"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028"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028"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028"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028"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028"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028"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028"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028"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028"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028"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028"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028"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028"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028"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028"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028"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028"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ht="11.45" customHeight="1">
      <c r="AF196" s="1549">
        <v>11</v>
      </c>
    </row>
    <row r="197" spans="1:32" ht="11.45" customHeight="1">
      <c r="AF197" s="1549">
        <v>11</v>
      </c>
    </row>
    <row r="198" spans="1:32" ht="11.45" customHeight="1">
      <c r="AF198" s="1549">
        <v>11</v>
      </c>
    </row>
    <row r="199" spans="1:32" ht="11.45" customHeight="1">
      <c r="A199" s="914"/>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4"/>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4"/>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4"/>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4"/>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4"/>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4"/>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1" t="s">
        <v>84</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80">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036" hidden="1" customWidth="1"/>
    <col min="2" max="2" width="3.5703125" style="2034" hidden="1" customWidth="1"/>
    <col min="3" max="3" width="3" style="2062" customWidth="1"/>
    <col min="4" max="4" width="7" style="2062" customWidth="1"/>
    <col min="5" max="5" width="69" style="2062" customWidth="1"/>
    <col min="6" max="6" width="10" style="2062" customWidth="1"/>
    <col min="7" max="8" width="44" style="2062" hidden="1" customWidth="1"/>
    <col min="9" max="9" width="44" style="2062" customWidth="1"/>
    <col min="10" max="10" width="43" style="2062" customWidth="1"/>
    <col min="11" max="11" width="73" style="2062" customWidth="1"/>
    <col min="12" max="12" width="3" style="2062" customWidth="1"/>
    <col min="13" max="23" width="10" style="2062" customWidth="1"/>
    <col min="24" max="24" width="10.5703125" style="2062" hidden="1"/>
  </cols>
  <sheetData>
    <row r="1" spans="1:24" s="2056" customFormat="1" ht="22.5" hidden="1" customHeight="1">
      <c r="A1" s="472"/>
      <c r="B1" s="447"/>
      <c r="G1" s="353">
        <v>4</v>
      </c>
      <c r="I1" s="353">
        <v>4</v>
      </c>
      <c r="K1" s="353">
        <v>5</v>
      </c>
      <c r="X1" s="353" t="s">
        <v>14</v>
      </c>
    </row>
    <row r="2" spans="1:24" ht="3" customHeight="1">
      <c r="X2" s="441">
        <v>3</v>
      </c>
    </row>
    <row r="3" spans="1:24" ht="78.75" customHeight="1">
      <c r="D3" s="23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22"/>
      <c r="F3" s="2323"/>
      <c r="X3" s="441">
        <v>75</v>
      </c>
    </row>
    <row r="4" spans="1:24" s="2062" customFormat="1" ht="21" customHeight="1">
      <c r="A4" s="876"/>
      <c r="B4" s="447"/>
      <c r="D4" s="2431" t="str">
        <f>IF(org=0,"Не определено",org)</f>
        <v>ПАО "ТГК-1" филиал "Невский"</v>
      </c>
      <c r="E4" s="2432"/>
      <c r="F4" s="243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116</v>
      </c>
      <c r="J6" s="945"/>
      <c r="X6" s="441">
        <v>1</v>
      </c>
    </row>
    <row r="7" spans="1:24" ht="11.45" customHeight="1">
      <c r="D7" s="647"/>
      <c r="E7" s="2543" t="s">
        <v>104</v>
      </c>
      <c r="F7" s="2544"/>
      <c r="G7" s="2563" t="str">
        <f>IF(G6="","",INDEX(DIFFERENTIATION_UNMERGE_VD,MATCH(G6,DIFFERENTIATION_ID_DIFF,0)))</f>
        <v/>
      </c>
      <c r="H7" s="2564"/>
      <c r="I7" s="2563">
        <f>IF(I6="","",INDEX(DIFFERENTIATION_UNMERGE_VD,MATCH(I6,DIFFERENTIATION_ID_DIFF,0)))</f>
        <v>0</v>
      </c>
      <c r="J7" s="2564"/>
      <c r="K7" s="2387"/>
      <c r="L7" s="445"/>
      <c r="X7" s="441">
        <v>11</v>
      </c>
    </row>
    <row r="8" spans="1:24" ht="11.45" customHeight="1">
      <c r="A8" s="640"/>
      <c r="D8" s="647"/>
      <c r="E8" s="2543" t="s">
        <v>561</v>
      </c>
      <c r="F8" s="2544"/>
      <c r="G8" s="2563" t="str">
        <f>IF(G6="","",INDEX(DIFFERENTIATION_UNMERGE_AREA,MATCH(G6,DIFFERENTIATION_ID_DIFF,0)))</f>
        <v/>
      </c>
      <c r="H8" s="2564"/>
      <c r="I8" s="2563" t="str">
        <f>IF(I6="","",INDEX(DIFFERENTIATION_UNMERGE_AREA,MATCH(I6,DIFFERENTIATION_ID_DIFF,0)))</f>
        <v/>
      </c>
      <c r="J8" s="2564"/>
      <c r="K8" s="2392"/>
      <c r="L8" s="445"/>
      <c r="X8" s="441">
        <v>11</v>
      </c>
    </row>
    <row r="9" spans="1:24" ht="11.45" customHeight="1">
      <c r="A9" s="640"/>
      <c r="D9" s="647"/>
      <c r="E9" s="2543" t="s">
        <v>562</v>
      </c>
      <c r="F9" s="2544"/>
      <c r="G9" s="2563" t="str">
        <f>IF(G6="","",INDEX(DIFFERENTIATION_UNMERGE_SYSTEM,MATCH(G6,DIFFERENTIATION_ID_DIFF,0)))</f>
        <v/>
      </c>
      <c r="H9" s="2564"/>
      <c r="I9" s="2563" t="str">
        <f>IF(I6="","",INDEX(DIFFERENTIATION_UNMERGE_SYSTEM,MATCH(I6,DIFFERENTIATION_ID_DIFF,0)))</f>
        <v>без дифференциации</v>
      </c>
      <c r="J9" s="2564"/>
      <c r="K9" s="2392"/>
      <c r="L9" s="445"/>
      <c r="X9" s="441">
        <v>11</v>
      </c>
    </row>
    <row r="10" spans="1:24" s="2062" customFormat="1" ht="11.45" customHeight="1">
      <c r="A10" s="944"/>
      <c r="B10" s="447"/>
      <c r="D10" s="2310" t="s">
        <v>297</v>
      </c>
      <c r="E10" s="2315"/>
      <c r="F10" s="2315"/>
      <c r="G10" s="2315"/>
      <c r="H10" s="2315"/>
      <c r="I10" s="2315"/>
      <c r="J10" s="2309"/>
      <c r="K10" s="2392"/>
      <c r="L10" s="445"/>
      <c r="X10" s="692">
        <v>11</v>
      </c>
    </row>
    <row r="11" spans="1:24" s="2062" customFormat="1" ht="24" customHeight="1">
      <c r="A11" s="2455"/>
      <c r="B11" s="2455"/>
      <c r="C11" s="593"/>
      <c r="D11" s="639" t="s">
        <v>90</v>
      </c>
      <c r="E11" s="641" t="s">
        <v>804</v>
      </c>
      <c r="F11" s="641" t="s">
        <v>563</v>
      </c>
      <c r="G11" s="401" t="s">
        <v>300</v>
      </c>
      <c r="H11" s="401" t="s">
        <v>387</v>
      </c>
      <c r="I11" s="737" t="s">
        <v>300</v>
      </c>
      <c r="J11" s="738" t="s">
        <v>387</v>
      </c>
      <c r="K11" s="2442"/>
      <c r="L11" s="594"/>
      <c r="X11" s="445">
        <v>23</v>
      </c>
    </row>
    <row r="12" spans="1:24" s="2034" customFormat="1" ht="10.5" customHeight="1">
      <c r="A12" s="877"/>
      <c r="D12" s="948" t="s">
        <v>108</v>
      </c>
      <c r="E12" s="948" t="s">
        <v>109</v>
      </c>
      <c r="F12" s="948" t="s">
        <v>92</v>
      </c>
      <c r="G12" s="949" t="str">
        <f>G1&amp;".1"</f>
        <v>4.1</v>
      </c>
      <c r="H12" s="949" t="str">
        <f>G1&amp;".2"</f>
        <v>4.2</v>
      </c>
      <c r="I12" s="949" t="str">
        <f>I1&amp;".1"</f>
        <v>4.1</v>
      </c>
      <c r="J12" s="949" t="str">
        <f>I1&amp;".2"</f>
        <v>4.2</v>
      </c>
      <c r="K12" s="949"/>
      <c r="X12" s="447">
        <v>10</v>
      </c>
    </row>
    <row r="13" spans="1:24" ht="22.5" customHeight="1">
      <c r="A13" s="2565" t="s">
        <v>805</v>
      </c>
      <c r="D13" s="878" t="s">
        <v>108</v>
      </c>
      <c r="E13" s="216" t="s">
        <v>806</v>
      </c>
      <c r="F13" s="596" t="s">
        <v>807</v>
      </c>
      <c r="G13" s="493"/>
      <c r="H13" s="597"/>
      <c r="I13" s="493"/>
      <c r="J13" s="597"/>
      <c r="K13" s="226" t="s">
        <v>808</v>
      </c>
      <c r="L13" s="656"/>
      <c r="X13" s="441">
        <v>0</v>
      </c>
    </row>
    <row r="14" spans="1:24" ht="22.5" customHeight="1">
      <c r="A14" s="2565"/>
      <c r="D14" s="475" t="s">
        <v>109</v>
      </c>
      <c r="E14" s="216" t="s">
        <v>809</v>
      </c>
      <c r="F14" s="596" t="s">
        <v>810</v>
      </c>
      <c r="G14" s="493"/>
      <c r="H14" s="598"/>
      <c r="I14" s="493"/>
      <c r="J14" s="598"/>
      <c r="K14" s="226" t="s">
        <v>811</v>
      </c>
      <c r="L14" s="656"/>
      <c r="X14" s="441">
        <v>0</v>
      </c>
    </row>
    <row r="15" spans="1:24" s="2062" customFormat="1" ht="78.75" customHeight="1">
      <c r="A15" s="2565"/>
      <c r="B15" s="447"/>
      <c r="D15" s="878" t="s">
        <v>92</v>
      </c>
      <c r="E15" s="643" t="s">
        <v>812</v>
      </c>
      <c r="F15" s="875" t="s">
        <v>303</v>
      </c>
      <c r="G15" s="875" t="s">
        <v>303</v>
      </c>
      <c r="H15" s="46"/>
      <c r="I15" s="875" t="s">
        <v>303</v>
      </c>
      <c r="J15" s="46"/>
      <c r="K15" s="226" t="s">
        <v>813</v>
      </c>
      <c r="L15" s="656"/>
      <c r="X15" s="692">
        <v>0</v>
      </c>
    </row>
    <row r="16" spans="1:24" s="2062" customFormat="1" ht="22.5" customHeight="1">
      <c r="A16" s="2565"/>
      <c r="B16" s="447"/>
      <c r="D16" s="878" t="s">
        <v>321</v>
      </c>
      <c r="E16" s="879" t="s">
        <v>814</v>
      </c>
      <c r="F16" s="875" t="s">
        <v>815</v>
      </c>
      <c r="G16" s="747"/>
      <c r="H16" s="46"/>
      <c r="I16" s="747"/>
      <c r="J16" s="46"/>
      <c r="K16" s="226"/>
      <c r="L16" s="656"/>
      <c r="X16" s="692">
        <v>0</v>
      </c>
    </row>
    <row r="17" spans="1:24" s="2062" customFormat="1" ht="22.5" customHeight="1">
      <c r="A17" s="2565"/>
      <c r="B17" s="447"/>
      <c r="D17" s="878" t="s">
        <v>329</v>
      </c>
      <c r="E17" s="879" t="s">
        <v>816</v>
      </c>
      <c r="F17" s="875" t="s">
        <v>817</v>
      </c>
      <c r="G17" s="747"/>
      <c r="H17" s="46"/>
      <c r="I17" s="747"/>
      <c r="J17" s="46"/>
      <c r="K17" s="226"/>
      <c r="L17" s="656"/>
      <c r="X17" s="692">
        <v>0</v>
      </c>
    </row>
    <row r="18" spans="1:24" s="2062" customFormat="1" ht="33.75" customHeight="1">
      <c r="A18" s="2565"/>
      <c r="B18" s="447"/>
      <c r="D18" s="878" t="s">
        <v>331</v>
      </c>
      <c r="E18" s="879" t="s">
        <v>818</v>
      </c>
      <c r="F18" s="875" t="s">
        <v>568</v>
      </c>
      <c r="G18" s="616"/>
      <c r="H18" s="46"/>
      <c r="I18" s="616"/>
      <c r="J18" s="46"/>
      <c r="K18" s="226"/>
      <c r="L18" s="656"/>
      <c r="X18" s="692">
        <v>0</v>
      </c>
    </row>
    <row r="19" spans="1:24" ht="101.25" customHeight="1">
      <c r="A19" s="2565"/>
      <c r="D19" s="878" t="s">
        <v>93</v>
      </c>
      <c r="E19" s="216" t="s">
        <v>819</v>
      </c>
      <c r="F19" s="596" t="s">
        <v>543</v>
      </c>
      <c r="G19" s="599"/>
      <c r="H19" s="598"/>
      <c r="I19" s="880"/>
      <c r="J19" s="598"/>
      <c r="K19" s="226" t="s">
        <v>820</v>
      </c>
      <c r="L19" s="656"/>
      <c r="X19" s="441">
        <v>0</v>
      </c>
    </row>
    <row r="20" spans="1:24" s="2062" customFormat="1" ht="18.75" customHeight="1">
      <c r="A20" s="2565"/>
      <c r="C20" s="881"/>
      <c r="D20" s="878" t="s">
        <v>751</v>
      </c>
      <c r="E20" s="879" t="s">
        <v>821</v>
      </c>
      <c r="F20" s="875" t="s">
        <v>303</v>
      </c>
      <c r="G20" s="875" t="s">
        <v>303</v>
      </c>
      <c r="H20" s="874" t="s">
        <v>303</v>
      </c>
      <c r="I20" s="875" t="s">
        <v>303</v>
      </c>
      <c r="J20" s="874" t="s">
        <v>303</v>
      </c>
      <c r="K20" s="873"/>
      <c r="L20" s="656"/>
      <c r="W20" s="611"/>
      <c r="X20" s="692">
        <v>0</v>
      </c>
    </row>
    <row r="21" spans="1:24" s="2062" customFormat="1" ht="33.75" customHeight="1">
      <c r="A21" s="2565"/>
      <c r="C21" s="881"/>
      <c r="D21" s="878" t="s">
        <v>754</v>
      </c>
      <c r="E21" s="512" t="s">
        <v>822</v>
      </c>
      <c r="F21" s="875" t="s">
        <v>823</v>
      </c>
      <c r="G21" s="616"/>
      <c r="H21" s="46"/>
      <c r="I21" s="616"/>
      <c r="J21" s="46"/>
      <c r="K21" s="873"/>
      <c r="L21" s="656"/>
      <c r="W21" s="611"/>
      <c r="X21" s="692">
        <v>0</v>
      </c>
    </row>
    <row r="22" spans="1:24" s="2062" customFormat="1" ht="33.75" customHeight="1">
      <c r="A22" s="2565"/>
      <c r="C22" s="881"/>
      <c r="D22" s="878" t="s">
        <v>757</v>
      </c>
      <c r="E22" s="512" t="s">
        <v>824</v>
      </c>
      <c r="F22" s="875" t="s">
        <v>825</v>
      </c>
      <c r="G22" s="616"/>
      <c r="H22" s="46"/>
      <c r="I22" s="616"/>
      <c r="J22" s="46"/>
      <c r="K22" s="873"/>
      <c r="L22" s="656"/>
      <c r="W22" s="611"/>
      <c r="X22" s="692">
        <v>0</v>
      </c>
    </row>
    <row r="23" spans="1:24" s="2062" customFormat="1" ht="22.5" customHeight="1">
      <c r="A23" s="2565"/>
      <c r="C23" s="881"/>
      <c r="D23" s="878" t="s">
        <v>793</v>
      </c>
      <c r="E23" s="879" t="s">
        <v>826</v>
      </c>
      <c r="F23" s="875" t="s">
        <v>303</v>
      </c>
      <c r="G23" s="875" t="s">
        <v>303</v>
      </c>
      <c r="H23" s="874" t="s">
        <v>303</v>
      </c>
      <c r="I23" s="875" t="s">
        <v>303</v>
      </c>
      <c r="J23" s="874" t="s">
        <v>303</v>
      </c>
      <c r="K23" s="873"/>
      <c r="L23" s="656"/>
      <c r="W23" s="611"/>
      <c r="X23" s="692">
        <v>0</v>
      </c>
    </row>
    <row r="24" spans="1:24" s="2062" customFormat="1" ht="22.5" customHeight="1">
      <c r="A24" s="2565"/>
      <c r="C24" s="881"/>
      <c r="D24" s="878" t="s">
        <v>827</v>
      </c>
      <c r="E24" s="512" t="s">
        <v>828</v>
      </c>
      <c r="F24" s="875" t="s">
        <v>829</v>
      </c>
      <c r="G24" s="616"/>
      <c r="H24" s="622"/>
      <c r="I24" s="616"/>
      <c r="J24" s="622"/>
      <c r="K24" s="873"/>
      <c r="L24" s="656"/>
      <c r="W24" s="611"/>
      <c r="X24" s="692">
        <v>0</v>
      </c>
    </row>
    <row r="25" spans="1:24" s="2062" customFormat="1" ht="22.5" customHeight="1">
      <c r="A25" s="2565"/>
      <c r="C25" s="881"/>
      <c r="D25" s="878" t="s">
        <v>830</v>
      </c>
      <c r="E25" s="512" t="s">
        <v>831</v>
      </c>
      <c r="F25" s="875" t="s">
        <v>303</v>
      </c>
      <c r="G25" s="875" t="s">
        <v>303</v>
      </c>
      <c r="H25" s="874" t="s">
        <v>303</v>
      </c>
      <c r="I25" s="875" t="s">
        <v>303</v>
      </c>
      <c r="J25" s="874" t="s">
        <v>303</v>
      </c>
      <c r="K25" s="873"/>
      <c r="L25" s="656"/>
      <c r="W25" s="611"/>
      <c r="X25" s="692">
        <v>0</v>
      </c>
    </row>
    <row r="26" spans="1:24" s="2062" customFormat="1" ht="18.75" customHeight="1">
      <c r="A26" s="2565"/>
      <c r="C26" s="881"/>
      <c r="D26" s="878" t="s">
        <v>832</v>
      </c>
      <c r="E26" s="489" t="s">
        <v>833</v>
      </c>
      <c r="F26" s="875" t="s">
        <v>834</v>
      </c>
      <c r="G26" s="616"/>
      <c r="H26" s="622"/>
      <c r="I26" s="616"/>
      <c r="J26" s="622"/>
      <c r="K26" s="873"/>
      <c r="L26" s="656"/>
      <c r="W26" s="611"/>
      <c r="X26" s="692">
        <v>0</v>
      </c>
    </row>
    <row r="27" spans="1:24" s="2062" customFormat="1" ht="18.75" customHeight="1">
      <c r="A27" s="2565"/>
      <c r="C27" s="881"/>
      <c r="D27" s="878" t="s">
        <v>835</v>
      </c>
      <c r="E27" s="489" t="s">
        <v>836</v>
      </c>
      <c r="F27" s="875" t="s">
        <v>837</v>
      </c>
      <c r="G27" s="616"/>
      <c r="H27" s="622"/>
      <c r="I27" s="616"/>
      <c r="J27" s="622"/>
      <c r="K27" s="873"/>
      <c r="L27" s="656"/>
      <c r="W27" s="611"/>
      <c r="X27" s="692">
        <v>0</v>
      </c>
    </row>
    <row r="28" spans="1:24" s="2062" customFormat="1" ht="18.75" customHeight="1">
      <c r="A28" s="2565"/>
      <c r="C28" s="881"/>
      <c r="D28" s="878" t="s">
        <v>838</v>
      </c>
      <c r="E28" s="512" t="s">
        <v>839</v>
      </c>
      <c r="F28" s="875" t="s">
        <v>303</v>
      </c>
      <c r="G28" s="875" t="s">
        <v>303</v>
      </c>
      <c r="H28" s="874" t="s">
        <v>303</v>
      </c>
      <c r="I28" s="875" t="s">
        <v>303</v>
      </c>
      <c r="J28" s="874" t="s">
        <v>303</v>
      </c>
      <c r="K28" s="873"/>
      <c r="L28" s="656"/>
      <c r="W28" s="611"/>
      <c r="X28" s="692">
        <v>0</v>
      </c>
    </row>
    <row r="29" spans="1:24" s="2062" customFormat="1" ht="18.75" customHeight="1">
      <c r="A29" s="2565"/>
      <c r="C29" s="881"/>
      <c r="D29" s="878" t="s">
        <v>840</v>
      </c>
      <c r="E29" s="489" t="s">
        <v>833</v>
      </c>
      <c r="F29" s="875" t="s">
        <v>841</v>
      </c>
      <c r="G29" s="616"/>
      <c r="H29" s="622"/>
      <c r="I29" s="616"/>
      <c r="J29" s="622"/>
      <c r="K29" s="873"/>
      <c r="L29" s="656"/>
      <c r="W29" s="611"/>
      <c r="X29" s="692">
        <v>0</v>
      </c>
    </row>
    <row r="30" spans="1:24" s="2062" customFormat="1" ht="18.75" customHeight="1">
      <c r="A30" s="2565"/>
      <c r="C30" s="881"/>
      <c r="D30" s="878" t="s">
        <v>842</v>
      </c>
      <c r="E30" s="489" t="s">
        <v>843</v>
      </c>
      <c r="F30" s="875" t="s">
        <v>844</v>
      </c>
      <c r="G30" s="616"/>
      <c r="H30" s="622"/>
      <c r="I30" s="616"/>
      <c r="J30" s="622"/>
      <c r="K30" s="873"/>
      <c r="L30" s="656"/>
      <c r="W30" s="611"/>
      <c r="X30" s="692">
        <v>0</v>
      </c>
    </row>
    <row r="31" spans="1:24" ht="126.75" customHeight="1">
      <c r="A31" s="2565"/>
      <c r="D31" s="878" t="s">
        <v>110</v>
      </c>
      <c r="E31" s="216" t="s">
        <v>845</v>
      </c>
      <c r="F31" s="596" t="s">
        <v>555</v>
      </c>
      <c r="G31" s="493"/>
      <c r="H31" s="598"/>
      <c r="I31" s="493"/>
      <c r="J31" s="598"/>
      <c r="K31" s="226" t="s">
        <v>846</v>
      </c>
      <c r="L31" s="656"/>
      <c r="X31" s="441">
        <v>0</v>
      </c>
    </row>
    <row r="32" spans="1:24" ht="56.25" customHeight="1">
      <c r="A32" s="2565"/>
      <c r="D32" s="878" t="s">
        <v>94</v>
      </c>
      <c r="E32" s="216" t="s">
        <v>847</v>
      </c>
      <c r="F32" s="475" t="s">
        <v>817</v>
      </c>
      <c r="G32" s="493"/>
      <c r="H32" s="598"/>
      <c r="I32" s="493"/>
      <c r="J32" s="598"/>
      <c r="K32" s="226" t="s">
        <v>848</v>
      </c>
      <c r="L32" s="656"/>
      <c r="X32" s="441">
        <v>0</v>
      </c>
    </row>
    <row r="33" spans="1:24" ht="11.25" customHeight="1">
      <c r="A33" s="2565"/>
      <c r="E33" s="600"/>
      <c r="F33" s="118"/>
      <c r="G33" s="118"/>
      <c r="H33" s="118"/>
      <c r="I33" s="118"/>
      <c r="J33" s="118"/>
      <c r="K33" s="118"/>
      <c r="X33" s="441">
        <v>0</v>
      </c>
    </row>
    <row r="34" spans="1:24" ht="12.75" customHeight="1">
      <c r="A34" s="2565"/>
      <c r="D34" s="5">
        <v>1</v>
      </c>
      <c r="E34" s="272" t="s">
        <v>849</v>
      </c>
      <c r="X34" s="441">
        <v>0</v>
      </c>
    </row>
    <row r="35" spans="1:24" ht="11.25" customHeight="1">
      <c r="A35" s="2565"/>
      <c r="D35" s="305"/>
      <c r="E35" s="272" t="s">
        <v>850</v>
      </c>
      <c r="X35" s="441">
        <v>0</v>
      </c>
    </row>
    <row r="36" spans="1:24" s="2062" customFormat="1" ht="11.45" customHeight="1">
      <c r="A36" s="956"/>
      <c r="B36" s="454"/>
      <c r="D36" s="957"/>
      <c r="E36" s="958"/>
      <c r="X36" s="445">
        <v>11</v>
      </c>
    </row>
    <row r="37" spans="1:24" s="2062" customFormat="1" ht="22.5" hidden="1" customHeight="1">
      <c r="A37" s="2565" t="s">
        <v>851</v>
      </c>
      <c r="B37" s="447"/>
      <c r="D37" s="878">
        <v>1</v>
      </c>
      <c r="E37" s="643" t="s">
        <v>852</v>
      </c>
      <c r="F37" s="596" t="s">
        <v>807</v>
      </c>
      <c r="G37" s="493"/>
      <c r="H37" s="455"/>
      <c r="I37" s="493"/>
      <c r="J37" s="455"/>
      <c r="K37" s="226" t="s">
        <v>853</v>
      </c>
      <c r="X37" s="692">
        <v>0</v>
      </c>
    </row>
    <row r="38" spans="1:24" s="2062" customFormat="1" ht="22.5" hidden="1" customHeight="1">
      <c r="A38" s="2565"/>
      <c r="B38" s="447"/>
      <c r="D38" s="605" t="s">
        <v>109</v>
      </c>
      <c r="E38" s="955" t="s">
        <v>854</v>
      </c>
      <c r="F38" s="959" t="s">
        <v>543</v>
      </c>
      <c r="G38" s="959" t="s">
        <v>543</v>
      </c>
      <c r="H38" s="953"/>
      <c r="I38" s="959" t="s">
        <v>543</v>
      </c>
      <c r="J38" s="953"/>
      <c r="K38" s="954"/>
      <c r="X38" s="692">
        <v>0</v>
      </c>
    </row>
    <row r="39" spans="1:24" s="2062" customFormat="1" ht="33.75" hidden="1" customHeight="1">
      <c r="A39" s="2565"/>
      <c r="B39" s="447"/>
      <c r="D39" s="601" t="s">
        <v>709</v>
      </c>
      <c r="E39" s="659" t="s">
        <v>855</v>
      </c>
      <c r="F39" s="596" t="s">
        <v>856</v>
      </c>
      <c r="G39" s="604"/>
      <c r="H39" s="946"/>
      <c r="I39" s="604"/>
      <c r="J39" s="946"/>
      <c r="K39" s="226" t="s">
        <v>857</v>
      </c>
      <c r="X39" s="692">
        <v>0</v>
      </c>
    </row>
    <row r="40" spans="1:24" s="2062" customFormat="1" ht="33.75" hidden="1" customHeight="1">
      <c r="A40" s="2565"/>
      <c r="B40" s="447"/>
      <c r="D40" s="601" t="s">
        <v>712</v>
      </c>
      <c r="E40" s="659" t="s">
        <v>858</v>
      </c>
      <c r="F40" s="950" t="s">
        <v>859</v>
      </c>
      <c r="G40" s="677"/>
      <c r="H40" s="946"/>
      <c r="I40" s="677"/>
      <c r="J40" s="946"/>
      <c r="K40" s="226" t="s">
        <v>860</v>
      </c>
      <c r="X40" s="692">
        <v>0</v>
      </c>
    </row>
    <row r="41" spans="1:24" s="2062" customFormat="1" ht="22.5" hidden="1" customHeight="1">
      <c r="A41" s="2565"/>
      <c r="B41" s="447"/>
      <c r="D41" s="601" t="s">
        <v>92</v>
      </c>
      <c r="E41" s="658" t="s">
        <v>861</v>
      </c>
      <c r="F41" s="596" t="s">
        <v>543</v>
      </c>
      <c r="G41" s="596" t="s">
        <v>543</v>
      </c>
      <c r="H41" s="947"/>
      <c r="I41" s="596" t="s">
        <v>543</v>
      </c>
      <c r="J41" s="947"/>
      <c r="K41" s="239"/>
      <c r="X41" s="692">
        <v>0</v>
      </c>
    </row>
    <row r="42" spans="1:24" s="2062" customFormat="1" ht="45" hidden="1" customHeight="1">
      <c r="A42" s="2565"/>
      <c r="B42" s="447"/>
      <c r="D42" s="601" t="s">
        <v>321</v>
      </c>
      <c r="E42" s="659" t="s">
        <v>862</v>
      </c>
      <c r="F42" s="596" t="s">
        <v>555</v>
      </c>
      <c r="G42" s="493"/>
      <c r="H42" s="947"/>
      <c r="I42" s="493"/>
      <c r="J42" s="947"/>
      <c r="K42" s="239" t="s">
        <v>863</v>
      </c>
      <c r="X42" s="692">
        <v>0</v>
      </c>
    </row>
    <row r="43" spans="1:24" s="2062" customFormat="1" ht="45" hidden="1" customHeight="1">
      <c r="A43" s="2565"/>
      <c r="B43" s="447"/>
      <c r="D43" s="601" t="s">
        <v>329</v>
      </c>
      <c r="E43" s="603" t="s">
        <v>864</v>
      </c>
      <c r="F43" s="951" t="s">
        <v>555</v>
      </c>
      <c r="G43" s="678"/>
      <c r="H43" s="946"/>
      <c r="I43" s="678"/>
      <c r="J43" s="946"/>
      <c r="K43" s="239" t="s">
        <v>865</v>
      </c>
      <c r="X43" s="692">
        <v>0</v>
      </c>
    </row>
    <row r="44" spans="1:24" s="2062" customFormat="1" ht="11.25" hidden="1" customHeight="1">
      <c r="A44" s="2565"/>
      <c r="B44" s="447"/>
      <c r="D44" s="601" t="s">
        <v>93</v>
      </c>
      <c r="E44" s="602" t="s">
        <v>866</v>
      </c>
      <c r="F44" s="596" t="s">
        <v>856</v>
      </c>
      <c r="G44" s="604"/>
      <c r="H44" s="946"/>
      <c r="I44" s="604"/>
      <c r="J44" s="946"/>
      <c r="K44" s="226"/>
      <c r="X44" s="692">
        <v>0</v>
      </c>
    </row>
    <row r="45" spans="1:24" s="2062" customFormat="1" ht="11.25" hidden="1" customHeight="1">
      <c r="A45" s="2565"/>
      <c r="B45" s="447"/>
      <c r="D45" s="601" t="s">
        <v>751</v>
      </c>
      <c r="E45" s="603" t="s">
        <v>867</v>
      </c>
      <c r="F45" s="596" t="s">
        <v>856</v>
      </c>
      <c r="G45" s="604"/>
      <c r="H45" s="946"/>
      <c r="I45" s="604"/>
      <c r="J45" s="946"/>
      <c r="K45" s="226"/>
      <c r="X45" s="692">
        <v>0</v>
      </c>
    </row>
    <row r="46" spans="1:24" s="2062" customFormat="1" ht="11.25" hidden="1" customHeight="1">
      <c r="A46" s="2565"/>
      <c r="B46" s="447"/>
      <c r="D46" s="601" t="s">
        <v>793</v>
      </c>
      <c r="E46" s="603" t="s">
        <v>868</v>
      </c>
      <c r="F46" s="596" t="s">
        <v>856</v>
      </c>
      <c r="G46" s="604"/>
      <c r="H46" s="946"/>
      <c r="I46" s="604"/>
      <c r="J46" s="946"/>
      <c r="K46" s="226"/>
      <c r="X46" s="692">
        <v>0</v>
      </c>
    </row>
    <row r="47" spans="1:24" s="2062" customFormat="1" ht="11.25" hidden="1" customHeight="1">
      <c r="A47" s="2565"/>
      <c r="B47" s="447"/>
      <c r="D47" s="601" t="s">
        <v>796</v>
      </c>
      <c r="E47" s="603" t="s">
        <v>869</v>
      </c>
      <c r="F47" s="596" t="s">
        <v>856</v>
      </c>
      <c r="G47" s="604"/>
      <c r="H47" s="946"/>
      <c r="I47" s="604"/>
      <c r="J47" s="946"/>
      <c r="K47" s="226"/>
      <c r="X47" s="692">
        <v>0</v>
      </c>
    </row>
    <row r="48" spans="1:24" s="2062" customFormat="1" ht="11.25" hidden="1" customHeight="1">
      <c r="A48" s="2565"/>
      <c r="B48" s="447"/>
      <c r="D48" s="601" t="s">
        <v>870</v>
      </c>
      <c r="E48" s="607" t="s">
        <v>871</v>
      </c>
      <c r="F48" s="596" t="s">
        <v>856</v>
      </c>
      <c r="G48" s="604"/>
      <c r="H48" s="946"/>
      <c r="I48" s="604"/>
      <c r="J48" s="946"/>
      <c r="K48" s="226"/>
      <c r="X48" s="692">
        <v>0</v>
      </c>
    </row>
    <row r="49" spans="1:24" s="2062" customFormat="1" ht="11.25" hidden="1" customHeight="1">
      <c r="A49" s="2565"/>
      <c r="B49" s="447"/>
      <c r="D49" s="601" t="s">
        <v>872</v>
      </c>
      <c r="E49" s="607" t="s">
        <v>873</v>
      </c>
      <c r="F49" s="596" t="s">
        <v>856</v>
      </c>
      <c r="G49" s="604"/>
      <c r="H49" s="946"/>
      <c r="I49" s="604"/>
      <c r="J49" s="946"/>
      <c r="K49" s="226"/>
      <c r="X49" s="692">
        <v>0</v>
      </c>
    </row>
    <row r="50" spans="1:24" s="2062" customFormat="1" ht="11.25" hidden="1" customHeight="1">
      <c r="A50" s="2565"/>
      <c r="B50" s="447"/>
      <c r="D50" s="601" t="s">
        <v>874</v>
      </c>
      <c r="E50" s="603" t="s">
        <v>875</v>
      </c>
      <c r="F50" s="596" t="s">
        <v>856</v>
      </c>
      <c r="G50" s="604"/>
      <c r="H50" s="946"/>
      <c r="I50" s="604"/>
      <c r="J50" s="946"/>
      <c r="K50" s="226"/>
      <c r="X50" s="692">
        <v>0</v>
      </c>
    </row>
    <row r="51" spans="1:24" s="2062" customFormat="1" ht="11.25" hidden="1" customHeight="1">
      <c r="A51" s="2565"/>
      <c r="B51" s="447"/>
      <c r="D51" s="601" t="s">
        <v>876</v>
      </c>
      <c r="E51" s="603" t="s">
        <v>877</v>
      </c>
      <c r="F51" s="596" t="s">
        <v>856</v>
      </c>
      <c r="G51" s="604"/>
      <c r="H51" s="946"/>
      <c r="I51" s="604"/>
      <c r="J51" s="946"/>
      <c r="K51" s="226"/>
      <c r="X51" s="692">
        <v>0</v>
      </c>
    </row>
    <row r="52" spans="1:24" s="2062" customFormat="1" ht="45" hidden="1" customHeight="1">
      <c r="A52" s="2565"/>
      <c r="B52" s="447"/>
      <c r="D52" s="601" t="s">
        <v>110</v>
      </c>
      <c r="E52" s="602" t="s">
        <v>878</v>
      </c>
      <c r="F52" s="596" t="s">
        <v>856</v>
      </c>
      <c r="G52" s="604"/>
      <c r="H52" s="946"/>
      <c r="I52" s="604"/>
      <c r="J52" s="946"/>
      <c r="K52" s="226"/>
      <c r="X52" s="692">
        <v>0</v>
      </c>
    </row>
    <row r="53" spans="1:24" s="2062" customFormat="1" ht="11.25" hidden="1" customHeight="1">
      <c r="A53" s="2565"/>
      <c r="B53" s="447"/>
      <c r="D53" s="601" t="s">
        <v>310</v>
      </c>
      <c r="E53" s="603" t="s">
        <v>867</v>
      </c>
      <c r="F53" s="596" t="s">
        <v>856</v>
      </c>
      <c r="G53" s="604"/>
      <c r="H53" s="946"/>
      <c r="I53" s="604"/>
      <c r="J53" s="946"/>
      <c r="K53" s="226"/>
      <c r="X53" s="692">
        <v>0</v>
      </c>
    </row>
    <row r="54" spans="1:24" s="2062" customFormat="1" ht="11.25" hidden="1" customHeight="1">
      <c r="A54" s="2565"/>
      <c r="B54" s="447"/>
      <c r="D54" s="601" t="s">
        <v>879</v>
      </c>
      <c r="E54" s="603" t="s">
        <v>868</v>
      </c>
      <c r="F54" s="596" t="s">
        <v>856</v>
      </c>
      <c r="G54" s="604"/>
      <c r="H54" s="946"/>
      <c r="I54" s="604"/>
      <c r="J54" s="946"/>
      <c r="K54" s="226"/>
      <c r="X54" s="692">
        <v>0</v>
      </c>
    </row>
    <row r="55" spans="1:24" s="2062" customFormat="1" ht="11.25" hidden="1" customHeight="1">
      <c r="A55" s="2565"/>
      <c r="B55" s="447"/>
      <c r="D55" s="601" t="s">
        <v>880</v>
      </c>
      <c r="E55" s="603" t="s">
        <v>869</v>
      </c>
      <c r="F55" s="596" t="s">
        <v>856</v>
      </c>
      <c r="G55" s="604"/>
      <c r="H55" s="946"/>
      <c r="I55" s="604"/>
      <c r="J55" s="946"/>
      <c r="K55" s="226"/>
      <c r="X55" s="692">
        <v>0</v>
      </c>
    </row>
    <row r="56" spans="1:24" s="2062" customFormat="1" ht="11.25" hidden="1" customHeight="1">
      <c r="A56" s="2565"/>
      <c r="B56" s="447"/>
      <c r="D56" s="601" t="s">
        <v>881</v>
      </c>
      <c r="E56" s="607" t="s">
        <v>871</v>
      </c>
      <c r="F56" s="596" t="s">
        <v>856</v>
      </c>
      <c r="G56" s="604"/>
      <c r="H56" s="946"/>
      <c r="I56" s="604"/>
      <c r="J56" s="946"/>
      <c r="K56" s="226"/>
      <c r="X56" s="692">
        <v>0</v>
      </c>
    </row>
    <row r="57" spans="1:24" s="2062" customFormat="1" ht="11.25" hidden="1" customHeight="1">
      <c r="A57" s="2565"/>
      <c r="B57" s="447"/>
      <c r="D57" s="601" t="s">
        <v>882</v>
      </c>
      <c r="E57" s="607" t="s">
        <v>873</v>
      </c>
      <c r="F57" s="596" t="s">
        <v>856</v>
      </c>
      <c r="G57" s="604"/>
      <c r="H57" s="946"/>
      <c r="I57" s="604"/>
      <c r="J57" s="946"/>
      <c r="K57" s="226"/>
      <c r="X57" s="692">
        <v>0</v>
      </c>
    </row>
    <row r="58" spans="1:24" s="2062" customFormat="1" ht="11.25" hidden="1" customHeight="1">
      <c r="A58" s="2565"/>
      <c r="B58" s="447"/>
      <c r="D58" s="601" t="s">
        <v>883</v>
      </c>
      <c r="E58" s="603" t="s">
        <v>875</v>
      </c>
      <c r="F58" s="596" t="s">
        <v>856</v>
      </c>
      <c r="G58" s="604"/>
      <c r="H58" s="946"/>
      <c r="I58" s="604"/>
      <c r="J58" s="946"/>
      <c r="K58" s="226"/>
      <c r="X58" s="692">
        <v>0</v>
      </c>
    </row>
    <row r="59" spans="1:24" s="2062" customFormat="1" ht="11.25" hidden="1" customHeight="1">
      <c r="A59" s="2565"/>
      <c r="B59" s="447"/>
      <c r="D59" s="601" t="s">
        <v>884</v>
      </c>
      <c r="E59" s="603" t="s">
        <v>877</v>
      </c>
      <c r="F59" s="596" t="s">
        <v>856</v>
      </c>
      <c r="G59" s="604"/>
      <c r="H59" s="946"/>
      <c r="I59" s="604"/>
      <c r="J59" s="946"/>
      <c r="K59" s="226"/>
      <c r="X59" s="692">
        <v>0</v>
      </c>
    </row>
    <row r="60" spans="1:24" s="2062" customFormat="1" ht="33.75" hidden="1" customHeight="1">
      <c r="A60" s="2565"/>
      <c r="B60" s="447"/>
      <c r="D60" s="601" t="s">
        <v>94</v>
      </c>
      <c r="E60" s="602" t="s">
        <v>885</v>
      </c>
      <c r="F60" s="657" t="s">
        <v>555</v>
      </c>
      <c r="G60" s="678"/>
      <c r="H60" s="946"/>
      <c r="I60" s="678"/>
      <c r="J60" s="946"/>
      <c r="K60" s="239" t="s">
        <v>886</v>
      </c>
      <c r="X60" s="692">
        <v>0</v>
      </c>
    </row>
    <row r="61" spans="1:24" s="2062" customFormat="1" ht="33.75" hidden="1" customHeight="1">
      <c r="A61" s="2565"/>
      <c r="B61" s="447"/>
      <c r="D61" s="601" t="s">
        <v>95</v>
      </c>
      <c r="E61" s="602" t="s">
        <v>887</v>
      </c>
      <c r="F61" s="662" t="s">
        <v>817</v>
      </c>
      <c r="G61" s="604"/>
      <c r="H61" s="946"/>
      <c r="I61" s="604"/>
      <c r="J61" s="946"/>
      <c r="K61" s="226"/>
      <c r="X61" s="692">
        <v>0</v>
      </c>
    </row>
    <row r="62" spans="1:24" s="2062" customFormat="1" ht="22.5" hidden="1" customHeight="1">
      <c r="A62" s="2565"/>
      <c r="B62" s="447" t="s">
        <v>585</v>
      </c>
      <c r="D62" s="601" t="s">
        <v>111</v>
      </c>
      <c r="E62" s="602" t="s">
        <v>888</v>
      </c>
      <c r="F62" s="662" t="s">
        <v>303</v>
      </c>
      <c r="G62" s="318"/>
      <c r="H62" s="946"/>
      <c r="I62" s="318"/>
      <c r="J62" s="946"/>
      <c r="K62" s="226" t="s">
        <v>628</v>
      </c>
      <c r="X62" s="692">
        <v>0</v>
      </c>
    </row>
    <row r="63" spans="1:24" s="2062" customFormat="1" ht="45" hidden="1" customHeight="1">
      <c r="A63" s="2565"/>
      <c r="B63" s="447" t="s">
        <v>585</v>
      </c>
      <c r="D63" s="601" t="s">
        <v>889</v>
      </c>
      <c r="E63" s="603" t="s">
        <v>890</v>
      </c>
      <c r="F63" s="657" t="s">
        <v>303</v>
      </c>
      <c r="G63" s="318"/>
      <c r="H63" s="946"/>
      <c r="I63" s="318"/>
      <c r="J63" s="946"/>
      <c r="K63" s="226" t="s">
        <v>628</v>
      </c>
      <c r="X63" s="692">
        <v>0</v>
      </c>
    </row>
    <row r="64" spans="1:24" s="2062" customFormat="1" ht="11.45" customHeight="1">
      <c r="A64" s="956"/>
      <c r="B64" s="454"/>
      <c r="D64" s="957"/>
      <c r="E64" s="958"/>
      <c r="X64" s="445">
        <v>11</v>
      </c>
    </row>
    <row r="65" spans="1:24" s="2062" customFormat="1" ht="22.5" hidden="1" customHeight="1">
      <c r="A65" s="2565" t="s">
        <v>891</v>
      </c>
      <c r="B65" s="447"/>
      <c r="D65" s="601">
        <v>1</v>
      </c>
      <c r="E65" s="680" t="s">
        <v>892</v>
      </c>
      <c r="F65" s="676" t="s">
        <v>807</v>
      </c>
      <c r="G65" s="677"/>
      <c r="H65" s="952"/>
      <c r="I65" s="677"/>
      <c r="J65" s="952"/>
      <c r="K65" s="238" t="s">
        <v>893</v>
      </c>
      <c r="X65" s="692">
        <v>0</v>
      </c>
    </row>
    <row r="66" spans="1:24" s="2062" customFormat="1" ht="56.25" hidden="1" customHeight="1">
      <c r="A66" s="2565"/>
      <c r="B66" s="447"/>
      <c r="D66" s="679" t="s">
        <v>109</v>
      </c>
      <c r="E66" s="643" t="s">
        <v>894</v>
      </c>
      <c r="F66" s="596" t="s">
        <v>543</v>
      </c>
      <c r="G66" s="596" t="s">
        <v>543</v>
      </c>
      <c r="H66" s="455"/>
      <c r="I66" s="596" t="s">
        <v>543</v>
      </c>
      <c r="J66" s="455"/>
      <c r="K66" s="226"/>
      <c r="X66" s="692">
        <v>0</v>
      </c>
    </row>
    <row r="67" spans="1:24" s="2062" customFormat="1" ht="33.75" hidden="1" customHeight="1">
      <c r="A67" s="2565"/>
      <c r="B67" s="447"/>
      <c r="D67" s="679" t="s">
        <v>706</v>
      </c>
      <c r="E67" s="879" t="s">
        <v>895</v>
      </c>
      <c r="F67" s="596" t="s">
        <v>859</v>
      </c>
      <c r="G67" s="663"/>
      <c r="H67" s="455"/>
      <c r="I67" s="663"/>
      <c r="J67" s="455"/>
      <c r="K67" s="226"/>
      <c r="X67" s="692">
        <v>0</v>
      </c>
    </row>
    <row r="68" spans="1:24" s="2062" customFormat="1" ht="22.5" hidden="1" customHeight="1">
      <c r="A68" s="2565"/>
      <c r="B68" s="447"/>
      <c r="D68" s="679" t="s">
        <v>304</v>
      </c>
      <c r="E68" s="879" t="s">
        <v>896</v>
      </c>
      <c r="F68" s="596" t="s">
        <v>859</v>
      </c>
      <c r="G68" s="663"/>
      <c r="H68" s="455"/>
      <c r="I68" s="663"/>
      <c r="J68" s="455"/>
      <c r="K68" s="226"/>
      <c r="X68" s="692">
        <v>0</v>
      </c>
    </row>
    <row r="69" spans="1:24" s="2062" customFormat="1" ht="22.5" hidden="1" customHeight="1">
      <c r="A69" s="2565"/>
      <c r="B69" s="447"/>
      <c r="D69" s="679" t="s">
        <v>307</v>
      </c>
      <c r="E69" s="879" t="s">
        <v>897</v>
      </c>
      <c r="F69" s="657" t="s">
        <v>555</v>
      </c>
      <c r="G69" s="678"/>
      <c r="H69" s="455"/>
      <c r="I69" s="678"/>
      <c r="J69" s="455"/>
      <c r="K69" s="226"/>
      <c r="X69" s="692">
        <v>0</v>
      </c>
    </row>
    <row r="70" spans="1:24" s="2062" customFormat="1" ht="22.5" hidden="1" customHeight="1">
      <c r="A70" s="2565"/>
      <c r="B70" s="447"/>
      <c r="D70" s="679" t="s">
        <v>726</v>
      </c>
      <c r="E70" s="879" t="s">
        <v>898</v>
      </c>
      <c r="F70" s="657" t="s">
        <v>555</v>
      </c>
      <c r="G70" s="678"/>
      <c r="H70" s="455"/>
      <c r="I70" s="678"/>
      <c r="J70" s="455"/>
      <c r="K70" s="226"/>
      <c r="X70" s="692">
        <v>0</v>
      </c>
    </row>
    <row r="71" spans="1:24" s="2062" customFormat="1" ht="22.5" hidden="1" customHeight="1">
      <c r="A71" s="2565"/>
      <c r="B71" s="447"/>
      <c r="D71" s="601" t="s">
        <v>92</v>
      </c>
      <c r="E71" s="602" t="s">
        <v>899</v>
      </c>
      <c r="F71" s="596" t="s">
        <v>859</v>
      </c>
      <c r="G71" s="493"/>
      <c r="H71" s="953"/>
      <c r="I71" s="493"/>
      <c r="J71" s="953"/>
      <c r="K71" s="239"/>
      <c r="X71" s="692">
        <v>0</v>
      </c>
    </row>
    <row r="72" spans="1:24" s="2062" customFormat="1" ht="56.25" hidden="1" customHeight="1">
      <c r="A72" s="2565"/>
      <c r="B72" s="447"/>
      <c r="D72" s="601" t="s">
        <v>93</v>
      </c>
      <c r="E72" s="602" t="s">
        <v>900</v>
      </c>
      <c r="F72" s="657" t="s">
        <v>555</v>
      </c>
      <c r="G72" s="678"/>
      <c r="H72" s="946"/>
      <c r="I72" s="678"/>
      <c r="J72" s="946"/>
      <c r="K72" s="239"/>
      <c r="X72" s="692">
        <v>0</v>
      </c>
    </row>
    <row r="73" spans="1:24" s="2062" customFormat="1" ht="33.75" hidden="1" customHeight="1">
      <c r="A73" s="2565"/>
      <c r="B73" s="447"/>
      <c r="D73" s="601" t="s">
        <v>110</v>
      </c>
      <c r="E73" s="602" t="s">
        <v>901</v>
      </c>
      <c r="F73" s="662" t="s">
        <v>817</v>
      </c>
      <c r="G73" s="604"/>
      <c r="H73" s="946"/>
      <c r="I73" s="604"/>
      <c r="J73" s="946"/>
      <c r="K73" s="226"/>
      <c r="X73" s="692">
        <v>0</v>
      </c>
    </row>
    <row r="74" spans="1:24" s="2062" customFormat="1" ht="22.5" hidden="1" customHeight="1">
      <c r="A74" s="2565"/>
      <c r="B74" s="447" t="s">
        <v>585</v>
      </c>
      <c r="D74" s="601" t="s">
        <v>94</v>
      </c>
      <c r="E74" s="602" t="s">
        <v>902</v>
      </c>
      <c r="F74" s="662" t="s">
        <v>303</v>
      </c>
      <c r="G74" s="318"/>
      <c r="H74" s="946"/>
      <c r="I74" s="318"/>
      <c r="J74" s="946"/>
      <c r="K74" s="226" t="s">
        <v>628</v>
      </c>
      <c r="X74" s="692">
        <v>0</v>
      </c>
    </row>
    <row r="75" spans="1:24" s="2062" customFormat="1" ht="45" hidden="1" customHeight="1">
      <c r="A75" s="2565"/>
      <c r="B75" s="447" t="s">
        <v>585</v>
      </c>
      <c r="D75" s="601" t="s">
        <v>649</v>
      </c>
      <c r="E75" s="603" t="s">
        <v>903</v>
      </c>
      <c r="F75" s="657" t="s">
        <v>303</v>
      </c>
      <c r="G75" s="318"/>
      <c r="H75" s="946"/>
      <c r="I75" s="318"/>
      <c r="J75" s="946"/>
      <c r="K75" s="226" t="s">
        <v>628</v>
      </c>
      <c r="X75" s="692">
        <v>0</v>
      </c>
    </row>
    <row r="76" spans="1:24" s="2062" customFormat="1" ht="11.45" customHeight="1">
      <c r="A76" s="956"/>
      <c r="B76" s="454"/>
      <c r="D76" s="957"/>
      <c r="E76" s="958"/>
      <c r="X76" s="445">
        <v>11</v>
      </c>
    </row>
    <row r="77" spans="1:24" s="2062" customFormat="1" ht="11.25" hidden="1" customHeight="1">
      <c r="A77" s="2565" t="s">
        <v>904</v>
      </c>
      <c r="B77" s="447"/>
      <c r="D77" s="601">
        <v>1</v>
      </c>
      <c r="E77" s="602" t="s">
        <v>905</v>
      </c>
      <c r="F77" s="657" t="s">
        <v>807</v>
      </c>
      <c r="G77" s="660"/>
      <c r="H77" s="946"/>
      <c r="I77" s="660"/>
      <c r="J77" s="946"/>
      <c r="K77" s="226" t="s">
        <v>906</v>
      </c>
      <c r="X77" s="692">
        <v>0</v>
      </c>
    </row>
    <row r="78" spans="1:24" s="2062" customFormat="1" ht="11.25" hidden="1" customHeight="1">
      <c r="A78" s="2565"/>
      <c r="B78" s="447"/>
      <c r="D78" s="601" t="s">
        <v>109</v>
      </c>
      <c r="E78" s="602" t="s">
        <v>907</v>
      </c>
      <c r="F78" s="657" t="s">
        <v>807</v>
      </c>
      <c r="G78" s="660"/>
      <c r="H78" s="946"/>
      <c r="I78" s="660"/>
      <c r="J78" s="946"/>
      <c r="K78" s="226" t="s">
        <v>908</v>
      </c>
      <c r="X78" s="692">
        <v>0</v>
      </c>
    </row>
    <row r="79" spans="1:24" s="2062" customFormat="1" ht="22.5" hidden="1" customHeight="1">
      <c r="A79" s="2565"/>
      <c r="B79" s="447"/>
      <c r="D79" s="601" t="s">
        <v>92</v>
      </c>
      <c r="E79" s="658" t="s">
        <v>909</v>
      </c>
      <c r="F79" s="596" t="s">
        <v>856</v>
      </c>
      <c r="G79" s="660"/>
      <c r="H79" s="946"/>
      <c r="I79" s="660"/>
      <c r="J79" s="946"/>
      <c r="K79" s="226" t="s">
        <v>910</v>
      </c>
      <c r="X79" s="692">
        <v>0</v>
      </c>
    </row>
    <row r="80" spans="1:24" s="2062" customFormat="1" ht="11.25" hidden="1" customHeight="1">
      <c r="A80" s="2565"/>
      <c r="B80" s="447"/>
      <c r="D80" s="601" t="s">
        <v>321</v>
      </c>
      <c r="E80" s="659" t="s">
        <v>911</v>
      </c>
      <c r="F80" s="596" t="s">
        <v>856</v>
      </c>
      <c r="G80" s="660"/>
      <c r="H80" s="946"/>
      <c r="I80" s="660"/>
      <c r="J80" s="946"/>
      <c r="K80" s="226"/>
      <c r="X80" s="692">
        <v>0</v>
      </c>
    </row>
    <row r="81" spans="1:24" s="2062" customFormat="1" ht="11.25" hidden="1" customHeight="1">
      <c r="A81" s="2565"/>
      <c r="B81" s="447"/>
      <c r="D81" s="601" t="s">
        <v>329</v>
      </c>
      <c r="E81" s="659" t="s">
        <v>912</v>
      </c>
      <c r="F81" s="596" t="s">
        <v>856</v>
      </c>
      <c r="G81" s="660"/>
      <c r="H81" s="946"/>
      <c r="I81" s="660"/>
      <c r="J81" s="946"/>
      <c r="K81" s="226"/>
      <c r="X81" s="692">
        <v>0</v>
      </c>
    </row>
    <row r="82" spans="1:24" s="2062" customFormat="1" ht="11.25" hidden="1" customHeight="1">
      <c r="A82" s="2565"/>
      <c r="B82" s="447"/>
      <c r="D82" s="601" t="s">
        <v>331</v>
      </c>
      <c r="E82" s="659" t="s">
        <v>913</v>
      </c>
      <c r="F82" s="596" t="s">
        <v>856</v>
      </c>
      <c r="G82" s="660"/>
      <c r="H82" s="946"/>
      <c r="I82" s="660"/>
      <c r="J82" s="946"/>
      <c r="K82" s="226"/>
      <c r="X82" s="692">
        <v>0</v>
      </c>
    </row>
    <row r="83" spans="1:24" s="2062" customFormat="1" ht="11.25" hidden="1" customHeight="1">
      <c r="A83" s="2565"/>
      <c r="B83" s="447"/>
      <c r="D83" s="601" t="s">
        <v>333</v>
      </c>
      <c r="E83" s="659" t="s">
        <v>914</v>
      </c>
      <c r="F83" s="596" t="s">
        <v>856</v>
      </c>
      <c r="G83" s="660"/>
      <c r="H83" s="946"/>
      <c r="I83" s="660"/>
      <c r="J83" s="946"/>
      <c r="K83" s="226"/>
      <c r="X83" s="692">
        <v>0</v>
      </c>
    </row>
    <row r="84" spans="1:24" s="2062" customFormat="1" ht="11.25" hidden="1" customHeight="1">
      <c r="A84" s="2565"/>
      <c r="B84" s="447"/>
      <c r="D84" s="601" t="s">
        <v>915</v>
      </c>
      <c r="E84" s="659" t="s">
        <v>916</v>
      </c>
      <c r="F84" s="596" t="s">
        <v>856</v>
      </c>
      <c r="G84" s="660"/>
      <c r="H84" s="946"/>
      <c r="I84" s="660"/>
      <c r="J84" s="946"/>
      <c r="K84" s="226"/>
      <c r="X84" s="692">
        <v>0</v>
      </c>
    </row>
    <row r="85" spans="1:24" s="2062" customFormat="1" ht="11.25" hidden="1" customHeight="1">
      <c r="A85" s="2565"/>
      <c r="B85" s="447"/>
      <c r="D85" s="601" t="s">
        <v>917</v>
      </c>
      <c r="E85" s="659" t="s">
        <v>918</v>
      </c>
      <c r="F85" s="596" t="s">
        <v>856</v>
      </c>
      <c r="G85" s="660"/>
      <c r="H85" s="946"/>
      <c r="I85" s="660"/>
      <c r="J85" s="946"/>
      <c r="K85" s="226"/>
      <c r="X85" s="692">
        <v>0</v>
      </c>
    </row>
    <row r="86" spans="1:24" s="2062" customFormat="1" ht="11.25" hidden="1" customHeight="1">
      <c r="A86" s="2565"/>
      <c r="B86" s="447"/>
      <c r="D86" s="601" t="s">
        <v>919</v>
      </c>
      <c r="E86" s="659" t="s">
        <v>920</v>
      </c>
      <c r="F86" s="596" t="s">
        <v>856</v>
      </c>
      <c r="G86" s="660"/>
      <c r="H86" s="946"/>
      <c r="I86" s="660"/>
      <c r="J86" s="946"/>
      <c r="K86" s="226"/>
      <c r="X86" s="692">
        <v>0</v>
      </c>
    </row>
    <row r="87" spans="1:24" s="2062" customFormat="1" ht="45" hidden="1" customHeight="1">
      <c r="A87" s="2565"/>
      <c r="B87" s="447"/>
      <c r="D87" s="601" t="s">
        <v>93</v>
      </c>
      <c r="E87" s="602" t="s">
        <v>921</v>
      </c>
      <c r="F87" s="596" t="s">
        <v>856</v>
      </c>
      <c r="G87" s="660"/>
      <c r="H87" s="946"/>
      <c r="I87" s="660"/>
      <c r="J87" s="946"/>
      <c r="K87" s="226" t="s">
        <v>922</v>
      </c>
      <c r="X87" s="692">
        <v>0</v>
      </c>
    </row>
    <row r="88" spans="1:24" s="2062" customFormat="1" ht="11.25" hidden="1" customHeight="1">
      <c r="A88" s="2565"/>
      <c r="B88" s="447"/>
      <c r="D88" s="601" t="s">
        <v>751</v>
      </c>
      <c r="E88" s="659" t="s">
        <v>911</v>
      </c>
      <c r="F88" s="596" t="s">
        <v>856</v>
      </c>
      <c r="G88" s="660"/>
      <c r="H88" s="946"/>
      <c r="I88" s="660"/>
      <c r="J88" s="946"/>
      <c r="K88" s="226"/>
      <c r="X88" s="692">
        <v>0</v>
      </c>
    </row>
    <row r="89" spans="1:24" s="2062" customFormat="1" ht="11.25" hidden="1" customHeight="1">
      <c r="A89" s="2565"/>
      <c r="B89" s="447"/>
      <c r="D89" s="601" t="s">
        <v>793</v>
      </c>
      <c r="E89" s="659" t="s">
        <v>912</v>
      </c>
      <c r="F89" s="596" t="s">
        <v>856</v>
      </c>
      <c r="G89" s="660"/>
      <c r="H89" s="946"/>
      <c r="I89" s="660"/>
      <c r="J89" s="946"/>
      <c r="K89" s="226"/>
      <c r="X89" s="692">
        <v>0</v>
      </c>
    </row>
    <row r="90" spans="1:24" s="2062" customFormat="1" ht="11.25" hidden="1" customHeight="1">
      <c r="A90" s="2565"/>
      <c r="B90" s="447"/>
      <c r="D90" s="601" t="s">
        <v>796</v>
      </c>
      <c r="E90" s="659" t="s">
        <v>913</v>
      </c>
      <c r="F90" s="596" t="s">
        <v>856</v>
      </c>
      <c r="G90" s="660"/>
      <c r="H90" s="946"/>
      <c r="I90" s="660"/>
      <c r="J90" s="946"/>
      <c r="K90" s="226"/>
      <c r="X90" s="692">
        <v>0</v>
      </c>
    </row>
    <row r="91" spans="1:24" s="2062" customFormat="1" ht="11.25" hidden="1" customHeight="1">
      <c r="A91" s="2565"/>
      <c r="B91" s="447"/>
      <c r="D91" s="601" t="s">
        <v>874</v>
      </c>
      <c r="E91" s="659" t="s">
        <v>914</v>
      </c>
      <c r="F91" s="596" t="s">
        <v>856</v>
      </c>
      <c r="G91" s="660"/>
      <c r="H91" s="946"/>
      <c r="I91" s="660"/>
      <c r="J91" s="946"/>
      <c r="K91" s="226"/>
      <c r="X91" s="692">
        <v>0</v>
      </c>
    </row>
    <row r="92" spans="1:24" s="2062" customFormat="1" ht="11.25" hidden="1" customHeight="1">
      <c r="A92" s="2565"/>
      <c r="B92" s="447"/>
      <c r="D92" s="601" t="s">
        <v>876</v>
      </c>
      <c r="E92" s="659" t="s">
        <v>916</v>
      </c>
      <c r="F92" s="596" t="s">
        <v>856</v>
      </c>
      <c r="G92" s="660"/>
      <c r="H92" s="946"/>
      <c r="I92" s="660"/>
      <c r="J92" s="946"/>
      <c r="K92" s="226"/>
      <c r="X92" s="692">
        <v>0</v>
      </c>
    </row>
    <row r="93" spans="1:24" s="2062" customFormat="1" ht="11.25" hidden="1" customHeight="1">
      <c r="A93" s="2565"/>
      <c r="B93" s="447"/>
      <c r="D93" s="601" t="s">
        <v>923</v>
      </c>
      <c r="E93" s="659" t="s">
        <v>918</v>
      </c>
      <c r="F93" s="596" t="s">
        <v>856</v>
      </c>
      <c r="G93" s="660"/>
      <c r="H93" s="946"/>
      <c r="I93" s="660"/>
      <c r="J93" s="946"/>
      <c r="K93" s="226"/>
      <c r="X93" s="692">
        <v>0</v>
      </c>
    </row>
    <row r="94" spans="1:24" s="2062" customFormat="1" ht="11.25" hidden="1" customHeight="1">
      <c r="A94" s="2565"/>
      <c r="B94" s="447"/>
      <c r="D94" s="601" t="s">
        <v>924</v>
      </c>
      <c r="E94" s="659" t="s">
        <v>920</v>
      </c>
      <c r="F94" s="596" t="s">
        <v>856</v>
      </c>
      <c r="G94" s="660"/>
      <c r="H94" s="946"/>
      <c r="I94" s="660"/>
      <c r="J94" s="946"/>
      <c r="K94" s="226"/>
      <c r="X94" s="692">
        <v>0</v>
      </c>
    </row>
    <row r="95" spans="1:24" s="2062" customFormat="1" ht="24.75" hidden="1" customHeight="1">
      <c r="A95" s="2565"/>
      <c r="B95" s="447"/>
      <c r="D95" s="601" t="s">
        <v>110</v>
      </c>
      <c r="E95" s="602" t="s">
        <v>925</v>
      </c>
      <c r="F95" s="661" t="s">
        <v>555</v>
      </c>
      <c r="G95" s="663"/>
      <c r="H95" s="946"/>
      <c r="I95" s="663"/>
      <c r="J95" s="946"/>
      <c r="K95" s="226" t="s">
        <v>926</v>
      </c>
      <c r="X95" s="692">
        <v>0</v>
      </c>
    </row>
    <row r="96" spans="1:24" s="2062" customFormat="1" ht="33.75" hidden="1" customHeight="1">
      <c r="A96" s="2565"/>
      <c r="B96" s="447"/>
      <c r="D96" s="601" t="s">
        <v>94</v>
      </c>
      <c r="E96" s="602" t="s">
        <v>927</v>
      </c>
      <c r="F96" s="662" t="s">
        <v>817</v>
      </c>
      <c r="G96" s="664"/>
      <c r="H96" s="946"/>
      <c r="I96" s="664"/>
      <c r="J96" s="946"/>
      <c r="K96" s="226"/>
      <c r="X96" s="692">
        <v>0</v>
      </c>
    </row>
    <row r="97" spans="1:24" s="2062" customFormat="1" ht="22.5" hidden="1" customHeight="1">
      <c r="A97" s="2565"/>
      <c r="B97" s="447" t="s">
        <v>585</v>
      </c>
      <c r="D97" s="601" t="s">
        <v>95</v>
      </c>
      <c r="E97" s="602" t="s">
        <v>928</v>
      </c>
      <c r="F97" s="662" t="s">
        <v>303</v>
      </c>
      <c r="G97" s="321"/>
      <c r="H97" s="946"/>
      <c r="I97" s="321"/>
      <c r="J97" s="946"/>
      <c r="K97" s="226" t="s">
        <v>628</v>
      </c>
      <c r="X97" s="692">
        <v>0</v>
      </c>
    </row>
    <row r="98" spans="1:24" s="2062" customFormat="1" ht="45" hidden="1" customHeight="1">
      <c r="A98" s="2565"/>
      <c r="B98" s="447" t="s">
        <v>585</v>
      </c>
      <c r="D98" s="601" t="s">
        <v>929</v>
      </c>
      <c r="E98" s="603" t="s">
        <v>930</v>
      </c>
      <c r="F98" s="657" t="s">
        <v>303</v>
      </c>
      <c r="G98" s="321"/>
      <c r="H98" s="946"/>
      <c r="I98" s="321"/>
      <c r="J98" s="946"/>
      <c r="K98" s="226" t="s">
        <v>628</v>
      </c>
      <c r="X98" s="692">
        <v>0</v>
      </c>
    </row>
    <row r="99" spans="1:24" s="2062" customFormat="1" ht="95.25" hidden="1" customHeight="1">
      <c r="A99" s="2565"/>
      <c r="B99" s="447" t="s">
        <v>585</v>
      </c>
      <c r="D99" s="601" t="s">
        <v>111</v>
      </c>
      <c r="E99" s="602" t="s">
        <v>931</v>
      </c>
      <c r="F99" s="657" t="s">
        <v>303</v>
      </c>
      <c r="G99" s="321"/>
      <c r="H99" s="946"/>
      <c r="I99" s="321"/>
      <c r="J99" s="946"/>
      <c r="K99" s="226" t="s">
        <v>628</v>
      </c>
      <c r="X99" s="692">
        <v>0</v>
      </c>
    </row>
    <row r="100" spans="1:24" s="2062" customFormat="1" ht="22.5" hidden="1" customHeight="1">
      <c r="A100" s="2565"/>
      <c r="B100" s="447" t="s">
        <v>585</v>
      </c>
      <c r="D100" s="601" t="s">
        <v>147</v>
      </c>
      <c r="E100" s="602" t="s">
        <v>932</v>
      </c>
      <c r="F100" s="657" t="s">
        <v>303</v>
      </c>
      <c r="G100" s="321"/>
      <c r="H100" s="946"/>
      <c r="I100" s="321"/>
      <c r="J100" s="946"/>
      <c r="K100" s="226" t="s">
        <v>628</v>
      </c>
      <c r="X100" s="692">
        <v>0</v>
      </c>
    </row>
    <row r="101" spans="1:24" s="2062"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98" hidden="1" customWidth="1"/>
    <col min="2" max="2" width="2" style="2098" hidden="1" customWidth="1"/>
    <col min="3" max="3" width="3" style="2098" customWidth="1"/>
    <col min="4" max="4" width="4" style="2098" customWidth="1"/>
    <col min="5" max="5" width="44" style="2098" customWidth="1"/>
    <col min="6" max="6" width="6.42578125" style="2098" customWidth="1"/>
    <col min="7" max="7" width="4" style="2098" customWidth="1"/>
    <col min="8" max="8" width="5" style="2098" customWidth="1"/>
    <col min="9" max="9" width="52" style="2098" customWidth="1"/>
    <col min="10" max="10" width="7" style="2098" customWidth="1"/>
    <col min="11" max="11" width="3" style="2098" customWidth="1"/>
    <col min="12" max="12" width="6" style="2098" customWidth="1"/>
    <col min="13" max="13" width="56" style="2098" customWidth="1"/>
    <col min="14" max="14" width="8" style="2027" customWidth="1"/>
    <col min="15" max="20" width="9.140625" style="2057" hidden="1"/>
    <col min="21" max="24" width="9.140625" style="2065" hidden="1"/>
    <col min="25" max="37" width="9.140625" style="2027" hidden="1"/>
    <col min="38" max="38" width="8" style="2027" customWidth="1"/>
    <col min="39" max="39" width="9.140625" style="209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21" t="str">
        <f>Титульный!E5</f>
        <v>Информация об инвестиционных программах регулируемой организации в области теплоснабжения</v>
      </c>
      <c r="E4" s="2322"/>
      <c r="F4" s="2322"/>
      <c r="G4" s="2322"/>
      <c r="H4" s="2322"/>
      <c r="I4" s="2323"/>
      <c r="J4" s="520"/>
      <c r="K4" s="520"/>
      <c r="L4" s="520"/>
      <c r="M4" s="520"/>
      <c r="AM4" s="519">
        <v>34</v>
      </c>
    </row>
    <row r="5" spans="1:39" s="2011" customFormat="1" ht="14.65" customHeight="1">
      <c r="A5" s="521"/>
      <c r="B5" s="521"/>
      <c r="C5" s="521"/>
      <c r="D5" s="2324" t="str">
        <f>IF(org=0,"Не определено",org)</f>
        <v>ПАО "ТГК-1" филиал "Невский"</v>
      </c>
      <c r="E5" s="2325"/>
      <c r="F5" s="2325"/>
      <c r="G5" s="2325"/>
      <c r="H5" s="2325"/>
      <c r="I5" s="2326"/>
      <c r="J5" s="522"/>
      <c r="K5" s="522"/>
      <c r="L5" s="522"/>
      <c r="M5" s="522"/>
      <c r="N5" s="522"/>
      <c r="O5" s="796"/>
      <c r="P5" s="796"/>
      <c r="Q5" s="796"/>
      <c r="R5" s="796"/>
      <c r="S5" s="796"/>
      <c r="T5" s="796"/>
      <c r="U5" s="1179"/>
      <c r="V5" s="1179"/>
      <c r="W5" s="1179"/>
      <c r="X5" s="1179"/>
      <c r="Y5" s="522"/>
      <c r="Z5" s="522"/>
      <c r="AA5" s="522"/>
      <c r="AB5" s="522"/>
      <c r="AC5" s="522"/>
      <c r="AD5" s="522"/>
      <c r="AE5" s="522"/>
      <c r="AF5" s="522"/>
      <c r="AG5" s="522"/>
      <c r="AH5" s="522"/>
      <c r="AI5" s="522"/>
      <c r="AJ5" s="522"/>
      <c r="AK5" s="522"/>
      <c r="AL5" s="522"/>
      <c r="AM5" s="523">
        <v>14</v>
      </c>
    </row>
    <row r="6" spans="1:39" s="2011" customFormat="1" ht="6.4" customHeight="1">
      <c r="A6" s="2313"/>
      <c r="B6" s="2313"/>
      <c r="C6" s="2313"/>
      <c r="D6" s="2313"/>
      <c r="E6" s="2313"/>
      <c r="F6" s="2313"/>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3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32"/>
      <c r="G7" s="2332"/>
      <c r="H7" s="2332"/>
      <c r="I7" s="2332"/>
      <c r="J7" s="2332"/>
      <c r="K7" s="2332"/>
      <c r="L7" s="2332"/>
      <c r="M7" s="2332"/>
      <c r="AM7" s="519">
        <v>0</v>
      </c>
    </row>
    <row r="8" spans="1:39" s="2011" customFormat="1" ht="6.4" customHeight="1">
      <c r="A8" s="527"/>
      <c r="B8" s="527"/>
      <c r="C8" s="527"/>
      <c r="D8" s="527"/>
      <c r="E8" s="527"/>
      <c r="F8" s="527"/>
      <c r="G8" s="527"/>
      <c r="H8" s="527"/>
      <c r="I8" s="527"/>
      <c r="J8" s="527"/>
      <c r="K8" s="527"/>
      <c r="L8" s="527"/>
      <c r="M8" s="525"/>
      <c r="N8" s="522"/>
      <c r="O8" s="796"/>
      <c r="P8" s="796"/>
      <c r="Q8" s="796"/>
      <c r="R8" s="796"/>
      <c r="S8" s="796"/>
      <c r="T8" s="796"/>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327"/>
      <c r="B9" s="260"/>
      <c r="C9" s="260"/>
      <c r="D9" s="2328" t="s">
        <v>104</v>
      </c>
      <c r="E9" s="2328"/>
      <c r="F9" s="2329" t="s">
        <v>105</v>
      </c>
      <c r="G9" s="2330"/>
      <c r="H9" s="2330"/>
      <c r="I9" s="2330"/>
      <c r="J9" s="2333" t="s">
        <v>106</v>
      </c>
      <c r="K9" s="2333"/>
      <c r="L9" s="2333"/>
      <c r="M9" s="2333"/>
      <c r="AM9" s="519">
        <v>18</v>
      </c>
    </row>
    <row r="10" spans="1:39" ht="24" customHeight="1">
      <c r="A10" s="2327"/>
      <c r="B10" s="528"/>
      <c r="C10" s="461"/>
      <c r="D10" s="459" t="s">
        <v>90</v>
      </c>
      <c r="E10" s="459" t="s">
        <v>91</v>
      </c>
      <c r="F10" s="459" t="s">
        <v>107</v>
      </c>
      <c r="G10" s="2334" t="s">
        <v>90</v>
      </c>
      <c r="H10" s="2335"/>
      <c r="I10" s="459" t="s">
        <v>91</v>
      </c>
      <c r="J10" s="459" t="s">
        <v>107</v>
      </c>
      <c r="K10" s="2334" t="s">
        <v>90</v>
      </c>
      <c r="L10" s="2335"/>
      <c r="M10" s="459" t="s">
        <v>91</v>
      </c>
      <c r="N10" s="1545"/>
      <c r="AM10" s="519">
        <v>23</v>
      </c>
    </row>
    <row r="11" spans="1:39" s="2098" customFormat="1" ht="11.25" hidden="1" customHeight="1">
      <c r="A11" s="529"/>
      <c r="B11" s="529"/>
      <c r="C11" s="529"/>
      <c r="D11" s="530" t="s">
        <v>108</v>
      </c>
      <c r="E11" s="530" t="s">
        <v>109</v>
      </c>
      <c r="F11" s="530" t="s">
        <v>92</v>
      </c>
      <c r="G11" s="2317" t="s">
        <v>93</v>
      </c>
      <c r="H11" s="2318"/>
      <c r="I11" s="530" t="s">
        <v>110</v>
      </c>
      <c r="J11" s="530" t="s">
        <v>94</v>
      </c>
      <c r="K11" s="2319" t="s">
        <v>95</v>
      </c>
      <c r="L11" s="2320"/>
      <c r="M11" s="530" t="s">
        <v>111</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5"/>
      <c r="O12" s="1331" t="s">
        <v>112</v>
      </c>
      <c r="P12" s="1331" t="s">
        <v>113</v>
      </c>
      <c r="Q12" s="1331" t="s">
        <v>114</v>
      </c>
      <c r="R12" s="1331" t="s">
        <v>115</v>
      </c>
      <c r="AM12" s="519">
        <v>1</v>
      </c>
    </row>
    <row r="13" spans="1:39" s="2098" customFormat="1" ht="15.75" customHeight="1">
      <c r="A13" s="230"/>
      <c r="B13" s="230"/>
      <c r="C13" s="462"/>
      <c r="D13" s="2339" t="s">
        <v>108</v>
      </c>
      <c r="E13" s="2340"/>
      <c r="F13" s="2343" t="s">
        <v>67</v>
      </c>
      <c r="G13" s="2344"/>
      <c r="H13" s="2345">
        <v>1</v>
      </c>
      <c r="I13" s="2336" t="str">
        <f>IF(U13="","",INDEX(TERRITORY_MR_LIST,MATCH(U13,TERRITORY_LIST_ID,0)))</f>
        <v/>
      </c>
      <c r="J13" s="2338" t="s">
        <v>19</v>
      </c>
      <c r="K13" s="538"/>
      <c r="L13" s="463" t="s">
        <v>108</v>
      </c>
      <c r="M13" s="539" t="s">
        <v>22</v>
      </c>
      <c r="N13" s="742"/>
      <c r="O13" s="1334" t="s">
        <v>116</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40" t="s">
        <v>117</v>
      </c>
      <c r="Z13" s="540">
        <v>1705000</v>
      </c>
      <c r="AA13" s="540"/>
      <c r="AB13" s="540"/>
      <c r="AC13" s="540"/>
      <c r="AD13" s="540"/>
      <c r="AE13" s="540"/>
      <c r="AF13" s="540"/>
      <c r="AG13" s="540"/>
      <c r="AH13" s="540"/>
      <c r="AI13" s="540"/>
      <c r="AJ13" s="540"/>
      <c r="AK13" s="540"/>
      <c r="AL13" s="540"/>
      <c r="AM13" s="542">
        <v>15</v>
      </c>
    </row>
    <row r="14" spans="1:39" s="2098" customFormat="1" ht="15.75" customHeight="1">
      <c r="A14" s="230"/>
      <c r="B14" s="230"/>
      <c r="C14" s="113"/>
      <c r="D14" s="2339"/>
      <c r="E14" s="2341"/>
      <c r="F14" s="2338"/>
      <c r="G14" s="2344"/>
      <c r="H14" s="2345"/>
      <c r="I14" s="2337"/>
      <c r="J14" s="2338"/>
      <c r="K14" s="357"/>
      <c r="L14" s="114"/>
      <c r="M14" s="543" t="s">
        <v>118</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s="2098" customFormat="1" ht="15.75" customHeight="1">
      <c r="A15" s="230"/>
      <c r="B15" s="230"/>
      <c r="C15" s="113"/>
      <c r="D15" s="2339"/>
      <c r="E15" s="2342"/>
      <c r="F15" s="2338"/>
      <c r="G15" s="983"/>
      <c r="H15" s="984"/>
      <c r="I15" s="516" t="s">
        <v>119</v>
      </c>
      <c r="J15" s="114"/>
      <c r="K15" s="114"/>
      <c r="L15" s="114"/>
      <c r="M15" s="544"/>
      <c r="N15" s="742"/>
      <c r="O15" s="1334"/>
      <c r="P15" s="1331"/>
      <c r="Q15" s="1331"/>
      <c r="R15" s="1331"/>
      <c r="S15" s="1334"/>
      <c r="T15" s="1334"/>
      <c r="U15" s="1184"/>
      <c r="V15" s="1184"/>
      <c r="W15" s="1184"/>
      <c r="X15" s="1184"/>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120</v>
      </c>
      <c r="F16" s="114"/>
      <c r="G16" s="114"/>
      <c r="H16" s="114"/>
      <c r="I16" s="114"/>
      <c r="J16" s="114"/>
      <c r="K16" s="114" t="s">
        <v>22</v>
      </c>
      <c r="L16" s="114"/>
      <c r="M16" s="544"/>
      <c r="N16" s="1545"/>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1">
        <v>0</v>
      </c>
      <c r="P17" s="1331">
        <v>0</v>
      </c>
      <c r="Q17" s="1331">
        <v>0</v>
      </c>
      <c r="R17" s="1331">
        <v>0</v>
      </c>
      <c r="S17" s="1331">
        <v>0</v>
      </c>
      <c r="T17" s="1331">
        <v>0</v>
      </c>
      <c r="U17" s="1181">
        <v>0</v>
      </c>
      <c r="V17" s="1181">
        <v>0</v>
      </c>
      <c r="W17" s="1181">
        <v>0</v>
      </c>
      <c r="X17" s="1181">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71" hidden="1" customWidth="1"/>
    <col min="2" max="2" width="9.140625" style="2062" hidden="1" customWidth="1"/>
    <col min="3" max="3" width="4" style="2054" customWidth="1"/>
    <col min="4" max="4" width="6" style="2062" customWidth="1"/>
    <col min="5" max="5" width="36" style="2062" customWidth="1"/>
    <col min="6" max="6" width="9" style="2062" customWidth="1"/>
    <col min="7" max="7" width="25.7109375" style="2062" hidden="1" customWidth="1"/>
    <col min="8" max="8" width="33.7109375" style="2062" hidden="1" customWidth="1"/>
    <col min="9" max="9" width="25.7109375" style="2062" customWidth="1"/>
    <col min="10" max="10" width="33" style="2062" customWidth="1"/>
    <col min="11" max="11" width="93" style="2056" customWidth="1"/>
    <col min="12" max="20" width="10" style="2062" customWidth="1"/>
    <col min="21" max="21" width="10" style="2063" customWidth="1"/>
    <col min="22" max="22" width="10.5703125" style="2062" hidden="1"/>
  </cols>
  <sheetData>
    <row r="1" spans="1:22" s="2056" customFormat="1" ht="22.5" hidden="1" customHeight="1">
      <c r="C1" s="608"/>
      <c r="G1" s="353">
        <v>4</v>
      </c>
      <c r="I1" s="353">
        <v>4</v>
      </c>
      <c r="U1" s="356"/>
      <c r="V1" s="353" t="s">
        <v>14</v>
      </c>
    </row>
    <row r="2" spans="1:22" s="2056" customFormat="1" ht="15" hidden="1" customHeight="1">
      <c r="C2" s="608"/>
      <c r="U2" s="356"/>
      <c r="V2" s="353">
        <v>0</v>
      </c>
    </row>
    <row r="3" spans="1:22" ht="22.5" hidden="1" customHeight="1">
      <c r="A3" s="441"/>
      <c r="B3" s="2566"/>
      <c r="C3" s="2567" t="s">
        <v>686</v>
      </c>
      <c r="D3" s="625" t="str">
        <f>B3&amp;".1"</f>
        <v>.1</v>
      </c>
      <c r="E3" s="626" t="s">
        <v>933</v>
      </c>
      <c r="F3" s="627" t="s">
        <v>303</v>
      </c>
      <c r="G3" s="622"/>
      <c r="H3" s="337"/>
      <c r="I3" s="622"/>
      <c r="J3" s="337"/>
      <c r="K3" s="226" t="s">
        <v>934</v>
      </c>
      <c r="V3" s="441">
        <v>0</v>
      </c>
    </row>
    <row r="4" spans="1:22" ht="15" hidden="1" customHeight="1">
      <c r="A4" s="441"/>
      <c r="B4" s="2566"/>
      <c r="C4" s="2567"/>
      <c r="D4" s="625" t="str">
        <f>B3&amp;".2"</f>
        <v>.2</v>
      </c>
      <c r="E4" s="626" t="s">
        <v>935</v>
      </c>
      <c r="F4" s="627" t="s">
        <v>303</v>
      </c>
      <c r="G4" s="1655" t="s">
        <v>22</v>
      </c>
      <c r="H4" s="337"/>
      <c r="I4" s="1655" t="s">
        <v>22</v>
      </c>
      <c r="J4" s="337"/>
      <c r="K4" s="226" t="s">
        <v>936</v>
      </c>
      <c r="V4" s="441">
        <v>0</v>
      </c>
    </row>
    <row r="5" spans="1:22" s="2056" customFormat="1" ht="15" hidden="1" customHeight="1">
      <c r="C5" s="608"/>
      <c r="U5" s="356"/>
      <c r="V5" s="353">
        <v>0</v>
      </c>
    </row>
    <row r="6" spans="1:22" ht="22.5" hidden="1" customHeight="1">
      <c r="A6" s="441"/>
      <c r="B6" s="2566"/>
      <c r="C6" s="2567" t="s">
        <v>686</v>
      </c>
      <c r="D6" s="625" t="str">
        <f>B6&amp;".1"</f>
        <v>.1</v>
      </c>
      <c r="E6" s="626" t="s">
        <v>937</v>
      </c>
      <c r="F6" s="627" t="s">
        <v>303</v>
      </c>
      <c r="G6" s="622"/>
      <c r="H6" s="337"/>
      <c r="I6" s="622"/>
      <c r="J6" s="337"/>
      <c r="K6" s="226" t="s">
        <v>938</v>
      </c>
      <c r="V6" s="441">
        <v>0</v>
      </c>
    </row>
    <row r="7" spans="1:22" ht="15" hidden="1" customHeight="1">
      <c r="A7" s="441"/>
      <c r="B7" s="2566"/>
      <c r="C7" s="2567"/>
      <c r="D7" s="625" t="str">
        <f>B6&amp;".2"</f>
        <v>.2</v>
      </c>
      <c r="E7" s="626" t="s">
        <v>935</v>
      </c>
      <c r="F7" s="627" t="s">
        <v>303</v>
      </c>
      <c r="G7" s="1655" t="s">
        <v>22</v>
      </c>
      <c r="H7" s="337"/>
      <c r="I7" s="1655" t="s">
        <v>22</v>
      </c>
      <c r="J7" s="337"/>
      <c r="K7" s="226" t="s">
        <v>936</v>
      </c>
      <c r="V7" s="441">
        <v>0</v>
      </c>
    </row>
    <row r="8" spans="1:22" s="2056" customFormat="1" ht="15" hidden="1" customHeight="1">
      <c r="C8" s="608"/>
      <c r="U8" s="356"/>
      <c r="V8" s="353">
        <v>0</v>
      </c>
    </row>
    <row r="9" spans="1:22" ht="22.5" hidden="1" customHeight="1">
      <c r="A9" s="441"/>
      <c r="B9" s="2566"/>
      <c r="C9" s="2567" t="s">
        <v>686</v>
      </c>
      <c r="D9" s="625" t="str">
        <f>B9&amp;".1"</f>
        <v>.1</v>
      </c>
      <c r="E9" s="626" t="s">
        <v>939</v>
      </c>
      <c r="F9" s="627" t="s">
        <v>303</v>
      </c>
      <c r="G9" s="633" t="s">
        <v>22</v>
      </c>
      <c r="H9" s="337" t="s">
        <v>22</v>
      </c>
      <c r="I9" s="633" t="s">
        <v>22</v>
      </c>
      <c r="J9" s="337" t="s">
        <v>22</v>
      </c>
      <c r="K9" s="226"/>
      <c r="V9" s="441">
        <v>0</v>
      </c>
    </row>
    <row r="10" spans="1:22" ht="15" hidden="1" customHeight="1">
      <c r="A10" s="441"/>
      <c r="B10" s="2566"/>
      <c r="C10" s="2567"/>
      <c r="D10" s="625" t="str">
        <f>B9&amp;".2"</f>
        <v>.2</v>
      </c>
      <c r="E10" s="626" t="s">
        <v>940</v>
      </c>
      <c r="F10" s="627" t="s">
        <v>303</v>
      </c>
      <c r="G10" s="1649" t="s">
        <v>22</v>
      </c>
      <c r="H10" s="337" t="s">
        <v>22</v>
      </c>
      <c r="I10" s="1649" t="s">
        <v>22</v>
      </c>
      <c r="J10" s="337" t="s">
        <v>22</v>
      </c>
      <c r="K10" s="226" t="s">
        <v>941</v>
      </c>
      <c r="V10" s="441">
        <v>0</v>
      </c>
    </row>
    <row r="11" spans="1:22" ht="15" hidden="1" customHeight="1">
      <c r="A11" s="441"/>
      <c r="B11" s="2566"/>
      <c r="C11" s="2567"/>
      <c r="D11" s="625" t="str">
        <f>B9&amp;".3"</f>
        <v>.3</v>
      </c>
      <c r="E11" s="626" t="s">
        <v>942</v>
      </c>
      <c r="F11" s="627" t="s">
        <v>303</v>
      </c>
      <c r="G11" s="1649" t="s">
        <v>22</v>
      </c>
      <c r="H11" s="337" t="s">
        <v>22</v>
      </c>
      <c r="I11" s="1649" t="s">
        <v>22</v>
      </c>
      <c r="J11" s="337" t="s">
        <v>22</v>
      </c>
      <c r="K11" s="226" t="s">
        <v>943</v>
      </c>
      <c r="V11" s="441">
        <v>0</v>
      </c>
    </row>
    <row r="12" spans="1:22" s="2056" customFormat="1" ht="15" hidden="1" customHeight="1">
      <c r="C12" s="608"/>
      <c r="U12" s="356"/>
      <c r="V12" s="353">
        <v>0</v>
      </c>
    </row>
    <row r="13" spans="1:22" ht="33.75" hidden="1" customHeight="1">
      <c r="A13" s="441"/>
      <c r="B13" s="2566"/>
      <c r="C13" s="2567" t="s">
        <v>686</v>
      </c>
      <c r="D13" s="625" t="str">
        <f>B13&amp;".1"</f>
        <v>.1</v>
      </c>
      <c r="E13" s="626" t="s">
        <v>944</v>
      </c>
      <c r="F13" s="627" t="s">
        <v>303</v>
      </c>
      <c r="G13" s="633" t="s">
        <v>22</v>
      </c>
      <c r="H13" s="337" t="s">
        <v>22</v>
      </c>
      <c r="I13" s="633" t="s">
        <v>22</v>
      </c>
      <c r="J13" s="337" t="s">
        <v>22</v>
      </c>
      <c r="K13" s="226" t="s">
        <v>945</v>
      </c>
      <c r="V13" s="441">
        <v>0</v>
      </c>
    </row>
    <row r="14" spans="1:22" ht="15" hidden="1" customHeight="1">
      <c r="B14" s="2566"/>
      <c r="C14" s="2567"/>
      <c r="D14" s="625" t="str">
        <f>B13&amp;".2"</f>
        <v>.2</v>
      </c>
      <c r="E14" s="626" t="s">
        <v>946</v>
      </c>
      <c r="F14" s="627" t="s">
        <v>303</v>
      </c>
      <c r="G14" s="1649" t="s">
        <v>22</v>
      </c>
      <c r="H14" s="337" t="s">
        <v>22</v>
      </c>
      <c r="I14" s="1649" t="s">
        <v>22</v>
      </c>
      <c r="J14" s="337" t="s">
        <v>22</v>
      </c>
      <c r="K14" s="226" t="s">
        <v>947</v>
      </c>
      <c r="V14" s="441">
        <v>0</v>
      </c>
    </row>
    <row r="15" spans="1:22" s="2056" customFormat="1" ht="15" hidden="1" customHeight="1">
      <c r="C15" s="608"/>
      <c r="U15" s="356"/>
      <c r="V15" s="353">
        <v>0</v>
      </c>
    </row>
    <row r="16" spans="1:22" s="2056" customFormat="1" ht="15" hidden="1" customHeight="1">
      <c r="C16" s="608"/>
      <c r="U16" s="356"/>
      <c r="V16" s="353">
        <v>0</v>
      </c>
    </row>
    <row r="17" spans="1:22" s="2056" customFormat="1" ht="15" hidden="1" customHeight="1">
      <c r="C17" s="608"/>
      <c r="U17" s="356"/>
      <c r="V17" s="353">
        <v>0</v>
      </c>
    </row>
    <row r="18" spans="1:22" s="2056" customFormat="1" ht="15" hidden="1" customHeight="1">
      <c r="C18" s="608"/>
      <c r="U18" s="356"/>
      <c r="V18" s="353">
        <v>0</v>
      </c>
    </row>
    <row r="19" spans="1:22" s="2056" customFormat="1" ht="15" hidden="1" customHeight="1">
      <c r="C19" s="608"/>
      <c r="U19" s="356"/>
      <c r="V19" s="353">
        <v>0</v>
      </c>
    </row>
    <row r="20" spans="1:22" s="2056"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37"/>
      <c r="F22" s="2437"/>
      <c r="G22" s="2437"/>
      <c r="H22" s="2437"/>
      <c r="I22" s="2437"/>
      <c r="J22" s="612"/>
      <c r="K22" s="473"/>
      <c r="V22" s="441">
        <v>22</v>
      </c>
    </row>
    <row r="23" spans="1:22" ht="15.75" customHeight="1">
      <c r="C23" s="113"/>
      <c r="D23" s="2409" t="str">
        <f>IF(org=0,"Не определено",org)</f>
        <v>ПАО "ТГК-1" филиал "Невский"</v>
      </c>
      <c r="E23" s="2409"/>
      <c r="F23" s="2409"/>
      <c r="G23" s="2409"/>
      <c r="H23" s="2409"/>
      <c r="I23" s="2409"/>
      <c r="J23" s="612"/>
      <c r="K23" s="473"/>
      <c r="V23" s="441">
        <v>15</v>
      </c>
    </row>
    <row r="24" spans="1:22" ht="15.75" customHeight="1">
      <c r="C24" s="113"/>
      <c r="D24" s="445"/>
      <c r="E24" s="445"/>
      <c r="F24" s="445"/>
      <c r="G24" s="473">
        <v>22</v>
      </c>
      <c r="H24" s="688"/>
      <c r="I24" s="473">
        <v>22</v>
      </c>
      <c r="J24" s="688"/>
      <c r="V24" s="441">
        <v>15</v>
      </c>
    </row>
    <row r="25" spans="1:22" s="2062" customFormat="1" ht="1.1499999999999999" customHeight="1">
      <c r="A25" s="693"/>
      <c r="C25" s="113"/>
      <c r="D25" s="445"/>
      <c r="E25" s="445"/>
      <c r="F25" s="445"/>
      <c r="G25" s="473"/>
      <c r="H25" s="688"/>
      <c r="I25" s="473" t="s">
        <v>116</v>
      </c>
      <c r="J25" s="688"/>
      <c r="K25" s="353"/>
      <c r="U25" s="611"/>
      <c r="V25" s="692">
        <v>1</v>
      </c>
    </row>
    <row r="26" spans="1:22" ht="15.75" customHeight="1">
      <c r="C26" s="113"/>
      <c r="D26" s="647"/>
      <c r="E26" s="2543" t="s">
        <v>104</v>
      </c>
      <c r="F26" s="2544"/>
      <c r="G26" s="2568" t="str">
        <f>IF(G25="","",INDEX(DIFFERENTIATION_UNMERGE_VD,MATCH(G25,DIFFERENTIATION_ID_DIFF,0)))</f>
        <v/>
      </c>
      <c r="H26" s="2569"/>
      <c r="I26" s="2568">
        <f>IF(I25="","",INDEX(DIFFERENTIATION_UNMERGE_VD,MATCH(I25,DIFFERENTIATION_ID_DIFF,0)))</f>
        <v>0</v>
      </c>
      <c r="J26" s="2569"/>
      <c r="K26" s="2387" t="s">
        <v>298</v>
      </c>
      <c r="V26" s="441">
        <v>15</v>
      </c>
    </row>
    <row r="27" spans="1:22" s="2062" customFormat="1" ht="15.75" customHeight="1">
      <c r="A27" s="693"/>
      <c r="C27" s="113"/>
      <c r="D27" s="647"/>
      <c r="E27" s="2543" t="s">
        <v>561</v>
      </c>
      <c r="F27" s="2544"/>
      <c r="G27" s="2568" t="str">
        <f>IF(G25="","",INDEX(DIFFERENTIATION_UNMERGE_AREA,MATCH(G25,DIFFERENTIATION_ID_DIFF,0)))</f>
        <v/>
      </c>
      <c r="H27" s="2569"/>
      <c r="I27" s="2568" t="str">
        <f>IF(I25="","",INDEX(DIFFERENTIATION_UNMERGE_AREA,MATCH(I25,DIFFERENTIATION_ID_DIFF,0)))</f>
        <v/>
      </c>
      <c r="J27" s="2569"/>
      <c r="K27" s="2391"/>
      <c r="U27" s="611"/>
      <c r="V27" s="692">
        <v>15</v>
      </c>
    </row>
    <row r="28" spans="1:22" s="2062" customFormat="1" ht="15.75" customHeight="1">
      <c r="A28" s="693"/>
      <c r="C28" s="113"/>
      <c r="D28" s="647"/>
      <c r="E28" s="2543" t="s">
        <v>562</v>
      </c>
      <c r="F28" s="2544"/>
      <c r="G28" s="2568" t="str">
        <f>IF(G25="","",INDEX(DIFFERENTIATION_UNMERGE_SYSTEM,MATCH(G25,DIFFERENTIATION_ID_DIFF,0)))</f>
        <v/>
      </c>
      <c r="H28" s="2569"/>
      <c r="I28" s="2568" t="str">
        <f>IF(I25="","",INDEX(DIFFERENTIATION_UNMERGE_SYSTEM,MATCH(I25,DIFFERENTIATION_ID_DIFF,0)))</f>
        <v>без дифференциации</v>
      </c>
      <c r="J28" s="2569"/>
      <c r="K28" s="2391"/>
      <c r="U28" s="611"/>
      <c r="V28" s="692">
        <v>15</v>
      </c>
    </row>
    <row r="29" spans="1:22" s="2062" customFormat="1" ht="15.75" customHeight="1">
      <c r="A29" s="693"/>
      <c r="C29" s="113"/>
      <c r="D29" s="2545" t="s">
        <v>297</v>
      </c>
      <c r="E29" s="2546"/>
      <c r="F29" s="2546"/>
      <c r="G29" s="812"/>
      <c r="H29" s="812"/>
      <c r="I29" s="812"/>
      <c r="J29" s="813"/>
      <c r="K29" s="2391"/>
      <c r="U29" s="611"/>
      <c r="V29" s="692">
        <v>15</v>
      </c>
    </row>
    <row r="30" spans="1:22" ht="35.65" customHeight="1">
      <c r="C30" s="113"/>
      <c r="D30" s="695" t="s">
        <v>90</v>
      </c>
      <c r="E30" s="694" t="s">
        <v>299</v>
      </c>
      <c r="F30" s="694" t="s">
        <v>563</v>
      </c>
      <c r="G30" s="738" t="s">
        <v>300</v>
      </c>
      <c r="H30" s="737" t="s">
        <v>387</v>
      </c>
      <c r="I30" s="620" t="s">
        <v>300</v>
      </c>
      <c r="J30" s="401" t="s">
        <v>387</v>
      </c>
      <c r="K30" s="2394"/>
      <c r="V30" s="441">
        <v>34</v>
      </c>
    </row>
    <row r="31" spans="1:22" ht="15" hidden="1" customHeight="1">
      <c r="C31" s="113"/>
      <c r="D31" s="529"/>
      <c r="E31" s="529"/>
      <c r="F31" s="529"/>
      <c r="G31" s="595"/>
      <c r="H31" s="595"/>
      <c r="I31" s="595"/>
      <c r="J31" s="595"/>
      <c r="K31" s="226"/>
      <c r="V31" s="441">
        <v>0</v>
      </c>
    </row>
    <row r="32" spans="1:22" ht="24" customHeight="1">
      <c r="A32" s="441"/>
      <c r="B32" s="441" t="s">
        <v>948</v>
      </c>
      <c r="C32" s="462"/>
      <c r="D32" s="628">
        <v>1</v>
      </c>
      <c r="E32" s="629" t="s">
        <v>949</v>
      </c>
      <c r="F32" s="627" t="s">
        <v>303</v>
      </c>
      <c r="G32" s="743" t="s">
        <v>303</v>
      </c>
      <c r="H32" s="743" t="s">
        <v>303</v>
      </c>
      <c r="I32" s="627" t="s">
        <v>303</v>
      </c>
      <c r="J32" s="627" t="s">
        <v>303</v>
      </c>
      <c r="K32" s="226"/>
      <c r="V32" s="441">
        <v>23</v>
      </c>
    </row>
    <row r="33" spans="1:22" ht="11.45" customHeight="1">
      <c r="A33" s="441"/>
      <c r="C33" s="441"/>
      <c r="D33" s="284"/>
      <c r="E33" s="516" t="s">
        <v>583</v>
      </c>
      <c r="F33" s="508"/>
      <c r="G33" s="508"/>
      <c r="H33" s="508"/>
      <c r="I33" s="508"/>
      <c r="J33" s="508"/>
      <c r="K33" s="509"/>
      <c r="U33" s="441"/>
      <c r="V33" s="441">
        <v>11</v>
      </c>
    </row>
    <row r="34" spans="1:22" ht="24" customHeight="1">
      <c r="A34" s="441"/>
      <c r="B34" s="517" t="s">
        <v>633</v>
      </c>
      <c r="C34" s="462"/>
      <c r="D34" s="628">
        <v>2</v>
      </c>
      <c r="E34" s="629" t="s">
        <v>950</v>
      </c>
      <c r="F34" s="750" t="s">
        <v>303</v>
      </c>
      <c r="G34" s="750" t="s">
        <v>303</v>
      </c>
      <c r="H34" s="750" t="s">
        <v>303</v>
      </c>
      <c r="I34" s="627"/>
      <c r="J34" s="627"/>
      <c r="K34" s="226"/>
      <c r="V34" s="441">
        <v>23</v>
      </c>
    </row>
    <row r="35" spans="1:22" ht="11.45" customHeight="1">
      <c r="A35" s="441"/>
      <c r="C35" s="441"/>
      <c r="D35" s="284"/>
      <c r="E35" s="516" t="s">
        <v>951</v>
      </c>
      <c r="F35" s="508"/>
      <c r="G35" s="630"/>
      <c r="H35" s="508"/>
      <c r="I35" s="630"/>
      <c r="J35" s="508"/>
      <c r="K35" s="509"/>
      <c r="U35" s="441"/>
      <c r="V35" s="441">
        <v>11</v>
      </c>
    </row>
    <row r="36" spans="1:22" ht="71.25" customHeight="1">
      <c r="A36" s="441"/>
      <c r="B36" s="441" t="s">
        <v>952</v>
      </c>
      <c r="C36" s="462"/>
      <c r="D36" s="628">
        <v>3</v>
      </c>
      <c r="E36" s="629" t="s">
        <v>953</v>
      </c>
      <c r="F36" s="631" t="s">
        <v>303</v>
      </c>
      <c r="G36" s="744" t="s">
        <v>954</v>
      </c>
      <c r="H36" s="743" t="s">
        <v>303</v>
      </c>
      <c r="I36" s="460" t="s">
        <v>954</v>
      </c>
      <c r="J36" s="627" t="s">
        <v>303</v>
      </c>
      <c r="K36" s="226" t="s">
        <v>955</v>
      </c>
      <c r="V36" s="441">
        <v>68</v>
      </c>
    </row>
    <row r="37" spans="1:22" ht="11.45" customHeight="1">
      <c r="A37" s="441"/>
      <c r="C37" s="441"/>
      <c r="D37" s="284"/>
      <c r="E37" s="516" t="s">
        <v>956</v>
      </c>
      <c r="F37" s="508"/>
      <c r="G37" s="630"/>
      <c r="H37" s="630"/>
      <c r="I37" s="630"/>
      <c r="J37" s="630"/>
      <c r="K37" s="509"/>
      <c r="U37" s="441"/>
      <c r="V37" s="441">
        <v>11</v>
      </c>
    </row>
    <row r="38" spans="1:22" ht="71.25" customHeight="1">
      <c r="A38" s="441"/>
      <c r="B38" s="441" t="s">
        <v>957</v>
      </c>
      <c r="C38" s="462"/>
      <c r="D38" s="628">
        <v>4</v>
      </c>
      <c r="E38" s="629" t="s">
        <v>958</v>
      </c>
      <c r="F38" s="631" t="s">
        <v>303</v>
      </c>
      <c r="G38" s="744" t="s">
        <v>954</v>
      </c>
      <c r="H38" s="745" t="s">
        <v>303</v>
      </c>
      <c r="I38" s="460" t="s">
        <v>954</v>
      </c>
      <c r="J38" s="457" t="s">
        <v>303</v>
      </c>
      <c r="K38" s="615" t="s">
        <v>959</v>
      </c>
      <c r="V38" s="441">
        <v>68</v>
      </c>
    </row>
    <row r="39" spans="1:22" ht="11.45" customHeight="1">
      <c r="A39" s="441"/>
      <c r="C39" s="441"/>
      <c r="D39" s="284"/>
      <c r="E39" s="516" t="s">
        <v>960</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topLeftCell="E4" zoomScale="85" workbookViewId="0">
      <selection activeCell="V13" sqref="V13:V14"/>
    </sheetView>
  </sheetViews>
  <sheetFormatPr defaultColWidth="9.140625" defaultRowHeight="10.5" customHeight="1"/>
  <cols>
    <col min="1" max="3" width="6.7109375" style="2036" hidden="1" customWidth="1"/>
    <col min="4" max="4" width="6.7109375" style="2056" hidden="1" customWidth="1"/>
    <col min="5" max="5" width="3" style="2062" customWidth="1"/>
    <col min="6" max="6" width="6" style="2062" customWidth="1"/>
    <col min="7" max="7" width="37" style="2062" customWidth="1"/>
    <col min="8" max="8" width="16" style="2062" customWidth="1"/>
    <col min="9" max="10" width="19" style="2062" customWidth="1"/>
    <col min="11" max="11" width="24" style="2062" customWidth="1"/>
    <col min="12" max="13" width="25" style="2062" customWidth="1"/>
    <col min="14" max="16" width="17" style="2062" customWidth="1"/>
    <col min="17" max="24" width="19" style="2062" customWidth="1"/>
    <col min="25" max="25" width="7" style="2062" customWidth="1"/>
    <col min="26" max="26" width="3" style="2062" customWidth="1"/>
    <col min="27" max="27" width="6" style="2062" customWidth="1"/>
    <col min="28" max="28" width="34" style="2062" customWidth="1"/>
    <col min="29" max="30" width="8" style="2062" customWidth="1"/>
    <col min="31" max="31" width="9.140625" style="2062" hidden="1"/>
  </cols>
  <sheetData>
    <row r="1" spans="1:31" s="2056" customFormat="1" ht="10.5" hidden="1" customHeight="1">
      <c r="A1" s="820"/>
      <c r="B1" s="820"/>
      <c r="C1" s="820"/>
      <c r="E1" s="473"/>
      <c r="H1" s="1078"/>
      <c r="AE1" s="353" t="s">
        <v>14</v>
      </c>
    </row>
    <row r="2" spans="1:31" ht="10.5" hidden="1" customHeight="1">
      <c r="AE2" s="692">
        <v>0</v>
      </c>
    </row>
    <row r="3" spans="1:31" s="2071" customFormat="1" ht="10.5" hidden="1" customHeight="1">
      <c r="A3" s="820"/>
      <c r="B3" s="820"/>
      <c r="C3" s="820"/>
      <c r="D3" s="353"/>
      <c r="E3" s="298"/>
      <c r="G3" s="1550" t="s">
        <v>961</v>
      </c>
      <c r="H3" s="1074"/>
      <c r="AE3" s="693">
        <v>0</v>
      </c>
    </row>
    <row r="4" spans="1:31" ht="3" customHeight="1">
      <c r="AE4" s="692">
        <v>3</v>
      </c>
    </row>
    <row r="5" spans="1:31" ht="27.4" customHeight="1">
      <c r="F5" s="243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37"/>
      <c r="H5" s="2437"/>
      <c r="I5" s="2437"/>
      <c r="J5" s="2437"/>
      <c r="K5" s="2437"/>
      <c r="M5" s="518"/>
      <c r="AB5" s="831"/>
      <c r="AE5" s="692">
        <v>26</v>
      </c>
    </row>
    <row r="6" spans="1:31" s="2062" customFormat="1" ht="16.899999999999999" customHeight="1">
      <c r="A6" s="1084"/>
      <c r="B6" s="1084"/>
      <c r="C6" s="1084"/>
      <c r="D6" s="1078"/>
      <c r="E6" s="1553"/>
      <c r="F6" s="2409" t="str">
        <f>IF(org=0,"Не определено",org)</f>
        <v>ПАО "ТГК-1" филиал "Невский"</v>
      </c>
      <c r="G6" s="2409"/>
      <c r="H6" s="2409"/>
      <c r="I6" s="2409"/>
      <c r="J6" s="2409"/>
      <c r="K6" s="2409"/>
      <c r="M6" s="518"/>
      <c r="AB6" s="1067"/>
      <c r="AE6" s="1549">
        <v>16</v>
      </c>
    </row>
    <row r="7" spans="1:31" ht="10.5" customHeight="1">
      <c r="AE7" s="692">
        <v>10</v>
      </c>
    </row>
    <row r="8" spans="1:31" ht="10.5" customHeight="1">
      <c r="A8" s="974"/>
      <c r="B8" s="974"/>
      <c r="C8" s="974"/>
      <c r="F8" s="2310" t="s">
        <v>297</v>
      </c>
      <c r="G8" s="2315"/>
      <c r="H8" s="2315"/>
      <c r="I8" s="2315"/>
      <c r="J8" s="2315"/>
      <c r="K8" s="2315"/>
      <c r="L8" s="2315"/>
      <c r="M8" s="2315"/>
      <c r="N8" s="2315"/>
      <c r="O8" s="2315"/>
      <c r="P8" s="2315"/>
      <c r="Q8" s="2315"/>
      <c r="R8" s="2315"/>
      <c r="S8" s="2315"/>
      <c r="T8" s="2315"/>
      <c r="U8" s="2315"/>
      <c r="V8" s="2315"/>
      <c r="W8" s="2315"/>
      <c r="X8" s="2315"/>
      <c r="Y8" s="2315"/>
      <c r="Z8" s="2315"/>
      <c r="AA8" s="2315"/>
      <c r="AB8" s="2309"/>
      <c r="AE8" s="692">
        <v>10</v>
      </c>
    </row>
    <row r="9" spans="1:31" ht="43.15" customHeight="1">
      <c r="A9" s="830"/>
      <c r="B9" s="830"/>
      <c r="C9" s="830"/>
      <c r="F9" s="2328" t="s">
        <v>90</v>
      </c>
      <c r="G9" s="2328" t="s">
        <v>961</v>
      </c>
      <c r="H9" s="2387" t="s">
        <v>962</v>
      </c>
      <c r="I9" s="2328" t="s">
        <v>963</v>
      </c>
      <c r="J9" s="2328" t="s">
        <v>964</v>
      </c>
      <c r="K9" s="2328" t="s">
        <v>965</v>
      </c>
      <c r="L9" s="2328" t="s">
        <v>966</v>
      </c>
      <c r="M9" s="2328" t="s">
        <v>967</v>
      </c>
      <c r="N9" s="2417" t="s">
        <v>968</v>
      </c>
      <c r="O9" s="2417"/>
      <c r="P9" s="2417"/>
      <c r="Q9" s="2470" t="s">
        <v>969</v>
      </c>
      <c r="R9" s="2471"/>
      <c r="S9" s="2471"/>
      <c r="T9" s="2472"/>
      <c r="U9" s="2470" t="s">
        <v>970</v>
      </c>
      <c r="V9" s="2471"/>
      <c r="W9" s="2471"/>
      <c r="X9" s="2472"/>
      <c r="Y9" s="2310" t="s">
        <v>971</v>
      </c>
      <c r="Z9" s="2315"/>
      <c r="AA9" s="2315"/>
      <c r="AB9" s="2309"/>
      <c r="AE9" s="692">
        <v>41</v>
      </c>
    </row>
    <row r="10" spans="1:31" ht="43.15" customHeight="1">
      <c r="A10" s="830"/>
      <c r="B10" s="830"/>
      <c r="C10" s="830"/>
      <c r="F10" s="2387"/>
      <c r="G10" s="2387"/>
      <c r="H10" s="2442"/>
      <c r="I10" s="2387"/>
      <c r="J10" s="2387"/>
      <c r="K10" s="2387"/>
      <c r="L10" s="2387"/>
      <c r="M10" s="2387"/>
      <c r="N10" s="828" t="s">
        <v>972</v>
      </c>
      <c r="O10" s="828" t="s">
        <v>973</v>
      </c>
      <c r="P10" s="829" t="s">
        <v>974</v>
      </c>
      <c r="Q10" s="840" t="s">
        <v>91</v>
      </c>
      <c r="R10" s="840" t="s">
        <v>975</v>
      </c>
      <c r="S10" s="840" t="s">
        <v>976</v>
      </c>
      <c r="T10" s="841" t="s">
        <v>977</v>
      </c>
      <c r="U10" s="840" t="s">
        <v>91</v>
      </c>
      <c r="V10" s="840" t="s">
        <v>978</v>
      </c>
      <c r="W10" s="840" t="s">
        <v>976</v>
      </c>
      <c r="X10" s="841" t="s">
        <v>977</v>
      </c>
      <c r="Y10" s="238" t="s">
        <v>979</v>
      </c>
      <c r="Z10" s="2310" t="s">
        <v>90</v>
      </c>
      <c r="AA10" s="2309"/>
      <c r="AB10" s="972" t="s">
        <v>980</v>
      </c>
      <c r="AE10" s="692">
        <v>41</v>
      </c>
    </row>
    <row r="11" spans="1:31" s="2034" customFormat="1" ht="5.25" hidden="1" customHeight="1">
      <c r="A11" s="975"/>
      <c r="B11" s="975"/>
      <c r="C11" s="975"/>
      <c r="E11" s="973"/>
      <c r="F11" s="2572" t="s">
        <v>373</v>
      </c>
      <c r="G11" s="2574"/>
      <c r="H11" s="2570"/>
      <c r="I11" s="2570"/>
      <c r="J11" s="2570"/>
      <c r="K11" s="2573"/>
      <c r="L11" s="2573"/>
      <c r="M11" s="2573"/>
      <c r="N11" s="2570"/>
      <c r="O11" s="2570"/>
      <c r="P11" s="2328"/>
      <c r="Q11" s="2397"/>
      <c r="R11" s="2397"/>
      <c r="S11" s="2397"/>
      <c r="T11" s="2570"/>
      <c r="U11" s="2397"/>
      <c r="V11" s="2397"/>
      <c r="W11" s="2397"/>
      <c r="X11" s="2570"/>
      <c r="Y11" s="2339"/>
      <c r="Z11" s="2339"/>
      <c r="AA11" s="2339"/>
      <c r="AB11" s="2339"/>
      <c r="AD11" s="447" t="s">
        <v>981</v>
      </c>
      <c r="AE11" s="447">
        <v>0</v>
      </c>
    </row>
    <row r="12" spans="1:31" s="2034" customFormat="1" ht="5.25" hidden="1" customHeight="1">
      <c r="A12" s="821"/>
      <c r="B12" s="821"/>
      <c r="C12" s="821"/>
      <c r="E12" s="454"/>
      <c r="F12" s="2572"/>
      <c r="G12" s="2574"/>
      <c r="H12" s="2570"/>
      <c r="I12" s="2570"/>
      <c r="J12" s="2570"/>
      <c r="K12" s="2573"/>
      <c r="L12" s="2573"/>
      <c r="M12" s="2573"/>
      <c r="N12" s="2570"/>
      <c r="O12" s="2570"/>
      <c r="P12" s="2328"/>
      <c r="Q12" s="2397"/>
      <c r="R12" s="2397"/>
      <c r="S12" s="2397"/>
      <c r="T12" s="2570"/>
      <c r="U12" s="2397"/>
      <c r="V12" s="2397"/>
      <c r="W12" s="2397"/>
      <c r="X12" s="2570"/>
      <c r="Y12" s="2571"/>
      <c r="Z12" s="2571"/>
      <c r="AA12" s="2571"/>
      <c r="AB12" s="2571"/>
      <c r="AE12" s="447">
        <v>0</v>
      </c>
    </row>
    <row r="13" spans="1:31" ht="35.25" customHeight="1">
      <c r="A13" s="1084"/>
      <c r="B13" s="1084"/>
      <c r="C13" s="1084"/>
      <c r="D13" s="1078"/>
      <c r="E13" s="2590" t="s">
        <v>686</v>
      </c>
      <c r="F13" s="2575" t="s">
        <v>108</v>
      </c>
      <c r="G13" s="2576" t="s">
        <v>982</v>
      </c>
      <c r="H13" s="2577" t="s">
        <v>67</v>
      </c>
      <c r="I13" s="2579">
        <v>45229.593194444446</v>
      </c>
      <c r="J13" s="2581">
        <v>45980.593321759261</v>
      </c>
      <c r="K13" s="2583" t="s">
        <v>983</v>
      </c>
      <c r="L13" s="2584" t="s">
        <v>984</v>
      </c>
      <c r="M13" s="2584" t="s">
        <v>984</v>
      </c>
      <c r="N13" s="2588" t="s">
        <v>985</v>
      </c>
      <c r="O13" s="2588" t="s">
        <v>986</v>
      </c>
      <c r="P13" s="2589" t="str">
        <f>DATEDIF(DATEVALUE(N13),DATEVALUE(O13),"y")&amp;"г. "&amp;DATEDIF(DATEVALUE(N13),DATEVALUE(O13),"ym")&amp;"мес. "&amp;DATEVALUE(O13)-DATE(YEAR(DATEVALUE(O13)),MONTH(DATEVALUE(O13)),1)&amp;"дн. "</f>
        <v xml:space="preserve">4г. 11мес. 30дн. </v>
      </c>
      <c r="Q13" s="2585" t="s">
        <v>987</v>
      </c>
      <c r="R13" s="2585" t="s">
        <v>988</v>
      </c>
      <c r="S13" s="2585" t="s">
        <v>989</v>
      </c>
      <c r="T13" s="2581">
        <v>45229.59412037037</v>
      </c>
      <c r="U13" s="2585" t="s">
        <v>990</v>
      </c>
      <c r="V13" s="2585" t="s">
        <v>988</v>
      </c>
      <c r="W13" s="2585" t="s">
        <v>991</v>
      </c>
      <c r="X13" s="2581">
        <v>45980.594560185185</v>
      </c>
      <c r="Y13" s="2586" t="s">
        <v>19</v>
      </c>
      <c r="Z13" s="1725"/>
      <c r="AA13" s="1709">
        <v>1</v>
      </c>
      <c r="AB13" s="2117" t="s">
        <v>22</v>
      </c>
      <c r="AD13" s="1554" t="s">
        <v>992</v>
      </c>
    </row>
    <row r="14" spans="1:31" ht="293.25" customHeight="1">
      <c r="A14" s="1084"/>
      <c r="B14" s="1084"/>
      <c r="C14" s="1084"/>
      <c r="D14" s="1078"/>
      <c r="E14" s="2591"/>
      <c r="F14" s="2575" t="s">
        <v>373</v>
      </c>
      <c r="G14" s="2576"/>
      <c r="H14" s="2578"/>
      <c r="I14" s="2580"/>
      <c r="J14" s="2582"/>
      <c r="K14" s="2583"/>
      <c r="L14" s="2584"/>
      <c r="M14" s="2584"/>
      <c r="N14" s="2588"/>
      <c r="O14" s="2588"/>
      <c r="P14" s="2589"/>
      <c r="Q14" s="2585"/>
      <c r="R14" s="2585"/>
      <c r="S14" s="2585"/>
      <c r="T14" s="2582"/>
      <c r="U14" s="2585"/>
      <c r="V14" s="2585"/>
      <c r="W14" s="2585"/>
      <c r="X14" s="2582"/>
      <c r="Y14" s="2587"/>
      <c r="Z14" s="284"/>
      <c r="AA14" s="508"/>
      <c r="AB14" s="588" t="s">
        <v>993</v>
      </c>
    </row>
    <row r="15" spans="1:31" ht="10.5" customHeight="1">
      <c r="F15" s="827"/>
      <c r="G15" s="586" t="s">
        <v>994</v>
      </c>
      <c r="H15" s="1086"/>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034" customFormat="1" ht="10.5" customHeight="1">
      <c r="A17" s="1085"/>
      <c r="B17" s="1085"/>
      <c r="C17" s="1085"/>
      <c r="E17" s="454"/>
      <c r="H17" s="447">
        <f>IFERROR(MATCH("нет",IP_MAIN_DIFFERENTIATION_EVENTS_FLAG,0),0)</f>
        <v>0</v>
      </c>
      <c r="AE17" s="447">
        <v>10</v>
      </c>
    </row>
    <row r="18" spans="1:31" ht="10.5" hidden="1" customHeight="1">
      <c r="A18" s="820" t="s">
        <v>84</v>
      </c>
      <c r="B18" s="820">
        <v>0</v>
      </c>
      <c r="C18" s="820">
        <v>0</v>
      </c>
      <c r="D18" s="353">
        <v>0</v>
      </c>
      <c r="E18" s="445">
        <v>3</v>
      </c>
      <c r="F18" s="692">
        <v>6</v>
      </c>
      <c r="G18" s="692">
        <v>37</v>
      </c>
      <c r="H18" s="1073">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595"/>
  <sheetViews>
    <sheetView showGridLines="0" topLeftCell="E4" zoomScale="80" workbookViewId="0">
      <selection activeCell="AP383" sqref="AP383"/>
    </sheetView>
  </sheetViews>
  <sheetFormatPr defaultColWidth="9.140625" defaultRowHeight="10.5" customHeight="1"/>
  <cols>
    <col min="1" max="3" width="4.140625" style="2036" hidden="1" customWidth="1"/>
    <col min="4" max="4" width="4.140625" style="2056" hidden="1" customWidth="1"/>
    <col min="5" max="5" width="3" style="2062" customWidth="1"/>
    <col min="6" max="6" width="14" style="2062" customWidth="1"/>
    <col min="7" max="7" width="3" style="2062" customWidth="1"/>
    <col min="8" max="8" width="7" style="2062" customWidth="1"/>
    <col min="9" max="10" width="16" style="2062" customWidth="1"/>
    <col min="11" max="11" width="30.28515625" style="2062" customWidth="1"/>
    <col min="12" max="12" width="7" style="2062" customWidth="1"/>
    <col min="13" max="13" width="15" style="2062" customWidth="1"/>
    <col min="14" max="14" width="3" style="2062" customWidth="1"/>
    <col min="15" max="15" width="4" style="2062" customWidth="1"/>
    <col min="16" max="16" width="8" style="2062" customWidth="1"/>
    <col min="17" max="17" width="21" style="2062" customWidth="1"/>
    <col min="18" max="18" width="14" style="2062" customWidth="1"/>
    <col min="19" max="20" width="17" style="2062" customWidth="1"/>
    <col min="21" max="21" width="9" style="2062" customWidth="1"/>
    <col min="22" max="22" width="12" style="2062" customWidth="1"/>
    <col min="23" max="23" width="9" style="2062" customWidth="1"/>
    <col min="24" max="24" width="21" style="2062" customWidth="1"/>
    <col min="25" max="25" width="12" style="2062" customWidth="1"/>
    <col min="26" max="26" width="3" style="2062" customWidth="1"/>
    <col min="27" max="27" width="6" style="2062" customWidth="1"/>
    <col min="28" max="28" width="38" style="2062" customWidth="1"/>
    <col min="29" max="29" width="15" style="2062" customWidth="1"/>
    <col min="30" max="30" width="37.5703125" style="2062" hidden="1" customWidth="1"/>
    <col min="31" max="31" width="15.7109375" style="2062" hidden="1" customWidth="1"/>
    <col min="32" max="34" width="16" style="2062" customWidth="1"/>
    <col min="35" max="37" width="16.7109375" style="2062" hidden="1" customWidth="1"/>
    <col min="38" max="58" width="8" style="2062" customWidth="1"/>
    <col min="59" max="59" width="9.140625" style="2062" hidden="1"/>
  </cols>
  <sheetData>
    <row r="1" spans="1:59" s="2056" customFormat="1" ht="10.5" hidden="1" customHeight="1">
      <c r="A1" s="820"/>
      <c r="B1" s="820"/>
      <c r="C1" s="820"/>
      <c r="E1" s="473"/>
      <c r="H1" s="1078"/>
      <c r="L1" s="1047"/>
      <c r="M1" s="1047"/>
      <c r="AD1" s="1047"/>
      <c r="AH1" s="1066"/>
      <c r="AI1" s="1059"/>
      <c r="BG1" s="353" t="s">
        <v>14</v>
      </c>
    </row>
    <row r="2" spans="1:59" ht="10.5" hidden="1" customHeight="1">
      <c r="BG2" s="692">
        <v>0</v>
      </c>
    </row>
    <row r="3" spans="1:59" s="2071" customFormat="1" ht="10.5" hidden="1" customHeight="1">
      <c r="A3" s="820"/>
      <c r="B3" s="820"/>
      <c r="C3" s="820"/>
      <c r="D3" s="353"/>
      <c r="E3" s="298"/>
      <c r="H3" s="1074"/>
      <c r="L3" s="1045"/>
      <c r="M3" s="1045"/>
      <c r="AD3" s="1045"/>
      <c r="AH3" s="1064"/>
      <c r="AI3" s="1057"/>
      <c r="BG3" s="693">
        <v>0</v>
      </c>
    </row>
    <row r="4" spans="1:59" ht="3" customHeight="1">
      <c r="BG4" s="692">
        <v>3</v>
      </c>
    </row>
    <row r="5" spans="1:59" ht="27.4" customHeight="1">
      <c r="F5" s="243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37"/>
      <c r="H5" s="2437"/>
      <c r="I5" s="2437"/>
      <c r="J5" s="2437"/>
      <c r="K5" s="2437"/>
      <c r="L5" s="1054"/>
      <c r="M5" s="1054"/>
      <c r="AG5" s="831"/>
      <c r="AH5" s="1067"/>
      <c r="BG5" s="692">
        <v>26</v>
      </c>
    </row>
    <row r="6" spans="1:59" ht="10.5" customHeight="1">
      <c r="F6" s="2409" t="str">
        <f>IF(org=0,"Не определено",org)</f>
        <v>ПАО "ТГК-1" филиал "Невский"</v>
      </c>
      <c r="G6" s="2409"/>
      <c r="H6" s="2409"/>
      <c r="I6" s="2409"/>
      <c r="J6" s="2409"/>
      <c r="K6" s="2409"/>
      <c r="L6" s="1055"/>
      <c r="M6" s="1055"/>
      <c r="BG6" s="692">
        <v>10</v>
      </c>
    </row>
    <row r="7" spans="1:59" ht="11.45" customHeight="1">
      <c r="E7" s="833"/>
      <c r="F7" s="844"/>
      <c r="G7" s="844"/>
      <c r="H7" s="1102"/>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94" t="s">
        <v>297</v>
      </c>
      <c r="G8" s="2595"/>
      <c r="H8" s="2595"/>
      <c r="I8" s="2595"/>
      <c r="J8" s="2595"/>
      <c r="K8" s="2595"/>
      <c r="L8" s="2595"/>
      <c r="M8" s="2595"/>
      <c r="N8" s="2595"/>
      <c r="O8" s="2595"/>
      <c r="P8" s="2595"/>
      <c r="Q8" s="2595"/>
      <c r="R8" s="2595"/>
      <c r="S8" s="2595"/>
      <c r="T8" s="2595"/>
      <c r="U8" s="2595"/>
      <c r="V8" s="2595"/>
      <c r="W8" s="2595"/>
      <c r="X8" s="2595"/>
      <c r="Y8" s="2595"/>
      <c r="Z8" s="2595"/>
      <c r="AA8" s="2595"/>
      <c r="AB8" s="2595"/>
      <c r="AC8" s="2595"/>
      <c r="AD8" s="2595"/>
      <c r="AE8" s="2595"/>
      <c r="AF8" s="2595"/>
      <c r="AG8" s="2595"/>
      <c r="AH8" s="2595"/>
      <c r="AI8" s="2595"/>
      <c r="AJ8" s="2595"/>
      <c r="AK8" s="2596"/>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17" t="s">
        <v>995</v>
      </c>
      <c r="G9" s="2518" t="s">
        <v>996</v>
      </c>
      <c r="H9" s="2559"/>
      <c r="I9" s="2328" t="s">
        <v>997</v>
      </c>
      <c r="J9" s="2328"/>
      <c r="K9" s="2328" t="s">
        <v>998</v>
      </c>
      <c r="L9" s="2328"/>
      <c r="M9" s="2328"/>
      <c r="N9" s="2328"/>
      <c r="O9" s="2328"/>
      <c r="P9" s="2328"/>
      <c r="Q9" s="2328"/>
      <c r="R9" s="2328"/>
      <c r="S9" s="2328"/>
      <c r="T9" s="2328"/>
      <c r="U9" s="2328"/>
      <c r="V9" s="2328"/>
      <c r="W9" s="2328"/>
      <c r="X9" s="2328"/>
      <c r="Y9" s="2328"/>
      <c r="Z9" s="2388" t="s">
        <v>999</v>
      </c>
      <c r="AA9" s="2389"/>
      <c r="AB9" s="2328" t="s">
        <v>1000</v>
      </c>
      <c r="AC9" s="2328"/>
      <c r="AD9" s="2328"/>
      <c r="AE9" s="2328"/>
      <c r="AF9" s="2387" t="s">
        <v>1001</v>
      </c>
      <c r="AG9" s="2328" t="s">
        <v>1002</v>
      </c>
      <c r="AH9" s="2328"/>
      <c r="AI9" s="2387" t="s">
        <v>1003</v>
      </c>
      <c r="AJ9" s="2328" t="s">
        <v>1004</v>
      </c>
      <c r="AK9" s="2328"/>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17"/>
      <c r="G10" s="2519"/>
      <c r="H10" s="2421"/>
      <c r="I10" s="2328"/>
      <c r="J10" s="2328"/>
      <c r="K10" s="2328" t="s">
        <v>1005</v>
      </c>
      <c r="L10" s="2310" t="s">
        <v>1006</v>
      </c>
      <c r="M10" s="2309"/>
      <c r="N10" s="2328" t="s">
        <v>1007</v>
      </c>
      <c r="O10" s="2328"/>
      <c r="P10" s="2328"/>
      <c r="Q10" s="2328"/>
      <c r="R10" s="2328"/>
      <c r="S10" s="2328"/>
      <c r="T10" s="2328"/>
      <c r="U10" s="2328"/>
      <c r="V10" s="2328"/>
      <c r="W10" s="2328"/>
      <c r="X10" s="2328"/>
      <c r="Y10" s="2328"/>
      <c r="Z10" s="2390"/>
      <c r="AA10" s="2391"/>
      <c r="AB10" s="2328"/>
      <c r="AC10" s="2328"/>
      <c r="AD10" s="2328"/>
      <c r="AE10" s="2328"/>
      <c r="AF10" s="2392"/>
      <c r="AG10" s="2328"/>
      <c r="AH10" s="2328"/>
      <c r="AI10" s="2392"/>
      <c r="AJ10" s="2328"/>
      <c r="AK10" s="2328"/>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62" customFormat="1" ht="25.15" customHeight="1">
      <c r="A11" s="1048"/>
      <c r="B11" s="1048"/>
      <c r="C11" s="1048"/>
      <c r="D11" s="1047"/>
      <c r="E11" s="1049"/>
      <c r="F11" s="2417"/>
      <c r="G11" s="2519"/>
      <c r="H11" s="2421"/>
      <c r="I11" s="2328"/>
      <c r="J11" s="2328"/>
      <c r="K11" s="2328"/>
      <c r="L11" s="2387" t="s">
        <v>1008</v>
      </c>
      <c r="M11" s="2387" t="s">
        <v>1009</v>
      </c>
      <c r="N11" s="2328" t="s">
        <v>1010</v>
      </c>
      <c r="O11" s="2328"/>
      <c r="P11" s="2385" t="s">
        <v>979</v>
      </c>
      <c r="Q11" s="2385" t="s">
        <v>1011</v>
      </c>
      <c r="R11" s="2385" t="s">
        <v>1012</v>
      </c>
      <c r="S11" s="2385" t="s">
        <v>1013</v>
      </c>
      <c r="T11" s="2385"/>
      <c r="U11" s="2385"/>
      <c r="V11" s="2385"/>
      <c r="W11" s="2385"/>
      <c r="X11" s="2385"/>
      <c r="Y11" s="2385"/>
      <c r="Z11" s="2390"/>
      <c r="AA11" s="2391"/>
      <c r="AB11" s="2328" t="s">
        <v>1014</v>
      </c>
      <c r="AC11" s="2328"/>
      <c r="AD11" s="2310" t="s">
        <v>1015</v>
      </c>
      <c r="AE11" s="2309"/>
      <c r="AF11" s="2392"/>
      <c r="AG11" s="2328"/>
      <c r="AH11" s="2328"/>
      <c r="AI11" s="2392"/>
      <c r="AJ11" s="2328"/>
      <c r="AK11" s="2328"/>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17"/>
      <c r="G12" s="2520"/>
      <c r="H12" s="2593"/>
      <c r="I12" s="1071" t="s">
        <v>91</v>
      </c>
      <c r="J12" s="1071" t="s">
        <v>1016</v>
      </c>
      <c r="K12" s="2328"/>
      <c r="L12" s="2442"/>
      <c r="M12" s="2442"/>
      <c r="N12" s="2328"/>
      <c r="O12" s="2328"/>
      <c r="P12" s="2385"/>
      <c r="Q12" s="2385"/>
      <c r="R12" s="2385"/>
      <c r="S12" s="1053" t="s">
        <v>88</v>
      </c>
      <c r="T12" s="1053" t="s">
        <v>89</v>
      </c>
      <c r="U12" s="1053" t="s">
        <v>87</v>
      </c>
      <c r="V12" s="1053" t="s">
        <v>1017</v>
      </c>
      <c r="W12" s="1053" t="s">
        <v>87</v>
      </c>
      <c r="X12" s="1053" t="s">
        <v>1018</v>
      </c>
      <c r="Y12" s="1053" t="s">
        <v>1019</v>
      </c>
      <c r="Z12" s="2393"/>
      <c r="AA12" s="2394"/>
      <c r="AB12" s="1060" t="s">
        <v>1020</v>
      </c>
      <c r="AC12" s="1060" t="s">
        <v>1021</v>
      </c>
      <c r="AD12" s="1060" t="s">
        <v>1020</v>
      </c>
      <c r="AE12" s="1060" t="s">
        <v>1021</v>
      </c>
      <c r="AF12" s="2442"/>
      <c r="AG12" s="1072" t="s">
        <v>1022</v>
      </c>
      <c r="AH12" s="1072" t="s">
        <v>1023</v>
      </c>
      <c r="AI12" s="2442"/>
      <c r="AJ12" s="1072" t="s">
        <v>1022</v>
      </c>
      <c r="AK12" s="1072" t="s">
        <v>1023</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5" t="s">
        <v>992</v>
      </c>
      <c r="B14" s="1084"/>
      <c r="C14" s="1084"/>
      <c r="D14" s="1078"/>
      <c r="E14" s="1088" t="s">
        <v>22</v>
      </c>
      <c r="F14" s="1041" t="str">
        <f>INDEX(IP_MAIN_LIST_NAME_IP,MATCH(A14,IP_MAIN_LIST_IP_ID,0))&amp;" ("&amp;INDEX(IP_MAIN_START_DATE,MATCH(A14,IP_MAIN_LIST_IP_ID,0))&amp;"-"&amp;INDEX(IP_MAIN_END_DATE,MATCH(A14,IP_MAIN_LIST_IP_ID,0))&amp;")"</f>
        <v>Инвестиционная программа от 30.10.2023 ПАО "ТГК-1" филиал "Невский" в сфере теплоснабжения по комплексному развитию систем теплоснабжения на 2024-2028 годы (01.01.2024-31.12.2028)</v>
      </c>
      <c r="G14" s="1042"/>
      <c r="H14" s="1042"/>
      <c r="I14" s="1103"/>
      <c r="J14" s="1103"/>
      <c r="K14" s="1104"/>
      <c r="L14" s="1104"/>
      <c r="M14" s="1104"/>
      <c r="N14" s="1105"/>
      <c r="O14" s="1105"/>
      <c r="P14" s="1105"/>
      <c r="Q14" s="1105"/>
      <c r="R14" s="1105"/>
      <c r="S14" s="1105"/>
      <c r="T14" s="1105"/>
      <c r="U14" s="1105"/>
      <c r="V14" s="1105"/>
      <c r="W14" s="1105"/>
      <c r="X14" s="1105"/>
      <c r="Y14" s="1105"/>
      <c r="Z14" s="1105"/>
      <c r="AA14" s="1105"/>
      <c r="AB14" s="1105"/>
      <c r="AC14" s="1105"/>
      <c r="AD14" s="1105"/>
      <c r="AE14" s="1106"/>
      <c r="AF14" s="1104"/>
      <c r="AG14" s="1104"/>
      <c r="AH14" s="1104"/>
      <c r="AI14" s="1104"/>
      <c r="AJ14" s="1104"/>
      <c r="AK14" s="1104"/>
      <c r="AL14" s="1900"/>
      <c r="AM14" s="1738"/>
      <c r="AN14" s="1738"/>
      <c r="AO14" s="1738"/>
      <c r="AP14" s="1738"/>
      <c r="AQ14" s="1738"/>
      <c r="AR14" s="1738"/>
      <c r="AS14" s="1738"/>
      <c r="AT14" s="1738"/>
      <c r="AU14" s="1738"/>
      <c r="AV14" s="1738"/>
      <c r="AW14" s="1738"/>
      <c r="AX14" s="1738"/>
      <c r="AY14" s="1738"/>
      <c r="AZ14" s="1738"/>
      <c r="BA14" s="1738"/>
      <c r="BB14" s="1738"/>
      <c r="BC14" s="1738"/>
      <c r="BD14" s="1738"/>
      <c r="BE14" s="1738"/>
      <c r="BF14" s="1738"/>
    </row>
    <row r="15" spans="1:59" ht="0.75" customHeight="1">
      <c r="A15" s="1084" t="s">
        <v>992</v>
      </c>
      <c r="B15" s="1084"/>
      <c r="C15" s="1084"/>
      <c r="D15" s="1078"/>
      <c r="E15" s="1088"/>
      <c r="F15" s="2604">
        <v>2024</v>
      </c>
      <c r="G15" s="2601"/>
      <c r="H15" s="2609" t="s">
        <v>373</v>
      </c>
      <c r="I15" s="2610"/>
      <c r="J15" s="2600"/>
      <c r="K15" s="2600"/>
      <c r="L15" s="2602"/>
      <c r="M15" s="2453"/>
      <c r="N15" s="1948"/>
      <c r="O15" s="1947"/>
      <c r="P15" s="1948"/>
      <c r="Q15" s="1948"/>
      <c r="R15" s="1948"/>
      <c r="S15" s="1948"/>
      <c r="T15" s="1948"/>
      <c r="U15" s="1948"/>
      <c r="V15" s="1948"/>
      <c r="W15" s="1948"/>
      <c r="X15" s="1948"/>
      <c r="Y15" s="1948"/>
      <c r="Z15" s="1948"/>
      <c r="AA15" s="1948"/>
      <c r="AB15" s="1948"/>
      <c r="AC15" s="1948"/>
      <c r="AD15" s="1948"/>
      <c r="AE15" s="1948"/>
      <c r="AF15" s="2608"/>
      <c r="AG15" s="2602"/>
      <c r="AH15" s="2602"/>
      <c r="AI15" s="2608"/>
      <c r="AJ15" s="2602"/>
      <c r="AK15" s="2602"/>
      <c r="AL15" s="1900"/>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row>
    <row r="16" spans="1:59" ht="0.75" customHeight="1">
      <c r="A16" s="1084" t="s">
        <v>992</v>
      </c>
      <c r="B16" s="1084"/>
      <c r="C16" s="1084"/>
      <c r="D16" s="1078"/>
      <c r="E16" s="1088"/>
      <c r="F16" s="2604"/>
      <c r="G16" s="2601"/>
      <c r="H16" s="2609"/>
      <c r="I16" s="2610"/>
      <c r="J16" s="2600"/>
      <c r="K16" s="2600"/>
      <c r="L16" s="2602"/>
      <c r="M16" s="2453"/>
      <c r="N16" s="2611"/>
      <c r="O16" s="2612"/>
      <c r="P16" s="2597"/>
      <c r="Q16" s="2600"/>
      <c r="R16" s="2600"/>
      <c r="S16" s="2600"/>
      <c r="T16" s="2600"/>
      <c r="U16" s="2600"/>
      <c r="V16" s="2600"/>
      <c r="W16" s="2600"/>
      <c r="X16" s="2600"/>
      <c r="Y16" s="2600"/>
      <c r="Z16" s="1949"/>
      <c r="AA16" s="1950"/>
      <c r="AB16" s="1950"/>
      <c r="AC16" s="1951"/>
      <c r="AD16" s="1951"/>
      <c r="AE16" s="1952"/>
      <c r="AF16" s="2608"/>
      <c r="AG16" s="2602"/>
      <c r="AH16" s="2602"/>
      <c r="AI16" s="2608"/>
      <c r="AJ16" s="2602"/>
      <c r="AK16" s="2602"/>
      <c r="AL16" s="1900"/>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row>
    <row r="17" spans="1:58" ht="0.75" customHeight="1">
      <c r="A17" s="1084" t="s">
        <v>992</v>
      </c>
      <c r="B17" s="1084"/>
      <c r="C17" s="1084"/>
      <c r="D17" s="1078"/>
      <c r="E17" s="1088"/>
      <c r="F17" s="2604"/>
      <c r="G17" s="2601"/>
      <c r="H17" s="2609"/>
      <c r="I17" s="2610"/>
      <c r="J17" s="2600"/>
      <c r="K17" s="2600"/>
      <c r="L17" s="2602"/>
      <c r="M17" s="2453"/>
      <c r="N17" s="2611"/>
      <c r="O17" s="2612"/>
      <c r="P17" s="2598"/>
      <c r="Q17" s="2600"/>
      <c r="R17" s="2600"/>
      <c r="S17" s="2600"/>
      <c r="T17" s="2600"/>
      <c r="U17" s="2600"/>
      <c r="V17" s="2600"/>
      <c r="W17" s="2600"/>
      <c r="X17" s="2600"/>
      <c r="Y17" s="2600"/>
      <c r="Z17" s="1953"/>
      <c r="AA17" s="1954"/>
      <c r="AB17" s="1955"/>
      <c r="AC17" s="1956"/>
      <c r="AD17" s="1955"/>
      <c r="AE17" s="1956"/>
      <c r="AF17" s="2608"/>
      <c r="AG17" s="2602"/>
      <c r="AH17" s="2602"/>
      <c r="AI17" s="2608"/>
      <c r="AJ17" s="2602"/>
      <c r="AK17" s="2602"/>
      <c r="AL17" s="1900"/>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row>
    <row r="18" spans="1:58" ht="0.75" customHeight="1">
      <c r="A18" s="1084" t="s">
        <v>992</v>
      </c>
      <c r="B18" s="1084"/>
      <c r="C18" s="1084"/>
      <c r="D18" s="1078"/>
      <c r="E18" s="1088"/>
      <c r="F18" s="2604"/>
      <c r="G18" s="2601"/>
      <c r="H18" s="2609"/>
      <c r="I18" s="2610"/>
      <c r="J18" s="2600"/>
      <c r="K18" s="2600"/>
      <c r="L18" s="2602"/>
      <c r="M18" s="2453"/>
      <c r="N18" s="2611"/>
      <c r="O18" s="2612"/>
      <c r="P18" s="2599"/>
      <c r="Q18" s="2600"/>
      <c r="R18" s="2600"/>
      <c r="S18" s="2600"/>
      <c r="T18" s="2600"/>
      <c r="U18" s="2600"/>
      <c r="V18" s="2600"/>
      <c r="W18" s="2600"/>
      <c r="X18" s="2600"/>
      <c r="Y18" s="2600"/>
      <c r="Z18" s="1949"/>
      <c r="AA18" s="1950"/>
      <c r="AB18" s="1957"/>
      <c r="AC18" s="1951"/>
      <c r="AD18" s="1951"/>
      <c r="AE18" s="1958"/>
      <c r="AF18" s="2608"/>
      <c r="AG18" s="2602"/>
      <c r="AH18" s="2602"/>
      <c r="AI18" s="2608"/>
      <c r="AJ18" s="2602"/>
      <c r="AK18" s="2602"/>
      <c r="AL18" s="1900"/>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row>
    <row r="19" spans="1:58" ht="0.75" customHeight="1">
      <c r="A19" s="1084" t="s">
        <v>992</v>
      </c>
      <c r="B19" s="1084"/>
      <c r="C19" s="1084"/>
      <c r="D19" s="1078"/>
      <c r="E19" s="1088"/>
      <c r="F19" s="2604"/>
      <c r="G19" s="2601"/>
      <c r="H19" s="2609"/>
      <c r="I19" s="2610"/>
      <c r="J19" s="2600"/>
      <c r="K19" s="2600"/>
      <c r="L19" s="2602"/>
      <c r="M19" s="2453"/>
      <c r="N19" s="1950"/>
      <c r="O19" s="1950"/>
      <c r="P19" s="1957"/>
      <c r="Q19" s="1950"/>
      <c r="R19" s="1950"/>
      <c r="S19" s="1950"/>
      <c r="T19" s="1950"/>
      <c r="U19" s="1950"/>
      <c r="V19" s="1950"/>
      <c r="W19" s="1950"/>
      <c r="X19" s="1950"/>
      <c r="Y19" s="1950"/>
      <c r="Z19" s="1950"/>
      <c r="AA19" s="1950"/>
      <c r="AB19" s="1950"/>
      <c r="AC19" s="1950"/>
      <c r="AD19" s="1950"/>
      <c r="AE19" s="1959"/>
      <c r="AF19" s="2608"/>
      <c r="AG19" s="2602"/>
      <c r="AH19" s="2602"/>
      <c r="AI19" s="2608"/>
      <c r="AJ19" s="2602"/>
      <c r="AK19" s="2602"/>
      <c r="AL19" s="1900"/>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row>
    <row r="20" spans="1:58" ht="27" customHeight="1">
      <c r="A20" s="1084" t="s">
        <v>992</v>
      </c>
      <c r="B20" s="1084" t="s">
        <v>22</v>
      </c>
      <c r="C20" s="1084"/>
      <c r="D20" s="1078"/>
      <c r="E20" s="1088"/>
      <c r="F20" s="2605"/>
      <c r="G20" s="2590" t="s">
        <v>686</v>
      </c>
      <c r="H20" s="2601" t="s">
        <v>108</v>
      </c>
      <c r="I20" s="2613" t="s">
        <v>1024</v>
      </c>
      <c r="J20" s="2614" t="s">
        <v>22</v>
      </c>
      <c r="K20" s="2615" t="s">
        <v>1025</v>
      </c>
      <c r="L20" s="2338" t="s">
        <v>19</v>
      </c>
      <c r="M20" s="2339"/>
      <c r="N20" s="1898"/>
      <c r="O20" s="1095" t="s">
        <v>373</v>
      </c>
      <c r="P20" s="1096"/>
      <c r="Q20" s="1096"/>
      <c r="R20" s="1096"/>
      <c r="S20" s="1096"/>
      <c r="T20" s="1096"/>
      <c r="U20" s="1096"/>
      <c r="V20" s="1096"/>
      <c r="W20" s="1096"/>
      <c r="X20" s="1096"/>
      <c r="Y20" s="1096"/>
      <c r="Z20" s="1096"/>
      <c r="AA20" s="1096"/>
      <c r="AB20" s="1096"/>
      <c r="AC20" s="1096"/>
      <c r="AD20" s="1096"/>
      <c r="AE20" s="1096"/>
      <c r="AF20" s="2616">
        <v>5</v>
      </c>
      <c r="AG20" s="2617" t="s">
        <v>1026</v>
      </c>
      <c r="AH20" s="2617" t="s">
        <v>1027</v>
      </c>
      <c r="AI20" s="2616"/>
      <c r="AJ20" s="2617"/>
      <c r="AK20" s="2617"/>
      <c r="AL20" s="1900"/>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row>
    <row r="21" spans="1:58" ht="14.25" customHeight="1">
      <c r="A21" s="1084" t="s">
        <v>992</v>
      </c>
      <c r="B21" s="1084"/>
      <c r="C21" s="1084"/>
      <c r="D21" s="1078"/>
      <c r="E21" s="1088"/>
      <c r="F21" s="2605"/>
      <c r="G21" s="2606"/>
      <c r="H21" s="2601" t="s">
        <v>373</v>
      </c>
      <c r="I21" s="2613"/>
      <c r="J21" s="2614"/>
      <c r="K21" s="2615"/>
      <c r="L21" s="2338"/>
      <c r="M21" s="2339"/>
      <c r="N21" s="2618"/>
      <c r="O21" s="2619">
        <v>1</v>
      </c>
      <c r="P21" s="2620" t="s">
        <v>19</v>
      </c>
      <c r="Q21" s="2573" t="s">
        <v>22</v>
      </c>
      <c r="R21" s="2573" t="s">
        <v>22</v>
      </c>
      <c r="S21" s="2573" t="s">
        <v>22</v>
      </c>
      <c r="T21" s="2573" t="s">
        <v>22</v>
      </c>
      <c r="U21" s="2573" t="s">
        <v>22</v>
      </c>
      <c r="V21" s="2573" t="s">
        <v>22</v>
      </c>
      <c r="W21" s="2573" t="s">
        <v>22</v>
      </c>
      <c r="X21" s="2573" t="s">
        <v>22</v>
      </c>
      <c r="Y21" s="2573"/>
      <c r="Z21" s="1093"/>
      <c r="AA21" s="1094"/>
      <c r="AB21" s="1094"/>
      <c r="AC21" s="1098"/>
      <c r="AD21" s="1098"/>
      <c r="AE21" s="1099"/>
      <c r="AF21" s="2616"/>
      <c r="AG21" s="2617"/>
      <c r="AH21" s="2617"/>
      <c r="AI21" s="2616"/>
      <c r="AJ21" s="2617"/>
      <c r="AK21" s="2617"/>
      <c r="AL21" s="1900"/>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row>
    <row r="22" spans="1:58" ht="24" customHeight="1">
      <c r="A22" s="1084" t="s">
        <v>992</v>
      </c>
      <c r="B22" s="1084"/>
      <c r="C22" s="1084"/>
      <c r="D22" s="1078"/>
      <c r="E22" s="1088"/>
      <c r="F22" s="2605"/>
      <c r="G22" s="2606"/>
      <c r="H22" s="2601" t="s">
        <v>373</v>
      </c>
      <c r="I22" s="2613"/>
      <c r="J22" s="2614"/>
      <c r="K22" s="2615"/>
      <c r="L22" s="2338"/>
      <c r="M22" s="2339"/>
      <c r="N22" s="2618"/>
      <c r="O22" s="2619"/>
      <c r="P22" s="2621"/>
      <c r="Q22" s="2573"/>
      <c r="R22" s="2573"/>
      <c r="S22" s="2623"/>
      <c r="T22" s="2573"/>
      <c r="U22" s="2573"/>
      <c r="V22" s="2573"/>
      <c r="W22" s="2573"/>
      <c r="X22" s="2573"/>
      <c r="Y22" s="2573"/>
      <c r="Z22" s="1743"/>
      <c r="AA22" s="1711">
        <v>1</v>
      </c>
      <c r="AB22" s="1097" t="s">
        <v>1028</v>
      </c>
      <c r="AC22" s="1087">
        <v>14962.191999999999</v>
      </c>
      <c r="AD22" s="1097" t="str">
        <f>AB22</f>
        <v xml:space="preserve">  Прочие</v>
      </c>
      <c r="AE22" s="1087"/>
      <c r="AF22" s="2616"/>
      <c r="AG22" s="2617"/>
      <c r="AH22" s="2617"/>
      <c r="AI22" s="2616"/>
      <c r="AJ22" s="2617"/>
      <c r="AK22" s="2617"/>
      <c r="AL22" s="1900"/>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row>
    <row r="23" spans="1:58" ht="24" customHeight="1">
      <c r="A23" s="1084" t="s">
        <v>992</v>
      </c>
      <c r="B23" s="1084"/>
      <c r="C23" s="1084"/>
      <c r="D23" s="1078"/>
      <c r="E23" s="1088"/>
      <c r="F23" s="2605"/>
      <c r="G23" s="2606"/>
      <c r="H23" s="2601" t="s">
        <v>373</v>
      </c>
      <c r="I23" s="2613"/>
      <c r="J23" s="2614"/>
      <c r="K23" s="2615"/>
      <c r="L23" s="2338"/>
      <c r="M23" s="2339"/>
      <c r="N23" s="2618"/>
      <c r="O23" s="2619"/>
      <c r="P23" s="2622"/>
      <c r="Q23" s="2573"/>
      <c r="R23" s="2573"/>
      <c r="S23" s="2623"/>
      <c r="T23" s="2573"/>
      <c r="U23" s="2573"/>
      <c r="V23" s="2573"/>
      <c r="W23" s="2573"/>
      <c r="X23" s="2573"/>
      <c r="Y23" s="2573"/>
      <c r="Z23" s="1093"/>
      <c r="AA23" s="1094"/>
      <c r="AB23" s="1159" t="s">
        <v>1029</v>
      </c>
      <c r="AC23" s="1098"/>
      <c r="AD23" s="1098"/>
      <c r="AE23" s="1100"/>
      <c r="AF23" s="2616"/>
      <c r="AG23" s="2617"/>
      <c r="AH23" s="2617"/>
      <c r="AI23" s="2616"/>
      <c r="AJ23" s="2617"/>
      <c r="AK23" s="2617"/>
      <c r="AL23" s="1900"/>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row>
    <row r="24" spans="1:58" ht="24" customHeight="1">
      <c r="A24" s="1084" t="s">
        <v>992</v>
      </c>
      <c r="B24" s="1084"/>
      <c r="C24" s="1084"/>
      <c r="D24" s="1078"/>
      <c r="E24" s="1088"/>
      <c r="F24" s="2605"/>
      <c r="G24" s="2606"/>
      <c r="H24" s="2601" t="s">
        <v>373</v>
      </c>
      <c r="I24" s="2613"/>
      <c r="J24" s="2614"/>
      <c r="K24" s="2615"/>
      <c r="L24" s="2338"/>
      <c r="M24" s="2339"/>
      <c r="N24" s="1093"/>
      <c r="O24" s="1094"/>
      <c r="P24" s="1086" t="s">
        <v>1030</v>
      </c>
      <c r="Q24" s="1094"/>
      <c r="R24" s="1094"/>
      <c r="S24" s="1094"/>
      <c r="T24" s="1094"/>
      <c r="U24" s="1094"/>
      <c r="V24" s="1094"/>
      <c r="W24" s="1094"/>
      <c r="X24" s="1094"/>
      <c r="Y24" s="1094"/>
      <c r="Z24" s="1094"/>
      <c r="AA24" s="1094"/>
      <c r="AB24" s="1094"/>
      <c r="AC24" s="1094"/>
      <c r="AD24" s="1094"/>
      <c r="AE24" s="1101"/>
      <c r="AF24" s="2616"/>
      <c r="AG24" s="2617"/>
      <c r="AH24" s="2617"/>
      <c r="AI24" s="2616"/>
      <c r="AJ24" s="2617"/>
      <c r="AK24" s="2617"/>
      <c r="AL24" s="1900"/>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row>
    <row r="25" spans="1:58" ht="11.25" customHeight="1">
      <c r="A25" s="1084" t="s">
        <v>992</v>
      </c>
      <c r="B25" s="1084" t="s">
        <v>1031</v>
      </c>
      <c r="C25" s="1084"/>
      <c r="D25" s="1078"/>
      <c r="E25" s="1088"/>
      <c r="F25" s="2605"/>
      <c r="G25" s="2590" t="s">
        <v>686</v>
      </c>
      <c r="H25" s="2601" t="s">
        <v>109</v>
      </c>
      <c r="I25" s="2613" t="s">
        <v>1032</v>
      </c>
      <c r="J25" s="2624" t="s">
        <v>1033</v>
      </c>
      <c r="K25" s="2615" t="s">
        <v>1034</v>
      </c>
      <c r="L25" s="2338" t="s">
        <v>19</v>
      </c>
      <c r="M25" s="2339"/>
      <c r="N25" s="1898"/>
      <c r="O25" s="1095" t="s">
        <v>373</v>
      </c>
      <c r="P25" s="1096"/>
      <c r="Q25" s="1096"/>
      <c r="R25" s="1096"/>
      <c r="S25" s="1096"/>
      <c r="T25" s="1096"/>
      <c r="U25" s="1096"/>
      <c r="V25" s="1096"/>
      <c r="W25" s="1096"/>
      <c r="X25" s="1096"/>
      <c r="Y25" s="1096"/>
      <c r="Z25" s="1096"/>
      <c r="AA25" s="1096"/>
      <c r="AB25" s="1096"/>
      <c r="AC25" s="1096"/>
      <c r="AD25" s="1096"/>
      <c r="AE25" s="1096"/>
      <c r="AF25" s="2616">
        <v>11</v>
      </c>
      <c r="AG25" s="2617" t="s">
        <v>1026</v>
      </c>
      <c r="AH25" s="2617" t="s">
        <v>1035</v>
      </c>
      <c r="AI25" s="2616"/>
      <c r="AJ25" s="2617"/>
      <c r="AK25" s="2617"/>
      <c r="AL25" s="1900"/>
      <c r="AM25" s="1738"/>
      <c r="AN25" s="1738"/>
      <c r="AO25" s="1738"/>
      <c r="AP25" s="1738"/>
      <c r="AQ25" s="1738"/>
      <c r="AR25" s="1738"/>
      <c r="AS25" s="1738"/>
      <c r="AT25" s="1738"/>
      <c r="AU25" s="1738"/>
      <c r="AV25" s="1738"/>
      <c r="AW25" s="1738"/>
      <c r="AX25" s="1738"/>
      <c r="AY25" s="1738"/>
      <c r="AZ25" s="1738"/>
      <c r="BA25" s="1738"/>
      <c r="BB25" s="1738"/>
      <c r="BC25" s="1738"/>
      <c r="BD25" s="1738"/>
      <c r="BE25" s="1738"/>
      <c r="BF25" s="1738"/>
    </row>
    <row r="26" spans="1:58" ht="11.25" customHeight="1">
      <c r="A26" s="1084" t="s">
        <v>992</v>
      </c>
      <c r="B26" s="1084"/>
      <c r="C26" s="1084"/>
      <c r="D26" s="1078"/>
      <c r="E26" s="1088"/>
      <c r="F26" s="2605"/>
      <c r="G26" s="2606"/>
      <c r="H26" s="2601" t="s">
        <v>108</v>
      </c>
      <c r="I26" s="2613"/>
      <c r="J26" s="2624"/>
      <c r="K26" s="2615"/>
      <c r="L26" s="2338"/>
      <c r="M26" s="2339"/>
      <c r="N26" s="2618"/>
      <c r="O26" s="2619">
        <v>1</v>
      </c>
      <c r="P26" s="2620" t="s">
        <v>19</v>
      </c>
      <c r="Q26" s="2573" t="s">
        <v>22</v>
      </c>
      <c r="R26" s="2573" t="s">
        <v>22</v>
      </c>
      <c r="S26" s="2573" t="s">
        <v>22</v>
      </c>
      <c r="T26" s="2573" t="s">
        <v>22</v>
      </c>
      <c r="U26" s="2573" t="s">
        <v>22</v>
      </c>
      <c r="V26" s="2573" t="s">
        <v>22</v>
      </c>
      <c r="W26" s="2573" t="s">
        <v>22</v>
      </c>
      <c r="X26" s="2573" t="s">
        <v>22</v>
      </c>
      <c r="Y26" s="2573"/>
      <c r="Z26" s="1093"/>
      <c r="AA26" s="1094"/>
      <c r="AB26" s="1094"/>
      <c r="AC26" s="1098"/>
      <c r="AD26" s="1098"/>
      <c r="AE26" s="1099"/>
      <c r="AF26" s="2616"/>
      <c r="AG26" s="2617"/>
      <c r="AH26" s="2617"/>
      <c r="AI26" s="2616"/>
      <c r="AJ26" s="2617"/>
      <c r="AK26" s="2617"/>
      <c r="AL26" s="1900"/>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row>
    <row r="27" spans="1:58" ht="11.25" customHeight="1">
      <c r="A27" s="1084" t="s">
        <v>992</v>
      </c>
      <c r="B27" s="1084"/>
      <c r="C27" s="1084"/>
      <c r="D27" s="1078"/>
      <c r="E27" s="1088"/>
      <c r="F27" s="2605"/>
      <c r="G27" s="2606"/>
      <c r="H27" s="2601" t="s">
        <v>108</v>
      </c>
      <c r="I27" s="2613"/>
      <c r="J27" s="2624"/>
      <c r="K27" s="2615"/>
      <c r="L27" s="2338"/>
      <c r="M27" s="2339"/>
      <c r="N27" s="2618"/>
      <c r="O27" s="2619"/>
      <c r="P27" s="2621"/>
      <c r="Q27" s="2573"/>
      <c r="R27" s="2573"/>
      <c r="S27" s="2623"/>
      <c r="T27" s="2573"/>
      <c r="U27" s="2573"/>
      <c r="V27" s="2573"/>
      <c r="W27" s="2573"/>
      <c r="X27" s="2573"/>
      <c r="Y27" s="2573"/>
      <c r="Z27" s="1743"/>
      <c r="AA27" s="1711">
        <v>1</v>
      </c>
      <c r="AB27" s="1097" t="s">
        <v>1036</v>
      </c>
      <c r="AC27" s="1087">
        <v>82470.097943999994</v>
      </c>
      <c r="AD27" s="1097" t="str">
        <f>AB27</f>
        <v xml:space="preserve">      Прочие амортизационные отчисления</v>
      </c>
      <c r="AE27" s="1087"/>
      <c r="AF27" s="2616"/>
      <c r="AG27" s="2617"/>
      <c r="AH27" s="2617"/>
      <c r="AI27" s="2616"/>
      <c r="AJ27" s="2617"/>
      <c r="AK27" s="2617"/>
      <c r="AL27" s="1900"/>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row>
    <row r="28" spans="1:58" ht="11.25" customHeight="1">
      <c r="A28" s="1084" t="s">
        <v>992</v>
      </c>
      <c r="B28" s="1084"/>
      <c r="C28" s="1084"/>
      <c r="D28" s="1078"/>
      <c r="E28" s="1088"/>
      <c r="F28" s="2605"/>
      <c r="G28" s="2606"/>
      <c r="H28" s="2601" t="s">
        <v>108</v>
      </c>
      <c r="I28" s="2613"/>
      <c r="J28" s="2624"/>
      <c r="K28" s="2615"/>
      <c r="L28" s="2338"/>
      <c r="M28" s="2339"/>
      <c r="N28" s="2618"/>
      <c r="O28" s="2619"/>
      <c r="P28" s="2622"/>
      <c r="Q28" s="2573"/>
      <c r="R28" s="2573"/>
      <c r="S28" s="2623"/>
      <c r="T28" s="2573"/>
      <c r="U28" s="2573"/>
      <c r="V28" s="2573"/>
      <c r="W28" s="2573"/>
      <c r="X28" s="2573"/>
      <c r="Y28" s="2573"/>
      <c r="Z28" s="1093"/>
      <c r="AA28" s="1094"/>
      <c r="AB28" s="1159" t="s">
        <v>1029</v>
      </c>
      <c r="AC28" s="1098"/>
      <c r="AD28" s="1098"/>
      <c r="AE28" s="1100"/>
      <c r="AF28" s="2616"/>
      <c r="AG28" s="2617"/>
      <c r="AH28" s="2617"/>
      <c r="AI28" s="2616"/>
      <c r="AJ28" s="2617"/>
      <c r="AK28" s="2617"/>
      <c r="AL28" s="1900"/>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row>
    <row r="29" spans="1:58" ht="11.25" customHeight="1">
      <c r="A29" s="1084" t="s">
        <v>992</v>
      </c>
      <c r="B29" s="1084"/>
      <c r="C29" s="1084"/>
      <c r="D29" s="1078"/>
      <c r="E29" s="1088"/>
      <c r="F29" s="2605"/>
      <c r="G29" s="2606"/>
      <c r="H29" s="2601" t="s">
        <v>108</v>
      </c>
      <c r="I29" s="2613"/>
      <c r="J29" s="2624"/>
      <c r="K29" s="2615"/>
      <c r="L29" s="2338"/>
      <c r="M29" s="2339"/>
      <c r="N29" s="1093"/>
      <c r="O29" s="1094"/>
      <c r="P29" s="1086" t="s">
        <v>1030</v>
      </c>
      <c r="Q29" s="1094"/>
      <c r="R29" s="1094"/>
      <c r="S29" s="1094"/>
      <c r="T29" s="1094"/>
      <c r="U29" s="1094"/>
      <c r="V29" s="1094"/>
      <c r="W29" s="1094"/>
      <c r="X29" s="1094"/>
      <c r="Y29" s="1094"/>
      <c r="Z29" s="1094"/>
      <c r="AA29" s="1094"/>
      <c r="AB29" s="1094"/>
      <c r="AC29" s="1094"/>
      <c r="AD29" s="1094"/>
      <c r="AE29" s="1101"/>
      <c r="AF29" s="2616"/>
      <c r="AG29" s="2617"/>
      <c r="AH29" s="2617"/>
      <c r="AI29" s="2616"/>
      <c r="AJ29" s="2617"/>
      <c r="AK29" s="2617"/>
      <c r="AL29" s="1900"/>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row>
    <row r="30" spans="1:58" ht="11.25" customHeight="1">
      <c r="A30" s="1084" t="s">
        <v>992</v>
      </c>
      <c r="B30" s="1084" t="s">
        <v>1031</v>
      </c>
      <c r="C30" s="1084"/>
      <c r="D30" s="1078"/>
      <c r="E30" s="1088"/>
      <c r="F30" s="2605"/>
      <c r="G30" s="2590" t="s">
        <v>686</v>
      </c>
      <c r="H30" s="2601" t="s">
        <v>92</v>
      </c>
      <c r="I30" s="2613" t="s">
        <v>1032</v>
      </c>
      <c r="J30" s="2624" t="s">
        <v>1033</v>
      </c>
      <c r="K30" s="2615" t="s">
        <v>1037</v>
      </c>
      <c r="L30" s="2338" t="s">
        <v>19</v>
      </c>
      <c r="M30" s="2339"/>
      <c r="N30" s="1898"/>
      <c r="O30" s="1095" t="s">
        <v>373</v>
      </c>
      <c r="P30" s="1096"/>
      <c r="Q30" s="1096"/>
      <c r="R30" s="1096"/>
      <c r="S30" s="1096"/>
      <c r="T30" s="1096"/>
      <c r="U30" s="1096"/>
      <c r="V30" s="1096"/>
      <c r="W30" s="1096"/>
      <c r="X30" s="1096"/>
      <c r="Y30" s="1096"/>
      <c r="Z30" s="1096"/>
      <c r="AA30" s="1096"/>
      <c r="AB30" s="1096"/>
      <c r="AC30" s="1096"/>
      <c r="AD30" s="1096"/>
      <c r="AE30" s="1096"/>
      <c r="AF30" s="2616">
        <v>12</v>
      </c>
      <c r="AG30" s="2617" t="s">
        <v>1026</v>
      </c>
      <c r="AH30" s="2617" t="s">
        <v>1038</v>
      </c>
      <c r="AI30" s="2616"/>
      <c r="AJ30" s="2617"/>
      <c r="AK30" s="2617"/>
      <c r="AL30" s="1900"/>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row>
    <row r="31" spans="1:58" ht="11.25" customHeight="1">
      <c r="A31" s="1084" t="s">
        <v>992</v>
      </c>
      <c r="B31" s="1084"/>
      <c r="C31" s="1084"/>
      <c r="D31" s="1078"/>
      <c r="E31" s="1088"/>
      <c r="F31" s="2605"/>
      <c r="G31" s="2606"/>
      <c r="H31" s="2601" t="s">
        <v>109</v>
      </c>
      <c r="I31" s="2613"/>
      <c r="J31" s="2624"/>
      <c r="K31" s="2615"/>
      <c r="L31" s="2338"/>
      <c r="M31" s="2339"/>
      <c r="N31" s="2618"/>
      <c r="O31" s="2619">
        <v>1</v>
      </c>
      <c r="P31" s="2620" t="s">
        <v>19</v>
      </c>
      <c r="Q31" s="2573" t="s">
        <v>22</v>
      </c>
      <c r="R31" s="2573" t="s">
        <v>22</v>
      </c>
      <c r="S31" s="2573" t="s">
        <v>22</v>
      </c>
      <c r="T31" s="2573" t="s">
        <v>22</v>
      </c>
      <c r="U31" s="2573" t="s">
        <v>22</v>
      </c>
      <c r="V31" s="2573" t="s">
        <v>22</v>
      </c>
      <c r="W31" s="2573" t="s">
        <v>22</v>
      </c>
      <c r="X31" s="2573" t="s">
        <v>22</v>
      </c>
      <c r="Y31" s="2573"/>
      <c r="Z31" s="1093"/>
      <c r="AA31" s="1094"/>
      <c r="AB31" s="1094"/>
      <c r="AC31" s="1098"/>
      <c r="AD31" s="1098"/>
      <c r="AE31" s="1099"/>
      <c r="AF31" s="2616"/>
      <c r="AG31" s="2617"/>
      <c r="AH31" s="2617"/>
      <c r="AI31" s="2616"/>
      <c r="AJ31" s="2617"/>
      <c r="AK31" s="2617"/>
      <c r="AL31" s="1900"/>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row>
    <row r="32" spans="1:58" ht="11.25" customHeight="1">
      <c r="A32" s="1084" t="s">
        <v>992</v>
      </c>
      <c r="B32" s="1084"/>
      <c r="C32" s="1084"/>
      <c r="D32" s="1078"/>
      <c r="E32" s="1088"/>
      <c r="F32" s="2605"/>
      <c r="G32" s="2606"/>
      <c r="H32" s="2601" t="s">
        <v>109</v>
      </c>
      <c r="I32" s="2613"/>
      <c r="J32" s="2624"/>
      <c r="K32" s="2615"/>
      <c r="L32" s="2338"/>
      <c r="M32" s="2339"/>
      <c r="N32" s="2618"/>
      <c r="O32" s="2619"/>
      <c r="P32" s="2621"/>
      <c r="Q32" s="2573"/>
      <c r="R32" s="2573"/>
      <c r="S32" s="2623"/>
      <c r="T32" s="2573"/>
      <c r="U32" s="2573"/>
      <c r="V32" s="2573"/>
      <c r="W32" s="2573"/>
      <c r="X32" s="2573"/>
      <c r="Y32" s="2573"/>
      <c r="Z32" s="1743"/>
      <c r="AA32" s="1711">
        <v>1</v>
      </c>
      <c r="AB32" s="1097" t="s">
        <v>1036</v>
      </c>
      <c r="AC32" s="1087">
        <v>1635651.54979532</v>
      </c>
      <c r="AD32" s="1097" t="str">
        <f>AB32</f>
        <v xml:space="preserve">      Прочие амортизационные отчисления</v>
      </c>
      <c r="AE32" s="1087"/>
      <c r="AF32" s="2616"/>
      <c r="AG32" s="2617"/>
      <c r="AH32" s="2617"/>
      <c r="AI32" s="2616"/>
      <c r="AJ32" s="2617"/>
      <c r="AK32" s="2617"/>
      <c r="AL32" s="1900"/>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row>
    <row r="33" spans="1:58" ht="11.25" customHeight="1">
      <c r="A33" s="1084" t="s">
        <v>992</v>
      </c>
      <c r="B33" s="1084"/>
      <c r="C33" s="1084"/>
      <c r="D33" s="1078"/>
      <c r="E33" s="1088"/>
      <c r="F33" s="2606"/>
      <c r="G33" s="2606"/>
      <c r="H33" s="2606"/>
      <c r="I33" s="2606"/>
      <c r="J33" s="2606"/>
      <c r="K33" s="2606"/>
      <c r="L33" s="2606"/>
      <c r="M33" s="2606"/>
      <c r="N33" s="2606"/>
      <c r="O33" s="2606"/>
      <c r="P33" s="2606"/>
      <c r="Q33" s="2606"/>
      <c r="R33" s="2606"/>
      <c r="S33" s="2606"/>
      <c r="T33" s="2606"/>
      <c r="U33" s="2606"/>
      <c r="V33" s="2606"/>
      <c r="W33" s="2606"/>
      <c r="X33" s="2606"/>
      <c r="Y33" s="2606"/>
      <c r="Z33" s="2054" t="s">
        <v>686</v>
      </c>
      <c r="AA33" s="1731" t="s">
        <v>109</v>
      </c>
      <c r="AB33" s="1097" t="s">
        <v>1039</v>
      </c>
      <c r="AC33" s="1087">
        <v>862500.03</v>
      </c>
      <c r="AD33" s="1097" t="str">
        <f>AB33</f>
        <v xml:space="preserve">  Прочие собственные средства</v>
      </c>
      <c r="AE33" s="1087"/>
      <c r="AF33" s="2625"/>
      <c r="AG33" s="2626"/>
      <c r="AH33" s="2626"/>
      <c r="AI33" s="2625"/>
      <c r="AJ33" s="2626"/>
      <c r="AK33" s="2627"/>
      <c r="AL33" s="1900"/>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row>
    <row r="34" spans="1:58" ht="11.25" customHeight="1">
      <c r="A34" s="1084" t="s">
        <v>992</v>
      </c>
      <c r="B34" s="1084"/>
      <c r="C34" s="1084"/>
      <c r="D34" s="1078"/>
      <c r="E34" s="1088"/>
      <c r="F34" s="2606"/>
      <c r="G34" s="2606"/>
      <c r="H34" s="2606"/>
      <c r="I34" s="2606"/>
      <c r="J34" s="2606"/>
      <c r="K34" s="2606"/>
      <c r="L34" s="2606"/>
      <c r="M34" s="2606"/>
      <c r="N34" s="2606"/>
      <c r="O34" s="2606"/>
      <c r="P34" s="2606"/>
      <c r="Q34" s="2606"/>
      <c r="R34" s="2606"/>
      <c r="S34" s="2606"/>
      <c r="T34" s="2606"/>
      <c r="U34" s="2606"/>
      <c r="V34" s="2606"/>
      <c r="W34" s="2606"/>
      <c r="X34" s="2606"/>
      <c r="Y34" s="2606"/>
      <c r="Z34" s="2054" t="s">
        <v>686</v>
      </c>
      <c r="AA34" s="1731" t="s">
        <v>92</v>
      </c>
      <c r="AB34" s="1097" t="s">
        <v>1028</v>
      </c>
      <c r="AC34" s="1087">
        <v>3073600.3209729199</v>
      </c>
      <c r="AD34" s="1097" t="str">
        <f>AB34</f>
        <v xml:space="preserve">  Прочие</v>
      </c>
      <c r="AE34" s="1087"/>
      <c r="AF34" s="2625"/>
      <c r="AG34" s="2626"/>
      <c r="AH34" s="2626"/>
      <c r="AI34" s="2625"/>
      <c r="AJ34" s="2626"/>
      <c r="AK34" s="2627"/>
      <c r="AL34" s="1900"/>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row>
    <row r="35" spans="1:58" ht="11.25" customHeight="1">
      <c r="A35" s="1084" t="s">
        <v>992</v>
      </c>
      <c r="B35" s="1084"/>
      <c r="C35" s="1084"/>
      <c r="D35" s="1078"/>
      <c r="E35" s="1088"/>
      <c r="F35" s="2605"/>
      <c r="G35" s="2606"/>
      <c r="H35" s="2601" t="s">
        <v>109</v>
      </c>
      <c r="I35" s="2613"/>
      <c r="J35" s="2624"/>
      <c r="K35" s="2615"/>
      <c r="L35" s="2338"/>
      <c r="M35" s="2339"/>
      <c r="N35" s="2618"/>
      <c r="O35" s="2619"/>
      <c r="P35" s="2622"/>
      <c r="Q35" s="2573"/>
      <c r="R35" s="2573"/>
      <c r="S35" s="2623"/>
      <c r="T35" s="2573"/>
      <c r="U35" s="2573"/>
      <c r="V35" s="2573"/>
      <c r="W35" s="2573"/>
      <c r="X35" s="2573"/>
      <c r="Y35" s="2573"/>
      <c r="Z35" s="1093"/>
      <c r="AA35" s="1094"/>
      <c r="AB35" s="1159" t="s">
        <v>1029</v>
      </c>
      <c r="AC35" s="1098"/>
      <c r="AD35" s="1098"/>
      <c r="AE35" s="1100"/>
      <c r="AF35" s="2616"/>
      <c r="AG35" s="2617"/>
      <c r="AH35" s="2617"/>
      <c r="AI35" s="2616"/>
      <c r="AJ35" s="2617"/>
      <c r="AK35" s="2617"/>
      <c r="AL35" s="1900"/>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row>
    <row r="36" spans="1:58" ht="11.25" customHeight="1">
      <c r="A36" s="1084" t="s">
        <v>992</v>
      </c>
      <c r="B36" s="1084"/>
      <c r="C36" s="1084"/>
      <c r="D36" s="1078"/>
      <c r="E36" s="1088"/>
      <c r="F36" s="2605"/>
      <c r="G36" s="2606"/>
      <c r="H36" s="2601" t="s">
        <v>109</v>
      </c>
      <c r="I36" s="2613"/>
      <c r="J36" s="2624"/>
      <c r="K36" s="2615"/>
      <c r="L36" s="2338"/>
      <c r="M36" s="2339"/>
      <c r="N36" s="1093"/>
      <c r="O36" s="1094"/>
      <c r="P36" s="1086" t="s">
        <v>1030</v>
      </c>
      <c r="Q36" s="1094"/>
      <c r="R36" s="1094"/>
      <c r="S36" s="1094"/>
      <c r="T36" s="1094"/>
      <c r="U36" s="1094"/>
      <c r="V36" s="1094"/>
      <c r="W36" s="1094"/>
      <c r="X36" s="1094"/>
      <c r="Y36" s="1094"/>
      <c r="Z36" s="1094"/>
      <c r="AA36" s="1094"/>
      <c r="AB36" s="1094"/>
      <c r="AC36" s="1094"/>
      <c r="AD36" s="1094"/>
      <c r="AE36" s="1101"/>
      <c r="AF36" s="2616"/>
      <c r="AG36" s="2617"/>
      <c r="AH36" s="2617"/>
      <c r="AI36" s="2616"/>
      <c r="AJ36" s="2617"/>
      <c r="AK36" s="2617"/>
      <c r="AL36" s="1900"/>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row>
    <row r="37" spans="1:58" ht="25.5" customHeight="1">
      <c r="A37" s="1084" t="s">
        <v>992</v>
      </c>
      <c r="B37" s="1084" t="s">
        <v>1031</v>
      </c>
      <c r="C37" s="1084"/>
      <c r="D37" s="1078"/>
      <c r="E37" s="1088"/>
      <c r="F37" s="2605"/>
      <c r="G37" s="2590" t="s">
        <v>686</v>
      </c>
      <c r="H37" s="2601" t="s">
        <v>93</v>
      </c>
      <c r="I37" s="2613" t="s">
        <v>1032</v>
      </c>
      <c r="J37" s="2624" t="s">
        <v>1033</v>
      </c>
      <c r="K37" s="2615" t="s">
        <v>1040</v>
      </c>
      <c r="L37" s="2338" t="s">
        <v>19</v>
      </c>
      <c r="M37" s="2339"/>
      <c r="N37" s="1898"/>
      <c r="O37" s="1095" t="s">
        <v>373</v>
      </c>
      <c r="P37" s="1096"/>
      <c r="Q37" s="1096"/>
      <c r="R37" s="1096"/>
      <c r="S37" s="1096"/>
      <c r="T37" s="1096"/>
      <c r="U37" s="1096"/>
      <c r="V37" s="1096"/>
      <c r="W37" s="1096"/>
      <c r="X37" s="1096"/>
      <c r="Y37" s="1096"/>
      <c r="Z37" s="1096"/>
      <c r="AA37" s="1096"/>
      <c r="AB37" s="1096"/>
      <c r="AC37" s="1096"/>
      <c r="AD37" s="1096"/>
      <c r="AE37" s="1096"/>
      <c r="AF37" s="2616">
        <v>5</v>
      </c>
      <c r="AG37" s="2617" t="s">
        <v>1026</v>
      </c>
      <c r="AH37" s="2617" t="s">
        <v>1027</v>
      </c>
      <c r="AI37" s="2616"/>
      <c r="AJ37" s="2617"/>
      <c r="AK37" s="2617"/>
      <c r="AL37" s="1900"/>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row>
    <row r="38" spans="1:58" ht="21" customHeight="1">
      <c r="A38" s="1084" t="s">
        <v>992</v>
      </c>
      <c r="B38" s="1084"/>
      <c r="C38" s="1084"/>
      <c r="D38" s="1078"/>
      <c r="E38" s="1088"/>
      <c r="F38" s="2605"/>
      <c r="G38" s="2606"/>
      <c r="H38" s="2601" t="s">
        <v>92</v>
      </c>
      <c r="I38" s="2613"/>
      <c r="J38" s="2624"/>
      <c r="K38" s="2615"/>
      <c r="L38" s="2338"/>
      <c r="M38" s="2339"/>
      <c r="N38" s="2618"/>
      <c r="O38" s="2619">
        <v>1</v>
      </c>
      <c r="P38" s="2620" t="s">
        <v>19</v>
      </c>
      <c r="Q38" s="2573" t="s">
        <v>22</v>
      </c>
      <c r="R38" s="2573" t="s">
        <v>22</v>
      </c>
      <c r="S38" s="2573" t="s">
        <v>22</v>
      </c>
      <c r="T38" s="2573" t="s">
        <v>22</v>
      </c>
      <c r="U38" s="2573" t="s">
        <v>22</v>
      </c>
      <c r="V38" s="2573" t="s">
        <v>22</v>
      </c>
      <c r="W38" s="2573" t="s">
        <v>22</v>
      </c>
      <c r="X38" s="2573" t="s">
        <v>22</v>
      </c>
      <c r="Y38" s="2573"/>
      <c r="Z38" s="1093"/>
      <c r="AA38" s="1094"/>
      <c r="AB38" s="1094"/>
      <c r="AC38" s="1098"/>
      <c r="AD38" s="1098"/>
      <c r="AE38" s="1099"/>
      <c r="AF38" s="2616"/>
      <c r="AG38" s="2617"/>
      <c r="AH38" s="2617"/>
      <c r="AI38" s="2616"/>
      <c r="AJ38" s="2617"/>
      <c r="AK38" s="2617"/>
      <c r="AL38" s="1900"/>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row>
    <row r="39" spans="1:58" ht="11.25" customHeight="1">
      <c r="A39" s="1084" t="s">
        <v>992</v>
      </c>
      <c r="B39" s="1084"/>
      <c r="C39" s="1084"/>
      <c r="D39" s="1078"/>
      <c r="E39" s="1088"/>
      <c r="F39" s="2605"/>
      <c r="G39" s="2606"/>
      <c r="H39" s="2601" t="s">
        <v>92</v>
      </c>
      <c r="I39" s="2613"/>
      <c r="J39" s="2624"/>
      <c r="K39" s="2615"/>
      <c r="L39" s="2338"/>
      <c r="M39" s="2339"/>
      <c r="N39" s="2618"/>
      <c r="O39" s="2619"/>
      <c r="P39" s="2621"/>
      <c r="Q39" s="2573"/>
      <c r="R39" s="2573"/>
      <c r="S39" s="2623"/>
      <c r="T39" s="2573"/>
      <c r="U39" s="2573"/>
      <c r="V39" s="2573"/>
      <c r="W39" s="2573"/>
      <c r="X39" s="2573"/>
      <c r="Y39" s="2573"/>
      <c r="Z39" s="1743"/>
      <c r="AA39" s="1711">
        <v>1</v>
      </c>
      <c r="AB39" s="1097" t="s">
        <v>1028</v>
      </c>
      <c r="AC39" s="1087">
        <v>47382.9</v>
      </c>
      <c r="AD39" s="1097" t="str">
        <f>AB39</f>
        <v xml:space="preserve">  Прочие</v>
      </c>
      <c r="AE39" s="1087"/>
      <c r="AF39" s="2616"/>
      <c r="AG39" s="2617"/>
      <c r="AH39" s="2617"/>
      <c r="AI39" s="2616"/>
      <c r="AJ39" s="2617"/>
      <c r="AK39" s="2617"/>
      <c r="AL39" s="1900"/>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row>
    <row r="40" spans="1:58" ht="21.75" customHeight="1">
      <c r="A40" s="1084" t="s">
        <v>992</v>
      </c>
      <c r="B40" s="1084"/>
      <c r="C40" s="1084"/>
      <c r="D40" s="1078"/>
      <c r="E40" s="1088"/>
      <c r="F40" s="2605"/>
      <c r="G40" s="2606"/>
      <c r="H40" s="2601" t="s">
        <v>92</v>
      </c>
      <c r="I40" s="2613"/>
      <c r="J40" s="2624"/>
      <c r="K40" s="2615"/>
      <c r="L40" s="2338"/>
      <c r="M40" s="2339"/>
      <c r="N40" s="2618"/>
      <c r="O40" s="2619"/>
      <c r="P40" s="2622"/>
      <c r="Q40" s="2573"/>
      <c r="R40" s="2573"/>
      <c r="S40" s="2623"/>
      <c r="T40" s="2573"/>
      <c r="U40" s="2573"/>
      <c r="V40" s="2573"/>
      <c r="W40" s="2573"/>
      <c r="X40" s="2573"/>
      <c r="Y40" s="2573"/>
      <c r="Z40" s="1093"/>
      <c r="AA40" s="1094"/>
      <c r="AB40" s="1159" t="s">
        <v>1029</v>
      </c>
      <c r="AC40" s="1098"/>
      <c r="AD40" s="1098"/>
      <c r="AE40" s="1100"/>
      <c r="AF40" s="2616"/>
      <c r="AG40" s="2617"/>
      <c r="AH40" s="2617"/>
      <c r="AI40" s="2616"/>
      <c r="AJ40" s="2617"/>
      <c r="AK40" s="2617"/>
      <c r="AL40" s="1900"/>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row>
    <row r="41" spans="1:58" ht="11.25" customHeight="1">
      <c r="A41" s="1084" t="s">
        <v>992</v>
      </c>
      <c r="B41" s="1084"/>
      <c r="C41" s="1084"/>
      <c r="D41" s="1078"/>
      <c r="E41" s="1088"/>
      <c r="F41" s="2605"/>
      <c r="G41" s="2606"/>
      <c r="H41" s="2601" t="s">
        <v>92</v>
      </c>
      <c r="I41" s="2613"/>
      <c r="J41" s="2624"/>
      <c r="K41" s="2615"/>
      <c r="L41" s="2338"/>
      <c r="M41" s="2339"/>
      <c r="N41" s="1093"/>
      <c r="O41" s="1094"/>
      <c r="P41" s="1086" t="s">
        <v>1030</v>
      </c>
      <c r="Q41" s="1094"/>
      <c r="R41" s="1094"/>
      <c r="S41" s="1094"/>
      <c r="T41" s="1094"/>
      <c r="U41" s="1094"/>
      <c r="V41" s="1094"/>
      <c r="W41" s="1094"/>
      <c r="X41" s="1094"/>
      <c r="Y41" s="1094"/>
      <c r="Z41" s="1094"/>
      <c r="AA41" s="1094"/>
      <c r="AB41" s="1094"/>
      <c r="AC41" s="1094"/>
      <c r="AD41" s="1094"/>
      <c r="AE41" s="1101"/>
      <c r="AF41" s="2616"/>
      <c r="AG41" s="2617"/>
      <c r="AH41" s="2617"/>
      <c r="AI41" s="2616"/>
      <c r="AJ41" s="2617"/>
      <c r="AK41" s="2617"/>
      <c r="AL41" s="1900"/>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row>
    <row r="42" spans="1:58" ht="20.25" customHeight="1">
      <c r="A42" s="1084" t="s">
        <v>992</v>
      </c>
      <c r="B42" s="1084" t="s">
        <v>1031</v>
      </c>
      <c r="C42" s="1084"/>
      <c r="D42" s="1078"/>
      <c r="E42" s="1088"/>
      <c r="F42" s="2605"/>
      <c r="G42" s="2590" t="s">
        <v>686</v>
      </c>
      <c r="H42" s="2601" t="s">
        <v>110</v>
      </c>
      <c r="I42" s="2613" t="s">
        <v>1032</v>
      </c>
      <c r="J42" s="2624" t="s">
        <v>1033</v>
      </c>
      <c r="K42" s="2615" t="s">
        <v>1041</v>
      </c>
      <c r="L42" s="2338" t="s">
        <v>19</v>
      </c>
      <c r="M42" s="2339"/>
      <c r="N42" s="1898"/>
      <c r="O42" s="1095" t="s">
        <v>373</v>
      </c>
      <c r="P42" s="1096"/>
      <c r="Q42" s="1096"/>
      <c r="R42" s="1096"/>
      <c r="S42" s="1096"/>
      <c r="T42" s="1096"/>
      <c r="U42" s="1096"/>
      <c r="V42" s="1096"/>
      <c r="W42" s="1096"/>
      <c r="X42" s="1096"/>
      <c r="Y42" s="1096"/>
      <c r="Z42" s="1096"/>
      <c r="AA42" s="1096"/>
      <c r="AB42" s="1096"/>
      <c r="AC42" s="1096"/>
      <c r="AD42" s="1096"/>
      <c r="AE42" s="1096"/>
      <c r="AF42" s="2616">
        <v>6</v>
      </c>
      <c r="AG42" s="2617" t="s">
        <v>1026</v>
      </c>
      <c r="AH42" s="2617" t="s">
        <v>1035</v>
      </c>
      <c r="AI42" s="2616"/>
      <c r="AJ42" s="2617"/>
      <c r="AK42" s="2617"/>
      <c r="AL42" s="1900"/>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row>
    <row r="43" spans="1:58" ht="16.5" customHeight="1">
      <c r="A43" s="1084" t="s">
        <v>992</v>
      </c>
      <c r="B43" s="1084"/>
      <c r="C43" s="1084"/>
      <c r="D43" s="1078"/>
      <c r="E43" s="1088"/>
      <c r="F43" s="2605"/>
      <c r="G43" s="2606"/>
      <c r="H43" s="2601" t="s">
        <v>93</v>
      </c>
      <c r="I43" s="2613"/>
      <c r="J43" s="2624"/>
      <c r="K43" s="2615"/>
      <c r="L43" s="2338"/>
      <c r="M43" s="2339"/>
      <c r="N43" s="2618"/>
      <c r="O43" s="2619">
        <v>1</v>
      </c>
      <c r="P43" s="2620" t="s">
        <v>19</v>
      </c>
      <c r="Q43" s="2573" t="s">
        <v>22</v>
      </c>
      <c r="R43" s="2573" t="s">
        <v>22</v>
      </c>
      <c r="S43" s="2573" t="s">
        <v>22</v>
      </c>
      <c r="T43" s="2573" t="s">
        <v>22</v>
      </c>
      <c r="U43" s="2573" t="s">
        <v>22</v>
      </c>
      <c r="V43" s="2573" t="s">
        <v>22</v>
      </c>
      <c r="W43" s="2573" t="s">
        <v>22</v>
      </c>
      <c r="X43" s="2573" t="s">
        <v>22</v>
      </c>
      <c r="Y43" s="2573"/>
      <c r="Z43" s="1093"/>
      <c r="AA43" s="1094"/>
      <c r="AB43" s="1094"/>
      <c r="AC43" s="1098"/>
      <c r="AD43" s="1098"/>
      <c r="AE43" s="1099"/>
      <c r="AF43" s="2616"/>
      <c r="AG43" s="2617"/>
      <c r="AH43" s="2617"/>
      <c r="AI43" s="2616"/>
      <c r="AJ43" s="2617"/>
      <c r="AK43" s="2617"/>
      <c r="AL43" s="1900"/>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row>
    <row r="44" spans="1:58" ht="18" customHeight="1">
      <c r="A44" s="1084" t="s">
        <v>992</v>
      </c>
      <c r="B44" s="1084"/>
      <c r="C44" s="1084"/>
      <c r="D44" s="1078"/>
      <c r="E44" s="1088"/>
      <c r="F44" s="2605"/>
      <c r="G44" s="2606"/>
      <c r="H44" s="2601" t="s">
        <v>93</v>
      </c>
      <c r="I44" s="2613"/>
      <c r="J44" s="2624"/>
      <c r="K44" s="2615"/>
      <c r="L44" s="2338"/>
      <c r="M44" s="2339"/>
      <c r="N44" s="2618"/>
      <c r="O44" s="2619"/>
      <c r="P44" s="2621"/>
      <c r="Q44" s="2573"/>
      <c r="R44" s="2573"/>
      <c r="S44" s="2623"/>
      <c r="T44" s="2573"/>
      <c r="U44" s="2573"/>
      <c r="V44" s="2573"/>
      <c r="W44" s="2573"/>
      <c r="X44" s="2573"/>
      <c r="Y44" s="2573"/>
      <c r="Z44" s="1743"/>
      <c r="AA44" s="1711">
        <v>1</v>
      </c>
      <c r="AB44" s="1097" t="s">
        <v>1036</v>
      </c>
      <c r="AC44" s="1087">
        <v>2514.2964322163598</v>
      </c>
      <c r="AD44" s="1097" t="str">
        <f>AB44</f>
        <v xml:space="preserve">      Прочие амортизационные отчисления</v>
      </c>
      <c r="AE44" s="1087"/>
      <c r="AF44" s="2616"/>
      <c r="AG44" s="2617"/>
      <c r="AH44" s="2617"/>
      <c r="AI44" s="2616"/>
      <c r="AJ44" s="2617"/>
      <c r="AK44" s="2617"/>
      <c r="AL44" s="1900"/>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row>
    <row r="45" spans="1:58" ht="11.25" customHeight="1">
      <c r="A45" s="1084" t="s">
        <v>992</v>
      </c>
      <c r="B45" s="1084"/>
      <c r="C45" s="1084"/>
      <c r="D45" s="1078"/>
      <c r="E45" s="1088"/>
      <c r="F45" s="2606"/>
      <c r="G45" s="2606"/>
      <c r="H45" s="2606"/>
      <c r="I45" s="2606"/>
      <c r="J45" s="2606"/>
      <c r="K45" s="2606"/>
      <c r="L45" s="2606"/>
      <c r="M45" s="2606"/>
      <c r="N45" s="2606"/>
      <c r="O45" s="2606"/>
      <c r="P45" s="2606"/>
      <c r="Q45" s="2606"/>
      <c r="R45" s="2606"/>
      <c r="S45" s="2606"/>
      <c r="T45" s="2606"/>
      <c r="U45" s="2606"/>
      <c r="V45" s="2606"/>
      <c r="W45" s="2606"/>
      <c r="X45" s="2606"/>
      <c r="Y45" s="2606"/>
      <c r="Z45" s="2054" t="s">
        <v>686</v>
      </c>
      <c r="AA45" s="1731" t="s">
        <v>109</v>
      </c>
      <c r="AB45" s="1097" t="s">
        <v>1028</v>
      </c>
      <c r="AC45" s="1087">
        <v>3885.7035677836402</v>
      </c>
      <c r="AD45" s="1097" t="str">
        <f>AB45</f>
        <v xml:space="preserve">  Прочие</v>
      </c>
      <c r="AE45" s="1087"/>
      <c r="AF45" s="2625"/>
      <c r="AG45" s="2626"/>
      <c r="AH45" s="2626"/>
      <c r="AI45" s="2625"/>
      <c r="AJ45" s="2626"/>
      <c r="AK45" s="2627"/>
      <c r="AL45" s="1900"/>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row>
    <row r="46" spans="1:58" ht="21" customHeight="1">
      <c r="A46" s="1084" t="s">
        <v>992</v>
      </c>
      <c r="B46" s="1084"/>
      <c r="C46" s="1084"/>
      <c r="D46" s="1078"/>
      <c r="E46" s="1088"/>
      <c r="F46" s="2605"/>
      <c r="G46" s="2606"/>
      <c r="H46" s="2601" t="s">
        <v>93</v>
      </c>
      <c r="I46" s="2613"/>
      <c r="J46" s="2624"/>
      <c r="K46" s="2615"/>
      <c r="L46" s="2338"/>
      <c r="M46" s="2339"/>
      <c r="N46" s="2618"/>
      <c r="O46" s="2619"/>
      <c r="P46" s="2622"/>
      <c r="Q46" s="2573"/>
      <c r="R46" s="2573"/>
      <c r="S46" s="2623"/>
      <c r="T46" s="2573"/>
      <c r="U46" s="2573"/>
      <c r="V46" s="2573"/>
      <c r="W46" s="2573"/>
      <c r="X46" s="2573"/>
      <c r="Y46" s="2573"/>
      <c r="Z46" s="1093"/>
      <c r="AA46" s="1094"/>
      <c r="AB46" s="1159" t="s">
        <v>1029</v>
      </c>
      <c r="AC46" s="1098"/>
      <c r="AD46" s="1098"/>
      <c r="AE46" s="1100"/>
      <c r="AF46" s="2616"/>
      <c r="AG46" s="2617"/>
      <c r="AH46" s="2617"/>
      <c r="AI46" s="2616"/>
      <c r="AJ46" s="2617"/>
      <c r="AK46" s="2617"/>
      <c r="AL46" s="1900"/>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row>
    <row r="47" spans="1:58" ht="15.75" customHeight="1">
      <c r="A47" s="1084" t="s">
        <v>992</v>
      </c>
      <c r="B47" s="1084"/>
      <c r="C47" s="1084"/>
      <c r="D47" s="1078"/>
      <c r="E47" s="1088"/>
      <c r="F47" s="2605"/>
      <c r="G47" s="2606"/>
      <c r="H47" s="2601" t="s">
        <v>93</v>
      </c>
      <c r="I47" s="2613"/>
      <c r="J47" s="2624"/>
      <c r="K47" s="2615"/>
      <c r="L47" s="2338"/>
      <c r="M47" s="2339"/>
      <c r="N47" s="1093"/>
      <c r="O47" s="1094"/>
      <c r="P47" s="1086" t="s">
        <v>1030</v>
      </c>
      <c r="Q47" s="1094"/>
      <c r="R47" s="1094"/>
      <c r="S47" s="1094"/>
      <c r="T47" s="1094"/>
      <c r="U47" s="1094"/>
      <c r="V47" s="1094"/>
      <c r="W47" s="1094"/>
      <c r="X47" s="1094"/>
      <c r="Y47" s="1094"/>
      <c r="Z47" s="1094"/>
      <c r="AA47" s="1094"/>
      <c r="AB47" s="1094"/>
      <c r="AC47" s="1094"/>
      <c r="AD47" s="1094"/>
      <c r="AE47" s="1101"/>
      <c r="AF47" s="2616"/>
      <c r="AG47" s="2617"/>
      <c r="AH47" s="2617"/>
      <c r="AI47" s="2616"/>
      <c r="AJ47" s="2617"/>
      <c r="AK47" s="2617"/>
      <c r="AL47" s="1900"/>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row>
    <row r="48" spans="1:58" ht="15" customHeight="1">
      <c r="A48" s="1084" t="s">
        <v>992</v>
      </c>
      <c r="B48" s="1084" t="s">
        <v>1031</v>
      </c>
      <c r="C48" s="1084"/>
      <c r="D48" s="1078"/>
      <c r="E48" s="1088"/>
      <c r="F48" s="2605"/>
      <c r="G48" s="2590" t="s">
        <v>686</v>
      </c>
      <c r="H48" s="2601" t="s">
        <v>94</v>
      </c>
      <c r="I48" s="2613" t="s">
        <v>1032</v>
      </c>
      <c r="J48" s="2624" t="s">
        <v>1033</v>
      </c>
      <c r="K48" s="2615" t="s">
        <v>1042</v>
      </c>
      <c r="L48" s="2338" t="s">
        <v>19</v>
      </c>
      <c r="M48" s="2339"/>
      <c r="N48" s="1898"/>
      <c r="O48" s="1095" t="s">
        <v>373</v>
      </c>
      <c r="P48" s="1096"/>
      <c r="Q48" s="1096"/>
      <c r="R48" s="1096"/>
      <c r="S48" s="1096"/>
      <c r="T48" s="1096"/>
      <c r="U48" s="1096"/>
      <c r="V48" s="1096"/>
      <c r="W48" s="1096"/>
      <c r="X48" s="1096"/>
      <c r="Y48" s="1096"/>
      <c r="Z48" s="1096"/>
      <c r="AA48" s="1096"/>
      <c r="AB48" s="1096"/>
      <c r="AC48" s="1096"/>
      <c r="AD48" s="1096"/>
      <c r="AE48" s="1096"/>
      <c r="AF48" s="2616">
        <v>4</v>
      </c>
      <c r="AG48" s="2617" t="s">
        <v>1026</v>
      </c>
      <c r="AH48" s="2617" t="s">
        <v>1038</v>
      </c>
      <c r="AI48" s="2616"/>
      <c r="AJ48" s="2617"/>
      <c r="AK48" s="2617"/>
      <c r="AL48" s="1900"/>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row>
    <row r="49" spans="1:58" ht="18" customHeight="1">
      <c r="A49" s="1084" t="s">
        <v>992</v>
      </c>
      <c r="B49" s="1084"/>
      <c r="C49" s="1084"/>
      <c r="D49" s="1078"/>
      <c r="E49" s="1088"/>
      <c r="F49" s="2605"/>
      <c r="G49" s="2606"/>
      <c r="H49" s="2601" t="s">
        <v>110</v>
      </c>
      <c r="I49" s="2613"/>
      <c r="J49" s="2624"/>
      <c r="K49" s="2615"/>
      <c r="L49" s="2338"/>
      <c r="M49" s="2339"/>
      <c r="N49" s="2618"/>
      <c r="O49" s="2619">
        <v>1</v>
      </c>
      <c r="P49" s="2620" t="s">
        <v>19</v>
      </c>
      <c r="Q49" s="2573" t="s">
        <v>22</v>
      </c>
      <c r="R49" s="2573" t="s">
        <v>22</v>
      </c>
      <c r="S49" s="2573" t="s">
        <v>22</v>
      </c>
      <c r="T49" s="2573" t="s">
        <v>22</v>
      </c>
      <c r="U49" s="2573" t="s">
        <v>22</v>
      </c>
      <c r="V49" s="2573" t="s">
        <v>22</v>
      </c>
      <c r="W49" s="2573" t="s">
        <v>22</v>
      </c>
      <c r="X49" s="2573" t="s">
        <v>22</v>
      </c>
      <c r="Y49" s="2573"/>
      <c r="Z49" s="1093"/>
      <c r="AA49" s="1094"/>
      <c r="AB49" s="1094"/>
      <c r="AC49" s="1098"/>
      <c r="AD49" s="1098"/>
      <c r="AE49" s="1099"/>
      <c r="AF49" s="2616"/>
      <c r="AG49" s="2617"/>
      <c r="AH49" s="2617"/>
      <c r="AI49" s="2616"/>
      <c r="AJ49" s="2617"/>
      <c r="AK49" s="2617"/>
      <c r="AL49" s="1900"/>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row>
    <row r="50" spans="1:58" ht="16.5" customHeight="1">
      <c r="A50" s="1084" t="s">
        <v>992</v>
      </c>
      <c r="B50" s="1084"/>
      <c r="C50" s="1084"/>
      <c r="D50" s="1078"/>
      <c r="E50" s="1088"/>
      <c r="F50" s="2605"/>
      <c r="G50" s="2606"/>
      <c r="H50" s="2601" t="s">
        <v>110</v>
      </c>
      <c r="I50" s="2613"/>
      <c r="J50" s="2624"/>
      <c r="K50" s="2615"/>
      <c r="L50" s="2338"/>
      <c r="M50" s="2339"/>
      <c r="N50" s="2618"/>
      <c r="O50" s="2619"/>
      <c r="P50" s="2621"/>
      <c r="Q50" s="2573"/>
      <c r="R50" s="2573"/>
      <c r="S50" s="2623"/>
      <c r="T50" s="2573"/>
      <c r="U50" s="2573"/>
      <c r="V50" s="2573"/>
      <c r="W50" s="2573"/>
      <c r="X50" s="2573"/>
      <c r="Y50" s="2573"/>
      <c r="Z50" s="1743"/>
      <c r="AA50" s="1711">
        <v>1</v>
      </c>
      <c r="AB50" s="1097" t="s">
        <v>1028</v>
      </c>
      <c r="AC50" s="1087">
        <v>6281.88</v>
      </c>
      <c r="AD50" s="1097" t="str">
        <f>AB50</f>
        <v xml:space="preserve">  Прочие</v>
      </c>
      <c r="AE50" s="1087"/>
      <c r="AF50" s="2616"/>
      <c r="AG50" s="2617"/>
      <c r="AH50" s="2617"/>
      <c r="AI50" s="2616"/>
      <c r="AJ50" s="2617"/>
      <c r="AK50" s="2617"/>
      <c r="AL50" s="1900"/>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row>
    <row r="51" spans="1:58" ht="19.5" customHeight="1">
      <c r="A51" s="1084" t="s">
        <v>992</v>
      </c>
      <c r="B51" s="1084"/>
      <c r="C51" s="1084"/>
      <c r="D51" s="1078"/>
      <c r="E51" s="1088"/>
      <c r="F51" s="2605"/>
      <c r="G51" s="2606"/>
      <c r="H51" s="2601" t="s">
        <v>110</v>
      </c>
      <c r="I51" s="2613"/>
      <c r="J51" s="2624"/>
      <c r="K51" s="2615"/>
      <c r="L51" s="2338"/>
      <c r="M51" s="2339"/>
      <c r="N51" s="2618"/>
      <c r="O51" s="2619"/>
      <c r="P51" s="2622"/>
      <c r="Q51" s="2573"/>
      <c r="R51" s="2573"/>
      <c r="S51" s="2623"/>
      <c r="T51" s="2573"/>
      <c r="U51" s="2573"/>
      <c r="V51" s="2573"/>
      <c r="W51" s="2573"/>
      <c r="X51" s="2573"/>
      <c r="Y51" s="2573"/>
      <c r="Z51" s="1093"/>
      <c r="AA51" s="1094"/>
      <c r="AB51" s="1159" t="s">
        <v>1029</v>
      </c>
      <c r="AC51" s="1098"/>
      <c r="AD51" s="1098"/>
      <c r="AE51" s="1100"/>
      <c r="AF51" s="2616"/>
      <c r="AG51" s="2617"/>
      <c r="AH51" s="2617"/>
      <c r="AI51" s="2616"/>
      <c r="AJ51" s="2617"/>
      <c r="AK51" s="2617"/>
      <c r="AL51" s="1900"/>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row>
    <row r="52" spans="1:58" ht="17.25" customHeight="1">
      <c r="A52" s="1084" t="s">
        <v>992</v>
      </c>
      <c r="B52" s="1084"/>
      <c r="C52" s="1084"/>
      <c r="D52" s="1078"/>
      <c r="E52" s="1088"/>
      <c r="F52" s="2605"/>
      <c r="G52" s="2606"/>
      <c r="H52" s="2601" t="s">
        <v>110</v>
      </c>
      <c r="I52" s="2613"/>
      <c r="J52" s="2624"/>
      <c r="K52" s="2615"/>
      <c r="L52" s="2338"/>
      <c r="M52" s="2339"/>
      <c r="N52" s="1093"/>
      <c r="O52" s="1094"/>
      <c r="P52" s="1086" t="s">
        <v>1030</v>
      </c>
      <c r="Q52" s="1094"/>
      <c r="R52" s="1094"/>
      <c r="S52" s="1094"/>
      <c r="T52" s="1094"/>
      <c r="U52" s="1094"/>
      <c r="V52" s="1094"/>
      <c r="W52" s="1094"/>
      <c r="X52" s="1094"/>
      <c r="Y52" s="1094"/>
      <c r="Z52" s="1094"/>
      <c r="AA52" s="1094"/>
      <c r="AB52" s="1094"/>
      <c r="AC52" s="1094"/>
      <c r="AD52" s="1094"/>
      <c r="AE52" s="1101"/>
      <c r="AF52" s="2616"/>
      <c r="AG52" s="2617"/>
      <c r="AH52" s="2617"/>
      <c r="AI52" s="2616"/>
      <c r="AJ52" s="2617"/>
      <c r="AK52" s="2617"/>
      <c r="AL52" s="1900"/>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row>
    <row r="53" spans="1:58" ht="11.25" customHeight="1">
      <c r="A53" s="1084" t="s">
        <v>992</v>
      </c>
      <c r="B53" s="1084" t="s">
        <v>1031</v>
      </c>
      <c r="C53" s="1084"/>
      <c r="D53" s="1078"/>
      <c r="E53" s="1088"/>
      <c r="F53" s="2605"/>
      <c r="G53" s="2590" t="s">
        <v>686</v>
      </c>
      <c r="H53" s="2601" t="s">
        <v>95</v>
      </c>
      <c r="I53" s="2613" t="s">
        <v>1032</v>
      </c>
      <c r="J53" s="2624" t="s">
        <v>1033</v>
      </c>
      <c r="K53" s="2615" t="s">
        <v>1043</v>
      </c>
      <c r="L53" s="2338" t="s">
        <v>19</v>
      </c>
      <c r="M53" s="2339"/>
      <c r="N53" s="1898"/>
      <c r="O53" s="1095" t="s">
        <v>373</v>
      </c>
      <c r="P53" s="1096"/>
      <c r="Q53" s="1096"/>
      <c r="R53" s="1096"/>
      <c r="S53" s="1096"/>
      <c r="T53" s="1096"/>
      <c r="U53" s="1096"/>
      <c r="V53" s="1096"/>
      <c r="W53" s="1096"/>
      <c r="X53" s="1096"/>
      <c r="Y53" s="1096"/>
      <c r="Z53" s="1096"/>
      <c r="AA53" s="1096"/>
      <c r="AB53" s="1096"/>
      <c r="AC53" s="1096"/>
      <c r="AD53" s="1096"/>
      <c r="AE53" s="1096"/>
      <c r="AF53" s="2616">
        <v>4</v>
      </c>
      <c r="AG53" s="2617" t="s">
        <v>1026</v>
      </c>
      <c r="AH53" s="2617" t="s">
        <v>1038</v>
      </c>
      <c r="AI53" s="2616"/>
      <c r="AJ53" s="2617"/>
      <c r="AK53" s="2617"/>
      <c r="AL53" s="1900"/>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row>
    <row r="54" spans="1:58" ht="30" customHeight="1">
      <c r="A54" s="1084" t="s">
        <v>992</v>
      </c>
      <c r="B54" s="1084"/>
      <c r="C54" s="1084"/>
      <c r="D54" s="1078"/>
      <c r="E54" s="1088"/>
      <c r="F54" s="2605"/>
      <c r="G54" s="2606"/>
      <c r="H54" s="2601" t="s">
        <v>94</v>
      </c>
      <c r="I54" s="2613"/>
      <c r="J54" s="2624"/>
      <c r="K54" s="2615"/>
      <c r="L54" s="2338"/>
      <c r="M54" s="2339"/>
      <c r="N54" s="2618"/>
      <c r="O54" s="2619">
        <v>1</v>
      </c>
      <c r="P54" s="2620" t="s">
        <v>19</v>
      </c>
      <c r="Q54" s="2573" t="s">
        <v>22</v>
      </c>
      <c r="R54" s="2573" t="s">
        <v>22</v>
      </c>
      <c r="S54" s="2573" t="s">
        <v>22</v>
      </c>
      <c r="T54" s="2573" t="s">
        <v>22</v>
      </c>
      <c r="U54" s="2573" t="s">
        <v>22</v>
      </c>
      <c r="V54" s="2573" t="s">
        <v>22</v>
      </c>
      <c r="W54" s="2573" t="s">
        <v>22</v>
      </c>
      <c r="X54" s="2573" t="s">
        <v>22</v>
      </c>
      <c r="Y54" s="2573"/>
      <c r="Z54" s="1093"/>
      <c r="AA54" s="1094"/>
      <c r="AB54" s="1094"/>
      <c r="AC54" s="1098"/>
      <c r="AD54" s="1098"/>
      <c r="AE54" s="1099"/>
      <c r="AF54" s="2616"/>
      <c r="AG54" s="2617"/>
      <c r="AH54" s="2617"/>
      <c r="AI54" s="2616"/>
      <c r="AJ54" s="2617"/>
      <c r="AK54" s="2617"/>
      <c r="AL54" s="1900"/>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row>
    <row r="55" spans="1:58" ht="19.5" customHeight="1">
      <c r="A55" s="1084" t="s">
        <v>992</v>
      </c>
      <c r="B55" s="1084"/>
      <c r="C55" s="1084"/>
      <c r="D55" s="1078"/>
      <c r="E55" s="1088"/>
      <c r="F55" s="2605"/>
      <c r="G55" s="2606"/>
      <c r="H55" s="2601" t="s">
        <v>94</v>
      </c>
      <c r="I55" s="2613"/>
      <c r="J55" s="2624"/>
      <c r="K55" s="2615"/>
      <c r="L55" s="2338"/>
      <c r="M55" s="2339"/>
      <c r="N55" s="2618"/>
      <c r="O55" s="2619"/>
      <c r="P55" s="2621"/>
      <c r="Q55" s="2573"/>
      <c r="R55" s="2573"/>
      <c r="S55" s="2623"/>
      <c r="T55" s="2573"/>
      <c r="U55" s="2573"/>
      <c r="V55" s="2573"/>
      <c r="W55" s="2573"/>
      <c r="X55" s="2573"/>
      <c r="Y55" s="2573"/>
      <c r="Z55" s="1743"/>
      <c r="AA55" s="1711">
        <v>1</v>
      </c>
      <c r="AB55" s="1097" t="s">
        <v>1028</v>
      </c>
      <c r="AC55" s="1087">
        <v>5000</v>
      </c>
      <c r="AD55" s="1097" t="str">
        <f>AB55</f>
        <v xml:space="preserve">  Прочие</v>
      </c>
      <c r="AE55" s="1087"/>
      <c r="AF55" s="2616"/>
      <c r="AG55" s="2617"/>
      <c r="AH55" s="2617"/>
      <c r="AI55" s="2616"/>
      <c r="AJ55" s="2617"/>
      <c r="AK55" s="2617"/>
      <c r="AL55" s="1900"/>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row>
    <row r="56" spans="1:58" ht="19.5" customHeight="1">
      <c r="A56" s="1084" t="s">
        <v>992</v>
      </c>
      <c r="B56" s="1084"/>
      <c r="C56" s="1084"/>
      <c r="D56" s="1078"/>
      <c r="E56" s="1088"/>
      <c r="F56" s="2605"/>
      <c r="G56" s="2606"/>
      <c r="H56" s="2601" t="s">
        <v>94</v>
      </c>
      <c r="I56" s="2613"/>
      <c r="J56" s="2624"/>
      <c r="K56" s="2615"/>
      <c r="L56" s="2338"/>
      <c r="M56" s="2339"/>
      <c r="N56" s="2618"/>
      <c r="O56" s="2619"/>
      <c r="P56" s="2622"/>
      <c r="Q56" s="2573"/>
      <c r="R56" s="2573"/>
      <c r="S56" s="2623"/>
      <c r="T56" s="2573"/>
      <c r="U56" s="2573"/>
      <c r="V56" s="2573"/>
      <c r="W56" s="2573"/>
      <c r="X56" s="2573"/>
      <c r="Y56" s="2573"/>
      <c r="Z56" s="1093"/>
      <c r="AA56" s="1094"/>
      <c r="AB56" s="1159" t="s">
        <v>1029</v>
      </c>
      <c r="AC56" s="1098"/>
      <c r="AD56" s="1098"/>
      <c r="AE56" s="1100"/>
      <c r="AF56" s="2616"/>
      <c r="AG56" s="2617"/>
      <c r="AH56" s="2617"/>
      <c r="AI56" s="2616"/>
      <c r="AJ56" s="2617"/>
      <c r="AK56" s="2617"/>
      <c r="AL56" s="1900"/>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row>
    <row r="57" spans="1:58" ht="11.25" customHeight="1">
      <c r="A57" s="1084" t="s">
        <v>992</v>
      </c>
      <c r="B57" s="1084"/>
      <c r="C57" s="1084"/>
      <c r="D57" s="1078"/>
      <c r="E57" s="1088"/>
      <c r="F57" s="2605"/>
      <c r="G57" s="2606"/>
      <c r="H57" s="2601" t="s">
        <v>94</v>
      </c>
      <c r="I57" s="2613"/>
      <c r="J57" s="2624"/>
      <c r="K57" s="2615"/>
      <c r="L57" s="2338"/>
      <c r="M57" s="2339"/>
      <c r="N57" s="1093"/>
      <c r="O57" s="1094"/>
      <c r="P57" s="1086" t="s">
        <v>1030</v>
      </c>
      <c r="Q57" s="1094"/>
      <c r="R57" s="1094"/>
      <c r="S57" s="1094"/>
      <c r="T57" s="1094"/>
      <c r="U57" s="1094"/>
      <c r="V57" s="1094"/>
      <c r="W57" s="1094"/>
      <c r="X57" s="1094"/>
      <c r="Y57" s="1094"/>
      <c r="Z57" s="1094"/>
      <c r="AA57" s="1094"/>
      <c r="AB57" s="1094"/>
      <c r="AC57" s="1094"/>
      <c r="AD57" s="1094"/>
      <c r="AE57" s="1101"/>
      <c r="AF57" s="2616"/>
      <c r="AG57" s="2617"/>
      <c r="AH57" s="2617"/>
      <c r="AI57" s="2616"/>
      <c r="AJ57" s="2617"/>
      <c r="AK57" s="2617"/>
      <c r="AL57" s="1900"/>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row>
    <row r="58" spans="1:58" ht="31.5" customHeight="1">
      <c r="A58" s="1084" t="s">
        <v>992</v>
      </c>
      <c r="B58" s="1084" t="s">
        <v>1031</v>
      </c>
      <c r="C58" s="1084"/>
      <c r="D58" s="1078"/>
      <c r="E58" s="1088"/>
      <c r="F58" s="2605"/>
      <c r="G58" s="2590" t="s">
        <v>686</v>
      </c>
      <c r="H58" s="2601" t="s">
        <v>111</v>
      </c>
      <c r="I58" s="2613" t="s">
        <v>1032</v>
      </c>
      <c r="J58" s="2624" t="s">
        <v>1033</v>
      </c>
      <c r="K58" s="2615" t="s">
        <v>1044</v>
      </c>
      <c r="L58" s="2338" t="s">
        <v>19</v>
      </c>
      <c r="M58" s="2339"/>
      <c r="N58" s="1898"/>
      <c r="O58" s="1095" t="s">
        <v>373</v>
      </c>
      <c r="P58" s="1096"/>
      <c r="Q58" s="1096"/>
      <c r="R58" s="1096"/>
      <c r="S58" s="1096"/>
      <c r="T58" s="1096"/>
      <c r="U58" s="1096"/>
      <c r="V58" s="1096"/>
      <c r="W58" s="1096"/>
      <c r="X58" s="1096"/>
      <c r="Y58" s="1096"/>
      <c r="Z58" s="1096"/>
      <c r="AA58" s="1096"/>
      <c r="AB58" s="1096"/>
      <c r="AC58" s="1096"/>
      <c r="AD58" s="1096"/>
      <c r="AE58" s="1096"/>
      <c r="AF58" s="2616">
        <v>5</v>
      </c>
      <c r="AG58" s="2617" t="s">
        <v>1026</v>
      </c>
      <c r="AH58" s="2617" t="s">
        <v>1027</v>
      </c>
      <c r="AI58" s="2616"/>
      <c r="AJ58" s="2617"/>
      <c r="AK58" s="2617"/>
      <c r="AL58" s="1900"/>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row>
    <row r="59" spans="1:58" ht="29.25" customHeight="1">
      <c r="A59" s="1084" t="s">
        <v>992</v>
      </c>
      <c r="B59" s="1084"/>
      <c r="C59" s="1084"/>
      <c r="D59" s="1078"/>
      <c r="E59" s="1088"/>
      <c r="F59" s="2605"/>
      <c r="G59" s="2606"/>
      <c r="H59" s="2601" t="s">
        <v>95</v>
      </c>
      <c r="I59" s="2613"/>
      <c r="J59" s="2624"/>
      <c r="K59" s="2615"/>
      <c r="L59" s="2338"/>
      <c r="M59" s="2339"/>
      <c r="N59" s="2618"/>
      <c r="O59" s="2619">
        <v>1</v>
      </c>
      <c r="P59" s="2620" t="s">
        <v>19</v>
      </c>
      <c r="Q59" s="2573" t="s">
        <v>22</v>
      </c>
      <c r="R59" s="2573" t="s">
        <v>22</v>
      </c>
      <c r="S59" s="2573" t="s">
        <v>22</v>
      </c>
      <c r="T59" s="2573" t="s">
        <v>22</v>
      </c>
      <c r="U59" s="2573" t="s">
        <v>22</v>
      </c>
      <c r="V59" s="2573" t="s">
        <v>22</v>
      </c>
      <c r="W59" s="2573" t="s">
        <v>22</v>
      </c>
      <c r="X59" s="2573" t="s">
        <v>22</v>
      </c>
      <c r="Y59" s="2573"/>
      <c r="Z59" s="1093"/>
      <c r="AA59" s="1094"/>
      <c r="AB59" s="1094"/>
      <c r="AC59" s="1098"/>
      <c r="AD59" s="1098"/>
      <c r="AE59" s="1099"/>
      <c r="AF59" s="2616"/>
      <c r="AG59" s="2617"/>
      <c r="AH59" s="2617"/>
      <c r="AI59" s="2616"/>
      <c r="AJ59" s="2617"/>
      <c r="AK59" s="2617"/>
      <c r="AL59" s="1900"/>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row>
    <row r="60" spans="1:58" ht="18" customHeight="1">
      <c r="A60" s="1084" t="s">
        <v>992</v>
      </c>
      <c r="B60" s="1084"/>
      <c r="C60" s="1084"/>
      <c r="D60" s="1078"/>
      <c r="E60" s="1088"/>
      <c r="F60" s="2605"/>
      <c r="G60" s="2606"/>
      <c r="H60" s="2601" t="s">
        <v>95</v>
      </c>
      <c r="I60" s="2613"/>
      <c r="J60" s="2624"/>
      <c r="K60" s="2615"/>
      <c r="L60" s="2338"/>
      <c r="M60" s="2339"/>
      <c r="N60" s="2618"/>
      <c r="O60" s="2619"/>
      <c r="P60" s="2621"/>
      <c r="Q60" s="2573"/>
      <c r="R60" s="2573"/>
      <c r="S60" s="2623"/>
      <c r="T60" s="2573"/>
      <c r="U60" s="2573"/>
      <c r="V60" s="2573"/>
      <c r="W60" s="2573"/>
      <c r="X60" s="2573"/>
      <c r="Y60" s="2573"/>
      <c r="Z60" s="1743"/>
      <c r="AA60" s="1711">
        <v>1</v>
      </c>
      <c r="AB60" s="1097" t="s">
        <v>1036</v>
      </c>
      <c r="AC60" s="1087">
        <v>7267.3407856039403</v>
      </c>
      <c r="AD60" s="1097" t="str">
        <f>AB60</f>
        <v xml:space="preserve">      Прочие амортизационные отчисления</v>
      </c>
      <c r="AE60" s="1087"/>
      <c r="AF60" s="2616"/>
      <c r="AG60" s="2617"/>
      <c r="AH60" s="2617"/>
      <c r="AI60" s="2616"/>
      <c r="AJ60" s="2617"/>
      <c r="AK60" s="2617"/>
      <c r="AL60" s="1900"/>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row>
    <row r="61" spans="1:58" ht="11.25" customHeight="1">
      <c r="A61" s="1084" t="s">
        <v>992</v>
      </c>
      <c r="B61" s="1084"/>
      <c r="C61" s="1084"/>
      <c r="D61" s="1078"/>
      <c r="E61" s="1088"/>
      <c r="F61" s="2606"/>
      <c r="G61" s="2606"/>
      <c r="H61" s="2606"/>
      <c r="I61" s="2606"/>
      <c r="J61" s="2606"/>
      <c r="K61" s="2606"/>
      <c r="L61" s="2606"/>
      <c r="M61" s="2606"/>
      <c r="N61" s="2606"/>
      <c r="O61" s="2606"/>
      <c r="P61" s="2606"/>
      <c r="Q61" s="2606"/>
      <c r="R61" s="2606"/>
      <c r="S61" s="2606"/>
      <c r="T61" s="2606"/>
      <c r="U61" s="2606"/>
      <c r="V61" s="2606"/>
      <c r="W61" s="2606"/>
      <c r="X61" s="2606"/>
      <c r="Y61" s="2606"/>
      <c r="Z61" s="2054" t="s">
        <v>686</v>
      </c>
      <c r="AA61" s="1731" t="s">
        <v>109</v>
      </c>
      <c r="AB61" s="1097" t="s">
        <v>1028</v>
      </c>
      <c r="AC61" s="1087">
        <v>206.64523270386201</v>
      </c>
      <c r="AD61" s="1097" t="str">
        <f>AB61</f>
        <v xml:space="preserve">  Прочие</v>
      </c>
      <c r="AE61" s="1087"/>
      <c r="AF61" s="2625"/>
      <c r="AG61" s="2626"/>
      <c r="AH61" s="2626"/>
      <c r="AI61" s="2625"/>
      <c r="AJ61" s="2626"/>
      <c r="AK61" s="2627"/>
      <c r="AL61" s="1900"/>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row>
    <row r="62" spans="1:58" ht="24.75" customHeight="1">
      <c r="A62" s="1084" t="s">
        <v>992</v>
      </c>
      <c r="B62" s="1084"/>
      <c r="C62" s="1084"/>
      <c r="D62" s="1078"/>
      <c r="E62" s="1088"/>
      <c r="F62" s="2605"/>
      <c r="G62" s="2606"/>
      <c r="H62" s="2601" t="s">
        <v>95</v>
      </c>
      <c r="I62" s="2613"/>
      <c r="J62" s="2624"/>
      <c r="K62" s="2615"/>
      <c r="L62" s="2338"/>
      <c r="M62" s="2339"/>
      <c r="N62" s="2618"/>
      <c r="O62" s="2619"/>
      <c r="P62" s="2622"/>
      <c r="Q62" s="2573"/>
      <c r="R62" s="2573"/>
      <c r="S62" s="2623"/>
      <c r="T62" s="2573"/>
      <c r="U62" s="2573"/>
      <c r="V62" s="2573"/>
      <c r="W62" s="2573"/>
      <c r="X62" s="2573"/>
      <c r="Y62" s="2573"/>
      <c r="Z62" s="1093"/>
      <c r="AA62" s="1094"/>
      <c r="AB62" s="1159" t="s">
        <v>1029</v>
      </c>
      <c r="AC62" s="1098"/>
      <c r="AD62" s="1098"/>
      <c r="AE62" s="1100"/>
      <c r="AF62" s="2616"/>
      <c r="AG62" s="2617"/>
      <c r="AH62" s="2617"/>
      <c r="AI62" s="2616"/>
      <c r="AJ62" s="2617"/>
      <c r="AK62" s="2617"/>
      <c r="AL62" s="1900"/>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row>
    <row r="63" spans="1:58" ht="27.75" customHeight="1">
      <c r="A63" s="1084" t="s">
        <v>992</v>
      </c>
      <c r="B63" s="1084"/>
      <c r="C63" s="1084"/>
      <c r="D63" s="1078"/>
      <c r="E63" s="1088"/>
      <c r="F63" s="2605"/>
      <c r="G63" s="2606"/>
      <c r="H63" s="2601" t="s">
        <v>95</v>
      </c>
      <c r="I63" s="2613"/>
      <c r="J63" s="2624"/>
      <c r="K63" s="2615"/>
      <c r="L63" s="2338"/>
      <c r="M63" s="2339"/>
      <c r="N63" s="1093"/>
      <c r="O63" s="1094"/>
      <c r="P63" s="1086" t="s">
        <v>1030</v>
      </c>
      <c r="Q63" s="1094"/>
      <c r="R63" s="1094"/>
      <c r="S63" s="1094"/>
      <c r="T63" s="1094"/>
      <c r="U63" s="1094"/>
      <c r="V63" s="1094"/>
      <c r="W63" s="1094"/>
      <c r="X63" s="1094"/>
      <c r="Y63" s="1094"/>
      <c r="Z63" s="1094"/>
      <c r="AA63" s="1094"/>
      <c r="AB63" s="1094"/>
      <c r="AC63" s="1094"/>
      <c r="AD63" s="1094"/>
      <c r="AE63" s="1101"/>
      <c r="AF63" s="2616"/>
      <c r="AG63" s="2617"/>
      <c r="AH63" s="2617"/>
      <c r="AI63" s="2616"/>
      <c r="AJ63" s="2617"/>
      <c r="AK63" s="2617"/>
      <c r="AL63" s="1900"/>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row>
    <row r="64" spans="1:58" ht="23.25" customHeight="1">
      <c r="A64" s="1084" t="s">
        <v>992</v>
      </c>
      <c r="B64" s="1084" t="s">
        <v>1031</v>
      </c>
      <c r="C64" s="1084"/>
      <c r="D64" s="1078"/>
      <c r="E64" s="1088"/>
      <c r="F64" s="2605"/>
      <c r="G64" s="2590" t="s">
        <v>686</v>
      </c>
      <c r="H64" s="2601" t="s">
        <v>147</v>
      </c>
      <c r="I64" s="2613" t="s">
        <v>1032</v>
      </c>
      <c r="J64" s="2624" t="s">
        <v>1033</v>
      </c>
      <c r="K64" s="2615" t="s">
        <v>1045</v>
      </c>
      <c r="L64" s="2338" t="s">
        <v>19</v>
      </c>
      <c r="M64" s="2339"/>
      <c r="N64" s="1898"/>
      <c r="O64" s="1095" t="s">
        <v>373</v>
      </c>
      <c r="P64" s="1096"/>
      <c r="Q64" s="1096"/>
      <c r="R64" s="1096"/>
      <c r="S64" s="1096"/>
      <c r="T64" s="1096"/>
      <c r="U64" s="1096"/>
      <c r="V64" s="1096"/>
      <c r="W64" s="1096"/>
      <c r="X64" s="1096"/>
      <c r="Y64" s="1096"/>
      <c r="Z64" s="1096"/>
      <c r="AA64" s="1096"/>
      <c r="AB64" s="1096"/>
      <c r="AC64" s="1096"/>
      <c r="AD64" s="1096"/>
      <c r="AE64" s="1096"/>
      <c r="AF64" s="2616">
        <v>4</v>
      </c>
      <c r="AG64" s="2617" t="s">
        <v>1026</v>
      </c>
      <c r="AH64" s="2617" t="s">
        <v>1038</v>
      </c>
      <c r="AI64" s="2616"/>
      <c r="AJ64" s="2617"/>
      <c r="AK64" s="2617"/>
      <c r="AL64" s="1900"/>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row>
    <row r="65" spans="1:58" ht="27.75" customHeight="1">
      <c r="A65" s="1084" t="s">
        <v>992</v>
      </c>
      <c r="B65" s="1084"/>
      <c r="C65" s="1084"/>
      <c r="D65" s="1078"/>
      <c r="E65" s="1088"/>
      <c r="F65" s="2605"/>
      <c r="G65" s="2606"/>
      <c r="H65" s="2601" t="s">
        <v>111</v>
      </c>
      <c r="I65" s="2613"/>
      <c r="J65" s="2624"/>
      <c r="K65" s="2615"/>
      <c r="L65" s="2338"/>
      <c r="M65" s="2339"/>
      <c r="N65" s="2618"/>
      <c r="O65" s="2619">
        <v>1</v>
      </c>
      <c r="P65" s="2620" t="s">
        <v>19</v>
      </c>
      <c r="Q65" s="2573" t="s">
        <v>22</v>
      </c>
      <c r="R65" s="2573" t="s">
        <v>22</v>
      </c>
      <c r="S65" s="2573" t="s">
        <v>22</v>
      </c>
      <c r="T65" s="2573" t="s">
        <v>22</v>
      </c>
      <c r="U65" s="2573" t="s">
        <v>22</v>
      </c>
      <c r="V65" s="2573" t="s">
        <v>22</v>
      </c>
      <c r="W65" s="2573" t="s">
        <v>22</v>
      </c>
      <c r="X65" s="2573" t="s">
        <v>22</v>
      </c>
      <c r="Y65" s="2573"/>
      <c r="Z65" s="1093"/>
      <c r="AA65" s="1094"/>
      <c r="AB65" s="1094"/>
      <c r="AC65" s="1098"/>
      <c r="AD65" s="1098"/>
      <c r="AE65" s="1099"/>
      <c r="AF65" s="2616"/>
      <c r="AG65" s="2617"/>
      <c r="AH65" s="2617"/>
      <c r="AI65" s="2616"/>
      <c r="AJ65" s="2617"/>
      <c r="AK65" s="2617"/>
      <c r="AL65" s="1900"/>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row>
    <row r="66" spans="1:58" ht="30.75" customHeight="1">
      <c r="A66" s="1084" t="s">
        <v>992</v>
      </c>
      <c r="B66" s="1084"/>
      <c r="C66" s="1084"/>
      <c r="D66" s="1078"/>
      <c r="E66" s="1088"/>
      <c r="F66" s="2605"/>
      <c r="G66" s="2606"/>
      <c r="H66" s="2601" t="s">
        <v>111</v>
      </c>
      <c r="I66" s="2613"/>
      <c r="J66" s="2624"/>
      <c r="K66" s="2615"/>
      <c r="L66" s="2338"/>
      <c r="M66" s="2339"/>
      <c r="N66" s="2618"/>
      <c r="O66" s="2619"/>
      <c r="P66" s="2621"/>
      <c r="Q66" s="2573"/>
      <c r="R66" s="2573"/>
      <c r="S66" s="2623"/>
      <c r="T66" s="2573"/>
      <c r="U66" s="2573"/>
      <c r="V66" s="2573"/>
      <c r="W66" s="2573"/>
      <c r="X66" s="2573"/>
      <c r="Y66" s="2573"/>
      <c r="Z66" s="1743"/>
      <c r="AA66" s="1711">
        <v>1</v>
      </c>
      <c r="AB66" s="1097" t="s">
        <v>1036</v>
      </c>
      <c r="AC66" s="1087">
        <v>9483</v>
      </c>
      <c r="AD66" s="1097" t="str">
        <f>AB66</f>
        <v xml:space="preserve">      Прочие амортизационные отчисления</v>
      </c>
      <c r="AE66" s="1087"/>
      <c r="AF66" s="2616"/>
      <c r="AG66" s="2617"/>
      <c r="AH66" s="2617"/>
      <c r="AI66" s="2616"/>
      <c r="AJ66" s="2617"/>
      <c r="AK66" s="2617"/>
      <c r="AL66" s="1900"/>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row>
    <row r="67" spans="1:58" ht="32.25" customHeight="1">
      <c r="A67" s="1084" t="s">
        <v>992</v>
      </c>
      <c r="B67" s="1084"/>
      <c r="C67" s="1084"/>
      <c r="D67" s="1078"/>
      <c r="E67" s="1088"/>
      <c r="F67" s="2605"/>
      <c r="G67" s="2606"/>
      <c r="H67" s="2601" t="s">
        <v>111</v>
      </c>
      <c r="I67" s="2613"/>
      <c r="J67" s="2624"/>
      <c r="K67" s="2615"/>
      <c r="L67" s="2338"/>
      <c r="M67" s="2339"/>
      <c r="N67" s="2618"/>
      <c r="O67" s="2619"/>
      <c r="P67" s="2622"/>
      <c r="Q67" s="2573"/>
      <c r="R67" s="2573"/>
      <c r="S67" s="2623"/>
      <c r="T67" s="2573"/>
      <c r="U67" s="2573"/>
      <c r="V67" s="2573"/>
      <c r="W67" s="2573"/>
      <c r="X67" s="2573"/>
      <c r="Y67" s="2573"/>
      <c r="Z67" s="1093"/>
      <c r="AA67" s="1094"/>
      <c r="AB67" s="1159" t="s">
        <v>1029</v>
      </c>
      <c r="AC67" s="1098"/>
      <c r="AD67" s="1098"/>
      <c r="AE67" s="1100"/>
      <c r="AF67" s="2616"/>
      <c r="AG67" s="2617"/>
      <c r="AH67" s="2617"/>
      <c r="AI67" s="2616"/>
      <c r="AJ67" s="2617"/>
      <c r="AK67" s="2617"/>
      <c r="AL67" s="1900"/>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row>
    <row r="68" spans="1:58" ht="29.25" customHeight="1">
      <c r="A68" s="1084" t="s">
        <v>992</v>
      </c>
      <c r="B68" s="1084"/>
      <c r="C68" s="1084"/>
      <c r="D68" s="1078"/>
      <c r="E68" s="1088"/>
      <c r="F68" s="2605"/>
      <c r="G68" s="2606"/>
      <c r="H68" s="2601" t="s">
        <v>111</v>
      </c>
      <c r="I68" s="2613"/>
      <c r="J68" s="2624"/>
      <c r="K68" s="2615"/>
      <c r="L68" s="2338"/>
      <c r="M68" s="2339"/>
      <c r="N68" s="1093"/>
      <c r="O68" s="1094"/>
      <c r="P68" s="1086" t="s">
        <v>1030</v>
      </c>
      <c r="Q68" s="1094"/>
      <c r="R68" s="1094"/>
      <c r="S68" s="1094"/>
      <c r="T68" s="1094"/>
      <c r="U68" s="1094"/>
      <c r="V68" s="1094"/>
      <c r="W68" s="1094"/>
      <c r="X68" s="1094"/>
      <c r="Y68" s="1094"/>
      <c r="Z68" s="1094"/>
      <c r="AA68" s="1094"/>
      <c r="AB68" s="1094"/>
      <c r="AC68" s="1094"/>
      <c r="AD68" s="1094"/>
      <c r="AE68" s="1101"/>
      <c r="AF68" s="2616"/>
      <c r="AG68" s="2617"/>
      <c r="AH68" s="2617"/>
      <c r="AI68" s="2616"/>
      <c r="AJ68" s="2617"/>
      <c r="AK68" s="2617"/>
      <c r="AL68" s="1900"/>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row>
    <row r="69" spans="1:58" ht="57.75" customHeight="1">
      <c r="A69" s="1084" t="s">
        <v>992</v>
      </c>
      <c r="B69" s="1084" t="s">
        <v>1031</v>
      </c>
      <c r="C69" s="1084"/>
      <c r="D69" s="1078"/>
      <c r="E69" s="1088"/>
      <c r="F69" s="2605"/>
      <c r="G69" s="2590" t="s">
        <v>686</v>
      </c>
      <c r="H69" s="2601" t="s">
        <v>148</v>
      </c>
      <c r="I69" s="2613" t="s">
        <v>1032</v>
      </c>
      <c r="J69" s="2624" t="s">
        <v>1033</v>
      </c>
      <c r="K69" s="2615" t="s">
        <v>1046</v>
      </c>
      <c r="L69" s="2338" t="s">
        <v>19</v>
      </c>
      <c r="M69" s="2339"/>
      <c r="N69" s="1898"/>
      <c r="O69" s="1095" t="s">
        <v>373</v>
      </c>
      <c r="P69" s="1096"/>
      <c r="Q69" s="1096"/>
      <c r="R69" s="1096"/>
      <c r="S69" s="1096"/>
      <c r="T69" s="1096"/>
      <c r="U69" s="1096"/>
      <c r="V69" s="1096"/>
      <c r="W69" s="1096"/>
      <c r="X69" s="1096"/>
      <c r="Y69" s="1096"/>
      <c r="Z69" s="1096"/>
      <c r="AA69" s="1096"/>
      <c r="AB69" s="1096"/>
      <c r="AC69" s="1096"/>
      <c r="AD69" s="1096"/>
      <c r="AE69" s="1096"/>
      <c r="AF69" s="2616">
        <v>5</v>
      </c>
      <c r="AG69" s="2617" t="s">
        <v>1026</v>
      </c>
      <c r="AH69" s="2617" t="s">
        <v>1027</v>
      </c>
      <c r="AI69" s="2616"/>
      <c r="AJ69" s="2617"/>
      <c r="AK69" s="2617"/>
      <c r="AL69" s="1900"/>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row>
    <row r="70" spans="1:58" ht="43.5" customHeight="1">
      <c r="A70" s="1084" t="s">
        <v>992</v>
      </c>
      <c r="B70" s="1084"/>
      <c r="C70" s="1084"/>
      <c r="D70" s="1078"/>
      <c r="E70" s="1088"/>
      <c r="F70" s="2605"/>
      <c r="G70" s="2606"/>
      <c r="H70" s="2601" t="s">
        <v>147</v>
      </c>
      <c r="I70" s="2613"/>
      <c r="J70" s="2624"/>
      <c r="K70" s="2615"/>
      <c r="L70" s="2338"/>
      <c r="M70" s="2339"/>
      <c r="N70" s="2618"/>
      <c r="O70" s="2619">
        <v>1</v>
      </c>
      <c r="P70" s="2620" t="s">
        <v>19</v>
      </c>
      <c r="Q70" s="2573" t="s">
        <v>22</v>
      </c>
      <c r="R70" s="2573" t="s">
        <v>22</v>
      </c>
      <c r="S70" s="2573" t="s">
        <v>22</v>
      </c>
      <c r="T70" s="2573" t="s">
        <v>22</v>
      </c>
      <c r="U70" s="2573" t="s">
        <v>22</v>
      </c>
      <c r="V70" s="2573" t="s">
        <v>22</v>
      </c>
      <c r="W70" s="2573" t="s">
        <v>22</v>
      </c>
      <c r="X70" s="2573" t="s">
        <v>22</v>
      </c>
      <c r="Y70" s="2573"/>
      <c r="Z70" s="1093"/>
      <c r="AA70" s="1094"/>
      <c r="AB70" s="1094"/>
      <c r="AC70" s="1098"/>
      <c r="AD70" s="1098"/>
      <c r="AE70" s="1099"/>
      <c r="AF70" s="2616"/>
      <c r="AG70" s="2617"/>
      <c r="AH70" s="2617"/>
      <c r="AI70" s="2616"/>
      <c r="AJ70" s="2617"/>
      <c r="AK70" s="2617"/>
      <c r="AL70" s="1900"/>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row>
    <row r="71" spans="1:58" ht="37.5" customHeight="1">
      <c r="A71" s="1084" t="s">
        <v>992</v>
      </c>
      <c r="B71" s="1084"/>
      <c r="C71" s="1084"/>
      <c r="D71" s="1078"/>
      <c r="E71" s="1088"/>
      <c r="F71" s="2605"/>
      <c r="G71" s="2606"/>
      <c r="H71" s="2601" t="s">
        <v>147</v>
      </c>
      <c r="I71" s="2613"/>
      <c r="J71" s="2624"/>
      <c r="K71" s="2615"/>
      <c r="L71" s="2338"/>
      <c r="M71" s="2339"/>
      <c r="N71" s="2618"/>
      <c r="O71" s="2619"/>
      <c r="P71" s="2621"/>
      <c r="Q71" s="2573"/>
      <c r="R71" s="2573"/>
      <c r="S71" s="2623"/>
      <c r="T71" s="2573"/>
      <c r="U71" s="2573"/>
      <c r="V71" s="2573"/>
      <c r="W71" s="2573"/>
      <c r="X71" s="2573"/>
      <c r="Y71" s="2573"/>
      <c r="Z71" s="1743"/>
      <c r="AA71" s="1711">
        <v>1</v>
      </c>
      <c r="AB71" s="1097" t="s">
        <v>1036</v>
      </c>
      <c r="AC71" s="1087">
        <v>4350</v>
      </c>
      <c r="AD71" s="1097" t="str">
        <f>AB71</f>
        <v xml:space="preserve">      Прочие амортизационные отчисления</v>
      </c>
      <c r="AE71" s="1087"/>
      <c r="AF71" s="2616"/>
      <c r="AG71" s="2617"/>
      <c r="AH71" s="2617"/>
      <c r="AI71" s="2616"/>
      <c r="AJ71" s="2617"/>
      <c r="AK71" s="2617"/>
      <c r="AL71" s="1900"/>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row>
    <row r="72" spans="1:58" ht="38.25" customHeight="1">
      <c r="A72" s="1084" t="s">
        <v>992</v>
      </c>
      <c r="B72" s="1084"/>
      <c r="C72" s="1084"/>
      <c r="D72" s="1078"/>
      <c r="E72" s="1088"/>
      <c r="F72" s="2605"/>
      <c r="G72" s="2606"/>
      <c r="H72" s="2601" t="s">
        <v>147</v>
      </c>
      <c r="I72" s="2613"/>
      <c r="J72" s="2624"/>
      <c r="K72" s="2615"/>
      <c r="L72" s="2338"/>
      <c r="M72" s="2339"/>
      <c r="N72" s="2618"/>
      <c r="O72" s="2619"/>
      <c r="P72" s="2622"/>
      <c r="Q72" s="2573"/>
      <c r="R72" s="2573"/>
      <c r="S72" s="2623"/>
      <c r="T72" s="2573"/>
      <c r="U72" s="2573"/>
      <c r="V72" s="2573"/>
      <c r="W72" s="2573"/>
      <c r="X72" s="2573"/>
      <c r="Y72" s="2573"/>
      <c r="Z72" s="1093"/>
      <c r="AA72" s="1094"/>
      <c r="AB72" s="1159" t="s">
        <v>1029</v>
      </c>
      <c r="AC72" s="1098"/>
      <c r="AD72" s="1098"/>
      <c r="AE72" s="1100"/>
      <c r="AF72" s="2616"/>
      <c r="AG72" s="2617"/>
      <c r="AH72" s="2617"/>
      <c r="AI72" s="2616"/>
      <c r="AJ72" s="2617"/>
      <c r="AK72" s="2617"/>
      <c r="AL72" s="1900"/>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row>
    <row r="73" spans="1:58" ht="38.25" customHeight="1">
      <c r="A73" s="1084" t="s">
        <v>992</v>
      </c>
      <c r="B73" s="1084"/>
      <c r="C73" s="1084"/>
      <c r="D73" s="1078"/>
      <c r="E73" s="1088"/>
      <c r="F73" s="2605"/>
      <c r="G73" s="2606"/>
      <c r="H73" s="2601" t="s">
        <v>147</v>
      </c>
      <c r="I73" s="2613"/>
      <c r="J73" s="2624"/>
      <c r="K73" s="2615"/>
      <c r="L73" s="2338"/>
      <c r="M73" s="2339"/>
      <c r="N73" s="1093"/>
      <c r="O73" s="1094"/>
      <c r="P73" s="1086" t="s">
        <v>1030</v>
      </c>
      <c r="Q73" s="1094"/>
      <c r="R73" s="1094"/>
      <c r="S73" s="1094"/>
      <c r="T73" s="1094"/>
      <c r="U73" s="1094"/>
      <c r="V73" s="1094"/>
      <c r="W73" s="1094"/>
      <c r="X73" s="1094"/>
      <c r="Y73" s="1094"/>
      <c r="Z73" s="1094"/>
      <c r="AA73" s="1094"/>
      <c r="AB73" s="1094"/>
      <c r="AC73" s="1094"/>
      <c r="AD73" s="1094"/>
      <c r="AE73" s="1101"/>
      <c r="AF73" s="2616"/>
      <c r="AG73" s="2617"/>
      <c r="AH73" s="2617"/>
      <c r="AI73" s="2616"/>
      <c r="AJ73" s="2617"/>
      <c r="AK73" s="2617"/>
      <c r="AL73" s="1900"/>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row>
    <row r="74" spans="1:58" ht="11.25" customHeight="1">
      <c r="A74" s="1084" t="s">
        <v>992</v>
      </c>
      <c r="B74" s="1084" t="s">
        <v>1031</v>
      </c>
      <c r="C74" s="1084"/>
      <c r="D74" s="1078"/>
      <c r="E74" s="1088"/>
      <c r="F74" s="2605"/>
      <c r="G74" s="2590" t="s">
        <v>686</v>
      </c>
      <c r="H74" s="2601" t="s">
        <v>149</v>
      </c>
      <c r="I74" s="2613" t="s">
        <v>1032</v>
      </c>
      <c r="J74" s="2624" t="s">
        <v>1033</v>
      </c>
      <c r="K74" s="2615" t="s">
        <v>1047</v>
      </c>
      <c r="L74" s="2338" t="s">
        <v>19</v>
      </c>
      <c r="M74" s="2339"/>
      <c r="N74" s="1898"/>
      <c r="O74" s="1095" t="s">
        <v>373</v>
      </c>
      <c r="P74" s="1096"/>
      <c r="Q74" s="1096"/>
      <c r="R74" s="1096"/>
      <c r="S74" s="1096"/>
      <c r="T74" s="1096"/>
      <c r="U74" s="1096"/>
      <c r="V74" s="1096"/>
      <c r="W74" s="1096"/>
      <c r="X74" s="1096"/>
      <c r="Y74" s="1096"/>
      <c r="Z74" s="1096"/>
      <c r="AA74" s="1096"/>
      <c r="AB74" s="1096"/>
      <c r="AC74" s="1096"/>
      <c r="AD74" s="1096"/>
      <c r="AE74" s="1096"/>
      <c r="AF74" s="2616">
        <v>3</v>
      </c>
      <c r="AG74" s="2617" t="s">
        <v>1026</v>
      </c>
      <c r="AH74" s="2617" t="s">
        <v>1048</v>
      </c>
      <c r="AI74" s="2616"/>
      <c r="AJ74" s="2617"/>
      <c r="AK74" s="2617"/>
      <c r="AL74" s="1900"/>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row>
    <row r="75" spans="1:58" ht="11.25" customHeight="1">
      <c r="A75" s="1084" t="s">
        <v>992</v>
      </c>
      <c r="B75" s="1084"/>
      <c r="C75" s="1084"/>
      <c r="D75" s="1078"/>
      <c r="E75" s="1088"/>
      <c r="F75" s="2605"/>
      <c r="G75" s="2606"/>
      <c r="H75" s="2601" t="s">
        <v>148</v>
      </c>
      <c r="I75" s="2613"/>
      <c r="J75" s="2624"/>
      <c r="K75" s="2615"/>
      <c r="L75" s="2338"/>
      <c r="M75" s="2339"/>
      <c r="N75" s="2618"/>
      <c r="O75" s="2619">
        <v>1</v>
      </c>
      <c r="P75" s="2620" t="s">
        <v>19</v>
      </c>
      <c r="Q75" s="2573" t="s">
        <v>22</v>
      </c>
      <c r="R75" s="2573" t="s">
        <v>22</v>
      </c>
      <c r="S75" s="2573" t="s">
        <v>22</v>
      </c>
      <c r="T75" s="2573" t="s">
        <v>22</v>
      </c>
      <c r="U75" s="2573" t="s">
        <v>22</v>
      </c>
      <c r="V75" s="2573" t="s">
        <v>22</v>
      </c>
      <c r="W75" s="2573" t="s">
        <v>22</v>
      </c>
      <c r="X75" s="2573" t="s">
        <v>22</v>
      </c>
      <c r="Y75" s="2573"/>
      <c r="Z75" s="1093"/>
      <c r="AA75" s="1094"/>
      <c r="AB75" s="1094"/>
      <c r="AC75" s="1098"/>
      <c r="AD75" s="1098"/>
      <c r="AE75" s="1099"/>
      <c r="AF75" s="2616"/>
      <c r="AG75" s="2617"/>
      <c r="AH75" s="2617"/>
      <c r="AI75" s="2616"/>
      <c r="AJ75" s="2617"/>
      <c r="AK75" s="2617"/>
      <c r="AL75" s="1900"/>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row>
    <row r="76" spans="1:58" ht="11.25" customHeight="1">
      <c r="A76" s="1084" t="s">
        <v>992</v>
      </c>
      <c r="B76" s="1084"/>
      <c r="C76" s="1084"/>
      <c r="D76" s="1078"/>
      <c r="E76" s="1088"/>
      <c r="F76" s="2605"/>
      <c r="G76" s="2606"/>
      <c r="H76" s="2601" t="s">
        <v>148</v>
      </c>
      <c r="I76" s="2613"/>
      <c r="J76" s="2624"/>
      <c r="K76" s="2615"/>
      <c r="L76" s="2338"/>
      <c r="M76" s="2339"/>
      <c r="N76" s="2618"/>
      <c r="O76" s="2619"/>
      <c r="P76" s="2621"/>
      <c r="Q76" s="2573"/>
      <c r="R76" s="2573"/>
      <c r="S76" s="2623"/>
      <c r="T76" s="2573"/>
      <c r="U76" s="2573"/>
      <c r="V76" s="2573"/>
      <c r="W76" s="2573"/>
      <c r="X76" s="2573"/>
      <c r="Y76" s="2573"/>
      <c r="Z76" s="1743"/>
      <c r="AA76" s="1711">
        <v>1</v>
      </c>
      <c r="AB76" s="1097" t="s">
        <v>1028</v>
      </c>
      <c r="AC76" s="1087">
        <v>25514.400000000001</v>
      </c>
      <c r="AD76" s="1097" t="str">
        <f>AB76</f>
        <v xml:space="preserve">  Прочие</v>
      </c>
      <c r="AE76" s="1087"/>
      <c r="AF76" s="2616"/>
      <c r="AG76" s="2617"/>
      <c r="AH76" s="2617"/>
      <c r="AI76" s="2616"/>
      <c r="AJ76" s="2617"/>
      <c r="AK76" s="2617"/>
      <c r="AL76" s="1900"/>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row>
    <row r="77" spans="1:58" ht="11.25" customHeight="1">
      <c r="A77" s="1084" t="s">
        <v>992</v>
      </c>
      <c r="B77" s="1084"/>
      <c r="C77" s="1084"/>
      <c r="D77" s="1078"/>
      <c r="E77" s="1088"/>
      <c r="F77" s="2605"/>
      <c r="G77" s="2606"/>
      <c r="H77" s="2601" t="s">
        <v>148</v>
      </c>
      <c r="I77" s="2613"/>
      <c r="J77" s="2624"/>
      <c r="K77" s="2615"/>
      <c r="L77" s="2338"/>
      <c r="M77" s="2339"/>
      <c r="N77" s="2618"/>
      <c r="O77" s="2619"/>
      <c r="P77" s="2622"/>
      <c r="Q77" s="2573"/>
      <c r="R77" s="2573"/>
      <c r="S77" s="2623"/>
      <c r="T77" s="2573"/>
      <c r="U77" s="2573"/>
      <c r="V77" s="2573"/>
      <c r="W77" s="2573"/>
      <c r="X77" s="2573"/>
      <c r="Y77" s="2573"/>
      <c r="Z77" s="1093"/>
      <c r="AA77" s="1094"/>
      <c r="AB77" s="1159" t="s">
        <v>1029</v>
      </c>
      <c r="AC77" s="1098"/>
      <c r="AD77" s="1098"/>
      <c r="AE77" s="1100"/>
      <c r="AF77" s="2616"/>
      <c r="AG77" s="2617"/>
      <c r="AH77" s="2617"/>
      <c r="AI77" s="2616"/>
      <c r="AJ77" s="2617"/>
      <c r="AK77" s="2617"/>
      <c r="AL77" s="1900"/>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row>
    <row r="78" spans="1:58" ht="11.25" customHeight="1">
      <c r="A78" s="1084" t="s">
        <v>992</v>
      </c>
      <c r="B78" s="1084"/>
      <c r="C78" s="1084"/>
      <c r="D78" s="1078"/>
      <c r="E78" s="1088"/>
      <c r="F78" s="2605"/>
      <c r="G78" s="2606"/>
      <c r="H78" s="2601" t="s">
        <v>148</v>
      </c>
      <c r="I78" s="2613"/>
      <c r="J78" s="2624"/>
      <c r="K78" s="2615"/>
      <c r="L78" s="2338"/>
      <c r="M78" s="2339"/>
      <c r="N78" s="1093"/>
      <c r="O78" s="1094"/>
      <c r="P78" s="1086" t="s">
        <v>1030</v>
      </c>
      <c r="Q78" s="1094"/>
      <c r="R78" s="1094"/>
      <c r="S78" s="1094"/>
      <c r="T78" s="1094"/>
      <c r="U78" s="1094"/>
      <c r="V78" s="1094"/>
      <c r="W78" s="1094"/>
      <c r="X78" s="1094"/>
      <c r="Y78" s="1094"/>
      <c r="Z78" s="1094"/>
      <c r="AA78" s="1094"/>
      <c r="AB78" s="1094"/>
      <c r="AC78" s="1094"/>
      <c r="AD78" s="1094"/>
      <c r="AE78" s="1101"/>
      <c r="AF78" s="2616"/>
      <c r="AG78" s="2617"/>
      <c r="AH78" s="2617"/>
      <c r="AI78" s="2616"/>
      <c r="AJ78" s="2617"/>
      <c r="AK78" s="2617"/>
      <c r="AL78" s="1900"/>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row>
    <row r="79" spans="1:58" ht="11.25" customHeight="1">
      <c r="A79" s="1084" t="s">
        <v>992</v>
      </c>
      <c r="B79" s="1084" t="s">
        <v>1031</v>
      </c>
      <c r="C79" s="1084"/>
      <c r="D79" s="1078"/>
      <c r="E79" s="1088"/>
      <c r="F79" s="2605"/>
      <c r="G79" s="2590" t="s">
        <v>686</v>
      </c>
      <c r="H79" s="2601" t="s">
        <v>150</v>
      </c>
      <c r="I79" s="2613" t="s">
        <v>1032</v>
      </c>
      <c r="J79" s="2624" t="s">
        <v>1033</v>
      </c>
      <c r="K79" s="2615" t="s">
        <v>1049</v>
      </c>
      <c r="L79" s="2338" t="s">
        <v>19</v>
      </c>
      <c r="M79" s="2339"/>
      <c r="N79" s="1898"/>
      <c r="O79" s="1095" t="s">
        <v>373</v>
      </c>
      <c r="P79" s="1096"/>
      <c r="Q79" s="1096"/>
      <c r="R79" s="1096"/>
      <c r="S79" s="1096"/>
      <c r="T79" s="1096"/>
      <c r="U79" s="1096"/>
      <c r="V79" s="1096"/>
      <c r="W79" s="1096"/>
      <c r="X79" s="1096"/>
      <c r="Y79" s="1096"/>
      <c r="Z79" s="1096"/>
      <c r="AA79" s="1096"/>
      <c r="AB79" s="1096"/>
      <c r="AC79" s="1096"/>
      <c r="AD79" s="1096"/>
      <c r="AE79" s="1096"/>
      <c r="AF79" s="2616">
        <v>5</v>
      </c>
      <c r="AG79" s="2617" t="s">
        <v>1026</v>
      </c>
      <c r="AH79" s="2617" t="s">
        <v>1035</v>
      </c>
      <c r="AI79" s="2616"/>
      <c r="AJ79" s="2617"/>
      <c r="AK79" s="2617"/>
      <c r="AL79" s="1900"/>
      <c r="AM79" s="1738"/>
      <c r="AN79" s="1738"/>
      <c r="AO79" s="1738"/>
      <c r="AP79" s="1738"/>
      <c r="AQ79" s="1738"/>
      <c r="AR79" s="1738"/>
      <c r="AS79" s="1738"/>
      <c r="AT79" s="1738"/>
      <c r="AU79" s="1738"/>
      <c r="AV79" s="1738"/>
      <c r="AW79" s="1738"/>
      <c r="AX79" s="1738"/>
      <c r="AY79" s="1738"/>
      <c r="AZ79" s="1738"/>
      <c r="BA79" s="1738"/>
      <c r="BB79" s="1738"/>
      <c r="BC79" s="1738"/>
      <c r="BD79" s="1738"/>
      <c r="BE79" s="1738"/>
      <c r="BF79" s="1738"/>
    </row>
    <row r="80" spans="1:58" ht="11.25" customHeight="1">
      <c r="A80" s="1084" t="s">
        <v>992</v>
      </c>
      <c r="B80" s="1084"/>
      <c r="C80" s="1084"/>
      <c r="D80" s="1078"/>
      <c r="E80" s="1088"/>
      <c r="F80" s="2605"/>
      <c r="G80" s="2606"/>
      <c r="H80" s="2601" t="s">
        <v>149</v>
      </c>
      <c r="I80" s="2613"/>
      <c r="J80" s="2624"/>
      <c r="K80" s="2615"/>
      <c r="L80" s="2338"/>
      <c r="M80" s="2339"/>
      <c r="N80" s="2618"/>
      <c r="O80" s="2619">
        <v>1</v>
      </c>
      <c r="P80" s="2620" t="s">
        <v>19</v>
      </c>
      <c r="Q80" s="2573" t="s">
        <v>22</v>
      </c>
      <c r="R80" s="2573" t="s">
        <v>22</v>
      </c>
      <c r="S80" s="2573" t="s">
        <v>22</v>
      </c>
      <c r="T80" s="2573" t="s">
        <v>22</v>
      </c>
      <c r="U80" s="2573" t="s">
        <v>22</v>
      </c>
      <c r="V80" s="2573" t="s">
        <v>22</v>
      </c>
      <c r="W80" s="2573" t="s">
        <v>22</v>
      </c>
      <c r="X80" s="2573" t="s">
        <v>22</v>
      </c>
      <c r="Y80" s="2573"/>
      <c r="Z80" s="1093"/>
      <c r="AA80" s="1094"/>
      <c r="AB80" s="1094"/>
      <c r="AC80" s="1098"/>
      <c r="AD80" s="1098"/>
      <c r="AE80" s="1099"/>
      <c r="AF80" s="2616"/>
      <c r="AG80" s="2617"/>
      <c r="AH80" s="2617"/>
      <c r="AI80" s="2616"/>
      <c r="AJ80" s="2617"/>
      <c r="AK80" s="2617"/>
      <c r="AL80" s="1900"/>
      <c r="AM80" s="1738"/>
      <c r="AN80" s="1738"/>
      <c r="AO80" s="1738"/>
      <c r="AP80" s="1738"/>
      <c r="AQ80" s="1738"/>
      <c r="AR80" s="1738"/>
      <c r="AS80" s="1738"/>
      <c r="AT80" s="1738"/>
      <c r="AU80" s="1738"/>
      <c r="AV80" s="1738"/>
      <c r="AW80" s="1738"/>
      <c r="AX80" s="1738"/>
      <c r="AY80" s="1738"/>
      <c r="AZ80" s="1738"/>
      <c r="BA80" s="1738"/>
      <c r="BB80" s="1738"/>
      <c r="BC80" s="1738"/>
      <c r="BD80" s="1738"/>
      <c r="BE80" s="1738"/>
      <c r="BF80" s="1738"/>
    </row>
    <row r="81" spans="1:58" ht="11.25" customHeight="1">
      <c r="A81" s="1084" t="s">
        <v>992</v>
      </c>
      <c r="B81" s="1084"/>
      <c r="C81" s="1084"/>
      <c r="D81" s="1078"/>
      <c r="E81" s="1088"/>
      <c r="F81" s="2605"/>
      <c r="G81" s="2606"/>
      <c r="H81" s="2601" t="s">
        <v>149</v>
      </c>
      <c r="I81" s="2613"/>
      <c r="J81" s="2624"/>
      <c r="K81" s="2615"/>
      <c r="L81" s="2338"/>
      <c r="M81" s="2339"/>
      <c r="N81" s="2618"/>
      <c r="O81" s="2619"/>
      <c r="P81" s="2621"/>
      <c r="Q81" s="2573"/>
      <c r="R81" s="2573"/>
      <c r="S81" s="2623"/>
      <c r="T81" s="2573"/>
      <c r="U81" s="2573"/>
      <c r="V81" s="2573"/>
      <c r="W81" s="2573"/>
      <c r="X81" s="2573"/>
      <c r="Y81" s="2573"/>
      <c r="Z81" s="1743"/>
      <c r="AA81" s="1711">
        <v>1</v>
      </c>
      <c r="AB81" s="1097" t="s">
        <v>1028</v>
      </c>
      <c r="AC81" s="1087">
        <v>6000</v>
      </c>
      <c r="AD81" s="1097" t="str">
        <f>AB81</f>
        <v xml:space="preserve">  Прочие</v>
      </c>
      <c r="AE81" s="1087"/>
      <c r="AF81" s="2616"/>
      <c r="AG81" s="2617"/>
      <c r="AH81" s="2617"/>
      <c r="AI81" s="2616"/>
      <c r="AJ81" s="2617"/>
      <c r="AK81" s="2617"/>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ht="11.25" customHeight="1">
      <c r="A82" s="1084" t="s">
        <v>992</v>
      </c>
      <c r="B82" s="1084"/>
      <c r="C82" s="1084"/>
      <c r="D82" s="1078"/>
      <c r="E82" s="1088"/>
      <c r="F82" s="2605"/>
      <c r="G82" s="2606"/>
      <c r="H82" s="2601" t="s">
        <v>149</v>
      </c>
      <c r="I82" s="2613"/>
      <c r="J82" s="2624"/>
      <c r="K82" s="2615"/>
      <c r="L82" s="2338"/>
      <c r="M82" s="2339"/>
      <c r="N82" s="2618"/>
      <c r="O82" s="2619"/>
      <c r="P82" s="2622"/>
      <c r="Q82" s="2573"/>
      <c r="R82" s="2573"/>
      <c r="S82" s="2623"/>
      <c r="T82" s="2573"/>
      <c r="U82" s="2573"/>
      <c r="V82" s="2573"/>
      <c r="W82" s="2573"/>
      <c r="X82" s="2573"/>
      <c r="Y82" s="2573"/>
      <c r="Z82" s="1093"/>
      <c r="AA82" s="1094"/>
      <c r="AB82" s="1159" t="s">
        <v>1029</v>
      </c>
      <c r="AC82" s="1098"/>
      <c r="AD82" s="1098"/>
      <c r="AE82" s="1100"/>
      <c r="AF82" s="2616"/>
      <c r="AG82" s="2617"/>
      <c r="AH82" s="2617"/>
      <c r="AI82" s="2616"/>
      <c r="AJ82" s="2617"/>
      <c r="AK82" s="261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ht="11.25" customHeight="1">
      <c r="A83" s="1084" t="s">
        <v>992</v>
      </c>
      <c r="B83" s="1084"/>
      <c r="C83" s="1084"/>
      <c r="D83" s="1078"/>
      <c r="E83" s="1088"/>
      <c r="F83" s="2605"/>
      <c r="G83" s="2606"/>
      <c r="H83" s="2601" t="s">
        <v>149</v>
      </c>
      <c r="I83" s="2613"/>
      <c r="J83" s="2624"/>
      <c r="K83" s="2615"/>
      <c r="L83" s="2338"/>
      <c r="M83" s="2339"/>
      <c r="N83" s="1093"/>
      <c r="O83" s="1094"/>
      <c r="P83" s="1086" t="s">
        <v>1030</v>
      </c>
      <c r="Q83" s="1094"/>
      <c r="R83" s="1094"/>
      <c r="S83" s="1094"/>
      <c r="T83" s="1094"/>
      <c r="U83" s="1094"/>
      <c r="V83" s="1094"/>
      <c r="W83" s="1094"/>
      <c r="X83" s="1094"/>
      <c r="Y83" s="1094"/>
      <c r="Z83" s="1094"/>
      <c r="AA83" s="1094"/>
      <c r="AB83" s="1094"/>
      <c r="AC83" s="1094"/>
      <c r="AD83" s="1094"/>
      <c r="AE83" s="1101"/>
      <c r="AF83" s="2616"/>
      <c r="AG83" s="2617"/>
      <c r="AH83" s="2617"/>
      <c r="AI83" s="2616"/>
      <c r="AJ83" s="2617"/>
      <c r="AK83" s="261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ht="11.25" customHeight="1">
      <c r="A84" s="1084" t="s">
        <v>992</v>
      </c>
      <c r="B84" s="1084" t="s">
        <v>22</v>
      </c>
      <c r="C84" s="1084"/>
      <c r="D84" s="1078"/>
      <c r="E84" s="1088"/>
      <c r="F84" s="2605"/>
      <c r="G84" s="2590" t="s">
        <v>686</v>
      </c>
      <c r="H84" s="2601" t="s">
        <v>151</v>
      </c>
      <c r="I84" s="2613" t="s">
        <v>1050</v>
      </c>
      <c r="J84" s="2614" t="s">
        <v>22</v>
      </c>
      <c r="K84" s="2615" t="s">
        <v>1051</v>
      </c>
      <c r="L84" s="2338" t="s">
        <v>19</v>
      </c>
      <c r="M84" s="2339"/>
      <c r="N84" s="1898"/>
      <c r="O84" s="1095" t="s">
        <v>373</v>
      </c>
      <c r="P84" s="1096"/>
      <c r="Q84" s="1096"/>
      <c r="R84" s="1096"/>
      <c r="S84" s="1096"/>
      <c r="T84" s="1096"/>
      <c r="U84" s="1096"/>
      <c r="V84" s="1096"/>
      <c r="W84" s="1096"/>
      <c r="X84" s="1096"/>
      <c r="Y84" s="1096"/>
      <c r="Z84" s="1096"/>
      <c r="AA84" s="1096"/>
      <c r="AB84" s="1096"/>
      <c r="AC84" s="1096"/>
      <c r="AD84" s="1096"/>
      <c r="AE84" s="1096"/>
      <c r="AF84" s="2616">
        <v>14</v>
      </c>
      <c r="AG84" s="2617" t="s">
        <v>1026</v>
      </c>
      <c r="AH84" s="2617" t="s">
        <v>1035</v>
      </c>
      <c r="AI84" s="2616"/>
      <c r="AJ84" s="2617"/>
      <c r="AK84" s="261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ht="11.25" customHeight="1">
      <c r="A85" s="1084" t="s">
        <v>992</v>
      </c>
      <c r="B85" s="1084"/>
      <c r="C85" s="1084"/>
      <c r="D85" s="1078"/>
      <c r="E85" s="1088"/>
      <c r="F85" s="2605"/>
      <c r="G85" s="2606"/>
      <c r="H85" s="2601" t="s">
        <v>150</v>
      </c>
      <c r="I85" s="2613"/>
      <c r="J85" s="2614"/>
      <c r="K85" s="2615"/>
      <c r="L85" s="2338"/>
      <c r="M85" s="2339"/>
      <c r="N85" s="2618"/>
      <c r="O85" s="2619">
        <v>1</v>
      </c>
      <c r="P85" s="2620" t="s">
        <v>19</v>
      </c>
      <c r="Q85" s="2573" t="s">
        <v>22</v>
      </c>
      <c r="R85" s="2573" t="s">
        <v>22</v>
      </c>
      <c r="S85" s="2573" t="s">
        <v>22</v>
      </c>
      <c r="T85" s="2573" t="s">
        <v>22</v>
      </c>
      <c r="U85" s="2573" t="s">
        <v>22</v>
      </c>
      <c r="V85" s="2573" t="s">
        <v>22</v>
      </c>
      <c r="W85" s="2573" t="s">
        <v>22</v>
      </c>
      <c r="X85" s="2573" t="s">
        <v>22</v>
      </c>
      <c r="Y85" s="2573"/>
      <c r="Z85" s="1093"/>
      <c r="AA85" s="1094"/>
      <c r="AB85" s="1094"/>
      <c r="AC85" s="1098"/>
      <c r="AD85" s="1098"/>
      <c r="AE85" s="1099"/>
      <c r="AF85" s="2616"/>
      <c r="AG85" s="2617"/>
      <c r="AH85" s="2617"/>
      <c r="AI85" s="2616"/>
      <c r="AJ85" s="2617"/>
      <c r="AK85" s="261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ht="11.25" customHeight="1">
      <c r="A86" s="1084" t="s">
        <v>992</v>
      </c>
      <c r="B86" s="1084"/>
      <c r="C86" s="1084"/>
      <c r="D86" s="1078"/>
      <c r="E86" s="1088"/>
      <c r="F86" s="2605"/>
      <c r="G86" s="2606"/>
      <c r="H86" s="2601" t="s">
        <v>150</v>
      </c>
      <c r="I86" s="2613"/>
      <c r="J86" s="2614"/>
      <c r="K86" s="2615"/>
      <c r="L86" s="2338"/>
      <c r="M86" s="2339"/>
      <c r="N86" s="2618"/>
      <c r="O86" s="2619"/>
      <c r="P86" s="2621"/>
      <c r="Q86" s="2573"/>
      <c r="R86" s="2573"/>
      <c r="S86" s="2623"/>
      <c r="T86" s="2573"/>
      <c r="U86" s="2573"/>
      <c r="V86" s="2573"/>
      <c r="W86" s="2573"/>
      <c r="X86" s="2573"/>
      <c r="Y86" s="2573"/>
      <c r="Z86" s="1743"/>
      <c r="AA86" s="1711">
        <v>1</v>
      </c>
      <c r="AB86" s="1097" t="s">
        <v>1028</v>
      </c>
      <c r="AC86" s="1087">
        <v>6000</v>
      </c>
      <c r="AD86" s="1097" t="str">
        <f>AB86</f>
        <v xml:space="preserve">  Прочие</v>
      </c>
      <c r="AE86" s="1087"/>
      <c r="AF86" s="2616"/>
      <c r="AG86" s="2617"/>
      <c r="AH86" s="2617"/>
      <c r="AI86" s="2616"/>
      <c r="AJ86" s="2617"/>
      <c r="AK86" s="261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ht="11.25" customHeight="1">
      <c r="A87" s="1084" t="s">
        <v>992</v>
      </c>
      <c r="B87" s="1084"/>
      <c r="C87" s="1084"/>
      <c r="D87" s="1078"/>
      <c r="E87" s="1088"/>
      <c r="F87" s="2605"/>
      <c r="G87" s="2606"/>
      <c r="H87" s="2601" t="s">
        <v>150</v>
      </c>
      <c r="I87" s="2613"/>
      <c r="J87" s="2614"/>
      <c r="K87" s="2615"/>
      <c r="L87" s="2338"/>
      <c r="M87" s="2339"/>
      <c r="N87" s="2618"/>
      <c r="O87" s="2619"/>
      <c r="P87" s="2622"/>
      <c r="Q87" s="2573"/>
      <c r="R87" s="2573"/>
      <c r="S87" s="2623"/>
      <c r="T87" s="2573"/>
      <c r="U87" s="2573"/>
      <c r="V87" s="2573"/>
      <c r="W87" s="2573"/>
      <c r="X87" s="2573"/>
      <c r="Y87" s="2573"/>
      <c r="Z87" s="1093"/>
      <c r="AA87" s="1094"/>
      <c r="AB87" s="1159" t="s">
        <v>1029</v>
      </c>
      <c r="AC87" s="1098"/>
      <c r="AD87" s="1098"/>
      <c r="AE87" s="1100"/>
      <c r="AF87" s="2616"/>
      <c r="AG87" s="2617"/>
      <c r="AH87" s="2617"/>
      <c r="AI87" s="2616"/>
      <c r="AJ87" s="2617"/>
      <c r="AK87" s="2617"/>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8" spans="1:58" ht="11.25" customHeight="1">
      <c r="A88" s="1084" t="s">
        <v>992</v>
      </c>
      <c r="B88" s="1084"/>
      <c r="C88" s="1084"/>
      <c r="D88" s="1078"/>
      <c r="E88" s="1088"/>
      <c r="F88" s="2605"/>
      <c r="G88" s="2606"/>
      <c r="H88" s="2601" t="s">
        <v>150</v>
      </c>
      <c r="I88" s="2613"/>
      <c r="J88" s="2614"/>
      <c r="K88" s="2615"/>
      <c r="L88" s="2338"/>
      <c r="M88" s="2339"/>
      <c r="N88" s="1093"/>
      <c r="O88" s="1094"/>
      <c r="P88" s="1086" t="s">
        <v>1030</v>
      </c>
      <c r="Q88" s="1094"/>
      <c r="R88" s="1094"/>
      <c r="S88" s="1094"/>
      <c r="T88" s="1094"/>
      <c r="U88" s="1094"/>
      <c r="V88" s="1094"/>
      <c r="W88" s="1094"/>
      <c r="X88" s="1094"/>
      <c r="Y88" s="1094"/>
      <c r="Z88" s="1094"/>
      <c r="AA88" s="1094"/>
      <c r="AB88" s="1094"/>
      <c r="AC88" s="1094"/>
      <c r="AD88" s="1094"/>
      <c r="AE88" s="1101"/>
      <c r="AF88" s="2616"/>
      <c r="AG88" s="2617"/>
      <c r="AH88" s="2617"/>
      <c r="AI88" s="2616"/>
      <c r="AJ88" s="2617"/>
      <c r="AK88" s="2617"/>
      <c r="AL88" s="1900"/>
      <c r="AM88" s="1738"/>
      <c r="AN88" s="1738"/>
      <c r="AO88" s="1738"/>
      <c r="AP88" s="1738"/>
      <c r="AQ88" s="1738"/>
      <c r="AR88" s="1738"/>
      <c r="AS88" s="1738"/>
      <c r="AT88" s="1738"/>
      <c r="AU88" s="1738"/>
      <c r="AV88" s="1738"/>
      <c r="AW88" s="1738"/>
      <c r="AX88" s="1738"/>
      <c r="AY88" s="1738"/>
      <c r="AZ88" s="1738"/>
      <c r="BA88" s="1738"/>
      <c r="BB88" s="1738"/>
      <c r="BC88" s="1738"/>
      <c r="BD88" s="1738"/>
      <c r="BE88" s="1738"/>
      <c r="BF88" s="1738"/>
    </row>
    <row r="89" spans="1:58" ht="11.25" customHeight="1">
      <c r="A89" s="1084" t="s">
        <v>992</v>
      </c>
      <c r="B89" s="1084" t="s">
        <v>22</v>
      </c>
      <c r="C89" s="1084"/>
      <c r="D89" s="1078"/>
      <c r="E89" s="1088"/>
      <c r="F89" s="2605"/>
      <c r="G89" s="2590" t="s">
        <v>686</v>
      </c>
      <c r="H89" s="2601" t="s">
        <v>152</v>
      </c>
      <c r="I89" s="2613" t="s">
        <v>1052</v>
      </c>
      <c r="J89" s="2614" t="s">
        <v>22</v>
      </c>
      <c r="K89" s="2615" t="s">
        <v>1053</v>
      </c>
      <c r="L89" s="2338" t="s">
        <v>19</v>
      </c>
      <c r="M89" s="2339"/>
      <c r="N89" s="1898"/>
      <c r="O89" s="1095" t="s">
        <v>373</v>
      </c>
      <c r="P89" s="1096"/>
      <c r="Q89" s="1096"/>
      <c r="R89" s="1096"/>
      <c r="S89" s="1096"/>
      <c r="T89" s="1096"/>
      <c r="U89" s="1096"/>
      <c r="V89" s="1096"/>
      <c r="W89" s="1096"/>
      <c r="X89" s="1096"/>
      <c r="Y89" s="1096"/>
      <c r="Z89" s="1096"/>
      <c r="AA89" s="1096"/>
      <c r="AB89" s="1096"/>
      <c r="AC89" s="1096"/>
      <c r="AD89" s="1096"/>
      <c r="AE89" s="1096"/>
      <c r="AF89" s="2616">
        <v>5</v>
      </c>
      <c r="AG89" s="2617" t="s">
        <v>1026</v>
      </c>
      <c r="AH89" s="2617" t="s">
        <v>1048</v>
      </c>
      <c r="AI89" s="2616"/>
      <c r="AJ89" s="2617"/>
      <c r="AK89" s="2617"/>
      <c r="AL89" s="1900"/>
      <c r="AM89" s="1738"/>
      <c r="AN89" s="1738"/>
      <c r="AO89" s="1738"/>
      <c r="AP89" s="1738"/>
      <c r="AQ89" s="1738"/>
      <c r="AR89" s="1738"/>
      <c r="AS89" s="1738"/>
      <c r="AT89" s="1738"/>
      <c r="AU89" s="1738"/>
      <c r="AV89" s="1738"/>
      <c r="AW89" s="1738"/>
      <c r="AX89" s="1738"/>
      <c r="AY89" s="1738"/>
      <c r="AZ89" s="1738"/>
      <c r="BA89" s="1738"/>
      <c r="BB89" s="1738"/>
      <c r="BC89" s="1738"/>
      <c r="BD89" s="1738"/>
      <c r="BE89" s="1738"/>
      <c r="BF89" s="1738"/>
    </row>
    <row r="90" spans="1:58" ht="11.25" customHeight="1">
      <c r="A90" s="1084" t="s">
        <v>992</v>
      </c>
      <c r="B90" s="1084"/>
      <c r="C90" s="1084"/>
      <c r="D90" s="1078"/>
      <c r="E90" s="1088"/>
      <c r="F90" s="2605"/>
      <c r="G90" s="2606"/>
      <c r="H90" s="2601" t="s">
        <v>151</v>
      </c>
      <c r="I90" s="2613"/>
      <c r="J90" s="2614"/>
      <c r="K90" s="2615"/>
      <c r="L90" s="2338"/>
      <c r="M90" s="2339"/>
      <c r="N90" s="2618"/>
      <c r="O90" s="2619">
        <v>1</v>
      </c>
      <c r="P90" s="2620" t="s">
        <v>19</v>
      </c>
      <c r="Q90" s="2573" t="s">
        <v>22</v>
      </c>
      <c r="R90" s="2573" t="s">
        <v>22</v>
      </c>
      <c r="S90" s="2573" t="s">
        <v>22</v>
      </c>
      <c r="T90" s="2573" t="s">
        <v>22</v>
      </c>
      <c r="U90" s="2573" t="s">
        <v>22</v>
      </c>
      <c r="V90" s="2573" t="s">
        <v>22</v>
      </c>
      <c r="W90" s="2573" t="s">
        <v>22</v>
      </c>
      <c r="X90" s="2573" t="s">
        <v>22</v>
      </c>
      <c r="Y90" s="2573"/>
      <c r="Z90" s="1093"/>
      <c r="AA90" s="1094"/>
      <c r="AB90" s="1094"/>
      <c r="AC90" s="1098"/>
      <c r="AD90" s="1098"/>
      <c r="AE90" s="1099"/>
      <c r="AF90" s="2616"/>
      <c r="AG90" s="2617"/>
      <c r="AH90" s="2617"/>
      <c r="AI90" s="2616"/>
      <c r="AJ90" s="2617"/>
      <c r="AK90" s="2617"/>
      <c r="AL90" s="1900"/>
      <c r="AM90" s="1738"/>
      <c r="AN90" s="1738"/>
      <c r="AO90" s="1738"/>
      <c r="AP90" s="1738"/>
      <c r="AQ90" s="1738"/>
      <c r="AR90" s="1738"/>
      <c r="AS90" s="1738"/>
      <c r="AT90" s="1738"/>
      <c r="AU90" s="1738"/>
      <c r="AV90" s="1738"/>
      <c r="AW90" s="1738"/>
      <c r="AX90" s="1738"/>
      <c r="AY90" s="1738"/>
      <c r="AZ90" s="1738"/>
      <c r="BA90" s="1738"/>
      <c r="BB90" s="1738"/>
      <c r="BC90" s="1738"/>
      <c r="BD90" s="1738"/>
      <c r="BE90" s="1738"/>
      <c r="BF90" s="1738"/>
    </row>
    <row r="91" spans="1:58" ht="11.25" customHeight="1">
      <c r="A91" s="1084" t="s">
        <v>992</v>
      </c>
      <c r="B91" s="1084"/>
      <c r="C91" s="1084"/>
      <c r="D91" s="1078"/>
      <c r="E91" s="1088"/>
      <c r="F91" s="2605"/>
      <c r="G91" s="2606"/>
      <c r="H91" s="2601" t="s">
        <v>151</v>
      </c>
      <c r="I91" s="2613"/>
      <c r="J91" s="2614"/>
      <c r="K91" s="2615"/>
      <c r="L91" s="2338"/>
      <c r="M91" s="2339"/>
      <c r="N91" s="2618"/>
      <c r="O91" s="2619"/>
      <c r="P91" s="2621"/>
      <c r="Q91" s="2573"/>
      <c r="R91" s="2573"/>
      <c r="S91" s="2623"/>
      <c r="T91" s="2573"/>
      <c r="U91" s="2573"/>
      <c r="V91" s="2573"/>
      <c r="W91" s="2573"/>
      <c r="X91" s="2573"/>
      <c r="Y91" s="2573"/>
      <c r="Z91" s="1743"/>
      <c r="AA91" s="1711">
        <v>1</v>
      </c>
      <c r="AB91" s="1097" t="s">
        <v>1036</v>
      </c>
      <c r="AC91" s="1087">
        <v>73090.732936536297</v>
      </c>
      <c r="AD91" s="1097" t="str">
        <f>AB91</f>
        <v xml:space="preserve">      Прочие амортизационные отчисления</v>
      </c>
      <c r="AE91" s="1087"/>
      <c r="AF91" s="2616"/>
      <c r="AG91" s="2617"/>
      <c r="AH91" s="2617"/>
      <c r="AI91" s="2616"/>
      <c r="AJ91" s="2617"/>
      <c r="AK91" s="2617"/>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ht="11.25" customHeight="1">
      <c r="A92" s="1084" t="s">
        <v>992</v>
      </c>
      <c r="B92" s="1084"/>
      <c r="C92" s="1084"/>
      <c r="D92" s="1078"/>
      <c r="E92" s="1088"/>
      <c r="F92" s="2606"/>
      <c r="G92" s="2606"/>
      <c r="H92" s="2606"/>
      <c r="I92" s="2606"/>
      <c r="J92" s="2606"/>
      <c r="K92" s="2606"/>
      <c r="L92" s="2606"/>
      <c r="M92" s="2606"/>
      <c r="N92" s="2606"/>
      <c r="O92" s="2606"/>
      <c r="P92" s="2606"/>
      <c r="Q92" s="2606"/>
      <c r="R92" s="2606"/>
      <c r="S92" s="2606"/>
      <c r="T92" s="2606"/>
      <c r="U92" s="2606"/>
      <c r="V92" s="2606"/>
      <c r="W92" s="2606"/>
      <c r="X92" s="2606"/>
      <c r="Y92" s="2606"/>
      <c r="Z92" s="2054" t="s">
        <v>686</v>
      </c>
      <c r="AA92" s="1731" t="s">
        <v>109</v>
      </c>
      <c r="AB92" s="1097" t="s">
        <v>1028</v>
      </c>
      <c r="AC92" s="1087">
        <v>54709.267063463703</v>
      </c>
      <c r="AD92" s="1097" t="str">
        <f>AB92</f>
        <v xml:space="preserve">  Прочие</v>
      </c>
      <c r="AE92" s="1087"/>
      <c r="AF92" s="2625"/>
      <c r="AG92" s="2626"/>
      <c r="AH92" s="2626"/>
      <c r="AI92" s="2625"/>
      <c r="AJ92" s="2626"/>
      <c r="AK92" s="2627"/>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ht="11.25" customHeight="1">
      <c r="A93" s="1084" t="s">
        <v>992</v>
      </c>
      <c r="B93" s="1084"/>
      <c r="C93" s="1084"/>
      <c r="D93" s="1078"/>
      <c r="E93" s="1088"/>
      <c r="F93" s="2605"/>
      <c r="G93" s="2606"/>
      <c r="H93" s="2601" t="s">
        <v>151</v>
      </c>
      <c r="I93" s="2613"/>
      <c r="J93" s="2614"/>
      <c r="K93" s="2615"/>
      <c r="L93" s="2338"/>
      <c r="M93" s="2339"/>
      <c r="N93" s="2618"/>
      <c r="O93" s="2619"/>
      <c r="P93" s="2622"/>
      <c r="Q93" s="2573"/>
      <c r="R93" s="2573"/>
      <c r="S93" s="2623"/>
      <c r="T93" s="2573"/>
      <c r="U93" s="2573"/>
      <c r="V93" s="2573"/>
      <c r="W93" s="2573"/>
      <c r="X93" s="2573"/>
      <c r="Y93" s="2573"/>
      <c r="Z93" s="1093"/>
      <c r="AA93" s="1094"/>
      <c r="AB93" s="1159" t="s">
        <v>1029</v>
      </c>
      <c r="AC93" s="1098"/>
      <c r="AD93" s="1098"/>
      <c r="AE93" s="1100"/>
      <c r="AF93" s="2616"/>
      <c r="AG93" s="2617"/>
      <c r="AH93" s="2617"/>
      <c r="AI93" s="2616"/>
      <c r="AJ93" s="2617"/>
      <c r="AK93" s="2617"/>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4" spans="1:58" ht="11.25" customHeight="1">
      <c r="A94" s="1084" t="s">
        <v>992</v>
      </c>
      <c r="B94" s="1084"/>
      <c r="C94" s="1084"/>
      <c r="D94" s="1078"/>
      <c r="E94" s="1088"/>
      <c r="F94" s="2605"/>
      <c r="G94" s="2606"/>
      <c r="H94" s="2601" t="s">
        <v>151</v>
      </c>
      <c r="I94" s="2613"/>
      <c r="J94" s="2614"/>
      <c r="K94" s="2615"/>
      <c r="L94" s="2338"/>
      <c r="M94" s="2339"/>
      <c r="N94" s="1093"/>
      <c r="O94" s="1094"/>
      <c r="P94" s="1086" t="s">
        <v>1030</v>
      </c>
      <c r="Q94" s="1094"/>
      <c r="R94" s="1094"/>
      <c r="S94" s="1094"/>
      <c r="T94" s="1094"/>
      <c r="U94" s="1094"/>
      <c r="V94" s="1094"/>
      <c r="W94" s="1094"/>
      <c r="X94" s="1094"/>
      <c r="Y94" s="1094"/>
      <c r="Z94" s="1094"/>
      <c r="AA94" s="1094"/>
      <c r="AB94" s="1094"/>
      <c r="AC94" s="1094"/>
      <c r="AD94" s="1094"/>
      <c r="AE94" s="1101"/>
      <c r="AF94" s="2616"/>
      <c r="AG94" s="2617"/>
      <c r="AH94" s="2617"/>
      <c r="AI94" s="2616"/>
      <c r="AJ94" s="2617"/>
      <c r="AK94" s="2617"/>
      <c r="AL94" s="1900"/>
      <c r="AM94" s="1738"/>
      <c r="AN94" s="1738"/>
      <c r="AO94" s="1738"/>
      <c r="AP94" s="1738"/>
      <c r="AQ94" s="1738"/>
      <c r="AR94" s="1738"/>
      <c r="AS94" s="1738"/>
      <c r="AT94" s="1738"/>
      <c r="AU94" s="1738"/>
      <c r="AV94" s="1738"/>
      <c r="AW94" s="1738"/>
      <c r="AX94" s="1738"/>
      <c r="AY94" s="1738"/>
      <c r="AZ94" s="1738"/>
      <c r="BA94" s="1738"/>
      <c r="BB94" s="1738"/>
      <c r="BC94" s="1738"/>
      <c r="BD94" s="1738"/>
      <c r="BE94" s="1738"/>
      <c r="BF94" s="1738"/>
    </row>
    <row r="95" spans="1:58" ht="11.25" customHeight="1">
      <c r="A95" s="1084" t="s">
        <v>992</v>
      </c>
      <c r="B95" s="1084" t="s">
        <v>22</v>
      </c>
      <c r="C95" s="1084"/>
      <c r="D95" s="1078"/>
      <c r="E95" s="1088"/>
      <c r="F95" s="2605"/>
      <c r="G95" s="2590" t="s">
        <v>686</v>
      </c>
      <c r="H95" s="2601" t="s">
        <v>1054</v>
      </c>
      <c r="I95" s="2613" t="s">
        <v>1052</v>
      </c>
      <c r="J95" s="2614" t="s">
        <v>22</v>
      </c>
      <c r="K95" s="2615" t="s">
        <v>1055</v>
      </c>
      <c r="L95" s="2338" t="s">
        <v>19</v>
      </c>
      <c r="M95" s="2339"/>
      <c r="N95" s="1898"/>
      <c r="O95" s="1095" t="s">
        <v>373</v>
      </c>
      <c r="P95" s="1096"/>
      <c r="Q95" s="1096"/>
      <c r="R95" s="1096"/>
      <c r="S95" s="1096"/>
      <c r="T95" s="1096"/>
      <c r="U95" s="1096"/>
      <c r="V95" s="1096"/>
      <c r="W95" s="1096"/>
      <c r="X95" s="1096"/>
      <c r="Y95" s="1096"/>
      <c r="Z95" s="1096"/>
      <c r="AA95" s="1096"/>
      <c r="AB95" s="1096"/>
      <c r="AC95" s="1096"/>
      <c r="AD95" s="1096"/>
      <c r="AE95" s="1096"/>
      <c r="AF95" s="2616">
        <v>6</v>
      </c>
      <c r="AG95" s="2617" t="s">
        <v>1026</v>
      </c>
      <c r="AH95" s="2617" t="s">
        <v>1038</v>
      </c>
      <c r="AI95" s="2616"/>
      <c r="AJ95" s="2617"/>
      <c r="AK95" s="2617"/>
      <c r="AL95" s="1900"/>
      <c r="AM95" s="1738"/>
      <c r="AN95" s="1738"/>
      <c r="AO95" s="1738"/>
      <c r="AP95" s="1738"/>
      <c r="AQ95" s="1738"/>
      <c r="AR95" s="1738"/>
      <c r="AS95" s="1738"/>
      <c r="AT95" s="1738"/>
      <c r="AU95" s="1738"/>
      <c r="AV95" s="1738"/>
      <c r="AW95" s="1738"/>
      <c r="AX95" s="1738"/>
      <c r="AY95" s="1738"/>
      <c r="AZ95" s="1738"/>
      <c r="BA95" s="1738"/>
      <c r="BB95" s="1738"/>
      <c r="BC95" s="1738"/>
      <c r="BD95" s="1738"/>
      <c r="BE95" s="1738"/>
      <c r="BF95" s="1738"/>
    </row>
    <row r="96" spans="1:58" ht="11.25" customHeight="1">
      <c r="A96" s="1084" t="s">
        <v>992</v>
      </c>
      <c r="B96" s="1084"/>
      <c r="C96" s="1084"/>
      <c r="D96" s="1078"/>
      <c r="E96" s="1088"/>
      <c r="F96" s="2605"/>
      <c r="G96" s="2606"/>
      <c r="H96" s="2601" t="s">
        <v>152</v>
      </c>
      <c r="I96" s="2613"/>
      <c r="J96" s="2614"/>
      <c r="K96" s="2615"/>
      <c r="L96" s="2338"/>
      <c r="M96" s="2339"/>
      <c r="N96" s="2618"/>
      <c r="O96" s="2619">
        <v>1</v>
      </c>
      <c r="P96" s="2620" t="s">
        <v>19</v>
      </c>
      <c r="Q96" s="2573" t="s">
        <v>22</v>
      </c>
      <c r="R96" s="2573" t="s">
        <v>22</v>
      </c>
      <c r="S96" s="2573" t="s">
        <v>22</v>
      </c>
      <c r="T96" s="2573" t="s">
        <v>22</v>
      </c>
      <c r="U96" s="2573" t="s">
        <v>22</v>
      </c>
      <c r="V96" s="2573" t="s">
        <v>22</v>
      </c>
      <c r="W96" s="2573" t="s">
        <v>22</v>
      </c>
      <c r="X96" s="2573" t="s">
        <v>22</v>
      </c>
      <c r="Y96" s="2573"/>
      <c r="Z96" s="1093"/>
      <c r="AA96" s="1094"/>
      <c r="AB96" s="1094"/>
      <c r="AC96" s="1098"/>
      <c r="AD96" s="1098"/>
      <c r="AE96" s="1099"/>
      <c r="AF96" s="2616"/>
      <c r="AG96" s="2617"/>
      <c r="AH96" s="2617"/>
      <c r="AI96" s="2616"/>
      <c r="AJ96" s="2617"/>
      <c r="AK96" s="2617"/>
      <c r="AL96" s="1900"/>
      <c r="AM96" s="1738"/>
      <c r="AN96" s="1738"/>
      <c r="AO96" s="1738"/>
      <c r="AP96" s="1738"/>
      <c r="AQ96" s="1738"/>
      <c r="AR96" s="1738"/>
      <c r="AS96" s="1738"/>
      <c r="AT96" s="1738"/>
      <c r="AU96" s="1738"/>
      <c r="AV96" s="1738"/>
      <c r="AW96" s="1738"/>
      <c r="AX96" s="1738"/>
      <c r="AY96" s="1738"/>
      <c r="AZ96" s="1738"/>
      <c r="BA96" s="1738"/>
      <c r="BB96" s="1738"/>
      <c r="BC96" s="1738"/>
      <c r="BD96" s="1738"/>
      <c r="BE96" s="1738"/>
      <c r="BF96" s="1738"/>
    </row>
    <row r="97" spans="1:58" ht="11.25" customHeight="1">
      <c r="A97" s="1084" t="s">
        <v>992</v>
      </c>
      <c r="B97" s="1084"/>
      <c r="C97" s="1084"/>
      <c r="D97" s="1078"/>
      <c r="E97" s="1088"/>
      <c r="F97" s="2605"/>
      <c r="G97" s="2606"/>
      <c r="H97" s="2601" t="s">
        <v>152</v>
      </c>
      <c r="I97" s="2613"/>
      <c r="J97" s="2614"/>
      <c r="K97" s="2615"/>
      <c r="L97" s="2338"/>
      <c r="M97" s="2339"/>
      <c r="N97" s="2618"/>
      <c r="O97" s="2619"/>
      <c r="P97" s="2621"/>
      <c r="Q97" s="2573"/>
      <c r="R97" s="2573"/>
      <c r="S97" s="2623"/>
      <c r="T97" s="2573"/>
      <c r="U97" s="2573"/>
      <c r="V97" s="2573"/>
      <c r="W97" s="2573"/>
      <c r="X97" s="2573"/>
      <c r="Y97" s="2573"/>
      <c r="Z97" s="1743"/>
      <c r="AA97" s="1711">
        <v>1</v>
      </c>
      <c r="AB97" s="1097" t="s">
        <v>1036</v>
      </c>
      <c r="AC97" s="1087">
        <v>14285.775183047501</v>
      </c>
      <c r="AD97" s="1097" t="str">
        <f>AB97</f>
        <v xml:space="preserve">      Прочие амортизационные отчисления</v>
      </c>
      <c r="AE97" s="1087"/>
      <c r="AF97" s="2616"/>
      <c r="AG97" s="2617"/>
      <c r="AH97" s="2617"/>
      <c r="AI97" s="2616"/>
      <c r="AJ97" s="2617"/>
      <c r="AK97" s="2617"/>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8" spans="1:58" ht="11.25" customHeight="1">
      <c r="A98" s="1084" t="s">
        <v>992</v>
      </c>
      <c r="B98" s="1084"/>
      <c r="C98" s="1084"/>
      <c r="D98" s="1078"/>
      <c r="E98" s="1088"/>
      <c r="F98" s="2606"/>
      <c r="G98" s="2606"/>
      <c r="H98" s="2606"/>
      <c r="I98" s="2606"/>
      <c r="J98" s="2606"/>
      <c r="K98" s="2606"/>
      <c r="L98" s="2606"/>
      <c r="M98" s="2606"/>
      <c r="N98" s="2606"/>
      <c r="O98" s="2606"/>
      <c r="P98" s="2606"/>
      <c r="Q98" s="2606"/>
      <c r="R98" s="2606"/>
      <c r="S98" s="2606"/>
      <c r="T98" s="2606"/>
      <c r="U98" s="2606"/>
      <c r="V98" s="2606"/>
      <c r="W98" s="2606"/>
      <c r="X98" s="2606"/>
      <c r="Y98" s="2606"/>
      <c r="Z98" s="2054" t="s">
        <v>686</v>
      </c>
      <c r="AA98" s="1731" t="s">
        <v>109</v>
      </c>
      <c r="AB98" s="1097" t="s">
        <v>1028</v>
      </c>
      <c r="AC98" s="1087">
        <v>15714.224816952499</v>
      </c>
      <c r="AD98" s="1097" t="str">
        <f>AB98</f>
        <v xml:space="preserve">  Прочие</v>
      </c>
      <c r="AE98" s="1087"/>
      <c r="AF98" s="2625"/>
      <c r="AG98" s="2626"/>
      <c r="AH98" s="2626"/>
      <c r="AI98" s="2625"/>
      <c r="AJ98" s="2626"/>
      <c r="AK98" s="2627"/>
      <c r="AL98" s="1900"/>
      <c r="AM98" s="1738"/>
      <c r="AN98" s="1738"/>
      <c r="AO98" s="1738"/>
      <c r="AP98" s="1738"/>
      <c r="AQ98" s="1738"/>
      <c r="AR98" s="1738"/>
      <c r="AS98" s="1738"/>
      <c r="AT98" s="1738"/>
      <c r="AU98" s="1738"/>
      <c r="AV98" s="1738"/>
      <c r="AW98" s="1738"/>
      <c r="AX98" s="1738"/>
      <c r="AY98" s="1738"/>
      <c r="AZ98" s="1738"/>
      <c r="BA98" s="1738"/>
      <c r="BB98" s="1738"/>
      <c r="BC98" s="1738"/>
      <c r="BD98" s="1738"/>
      <c r="BE98" s="1738"/>
      <c r="BF98" s="1738"/>
    </row>
    <row r="99" spans="1:58" ht="11.25" customHeight="1">
      <c r="A99" s="1084" t="s">
        <v>992</v>
      </c>
      <c r="B99" s="1084"/>
      <c r="C99" s="1084"/>
      <c r="D99" s="1078"/>
      <c r="E99" s="1088"/>
      <c r="F99" s="2605"/>
      <c r="G99" s="2606"/>
      <c r="H99" s="2601" t="s">
        <v>152</v>
      </c>
      <c r="I99" s="2613"/>
      <c r="J99" s="2614"/>
      <c r="K99" s="2615"/>
      <c r="L99" s="2338"/>
      <c r="M99" s="2339"/>
      <c r="N99" s="2618"/>
      <c r="O99" s="2619"/>
      <c r="P99" s="2622"/>
      <c r="Q99" s="2573"/>
      <c r="R99" s="2573"/>
      <c r="S99" s="2623"/>
      <c r="T99" s="2573"/>
      <c r="U99" s="2573"/>
      <c r="V99" s="2573"/>
      <c r="W99" s="2573"/>
      <c r="X99" s="2573"/>
      <c r="Y99" s="2573"/>
      <c r="Z99" s="1093"/>
      <c r="AA99" s="1094"/>
      <c r="AB99" s="1159" t="s">
        <v>1029</v>
      </c>
      <c r="AC99" s="1098"/>
      <c r="AD99" s="1098"/>
      <c r="AE99" s="1100"/>
      <c r="AF99" s="2616"/>
      <c r="AG99" s="2617"/>
      <c r="AH99" s="2617"/>
      <c r="AI99" s="2616"/>
      <c r="AJ99" s="2617"/>
      <c r="AK99" s="2617"/>
      <c r="AL99" s="1900"/>
      <c r="AM99" s="1738"/>
      <c r="AN99" s="1738"/>
      <c r="AO99" s="1738"/>
      <c r="AP99" s="1738"/>
      <c r="AQ99" s="1738"/>
      <c r="AR99" s="1738"/>
      <c r="AS99" s="1738"/>
      <c r="AT99" s="1738"/>
      <c r="AU99" s="1738"/>
      <c r="AV99" s="1738"/>
      <c r="AW99" s="1738"/>
      <c r="AX99" s="1738"/>
      <c r="AY99" s="1738"/>
      <c r="AZ99" s="1738"/>
      <c r="BA99" s="1738"/>
      <c r="BB99" s="1738"/>
      <c r="BC99" s="1738"/>
      <c r="BD99" s="1738"/>
      <c r="BE99" s="1738"/>
      <c r="BF99" s="1738"/>
    </row>
    <row r="100" spans="1:58" ht="11.25" customHeight="1">
      <c r="A100" s="1084" t="s">
        <v>992</v>
      </c>
      <c r="B100" s="1084"/>
      <c r="C100" s="1084"/>
      <c r="D100" s="1078"/>
      <c r="E100" s="1088"/>
      <c r="F100" s="2605"/>
      <c r="G100" s="2606"/>
      <c r="H100" s="2601" t="s">
        <v>152</v>
      </c>
      <c r="I100" s="2613"/>
      <c r="J100" s="2614"/>
      <c r="K100" s="2615"/>
      <c r="L100" s="2338"/>
      <c r="M100" s="2339"/>
      <c r="N100" s="1093"/>
      <c r="O100" s="1094"/>
      <c r="P100" s="1086" t="s">
        <v>1030</v>
      </c>
      <c r="Q100" s="1094"/>
      <c r="R100" s="1094"/>
      <c r="S100" s="1094"/>
      <c r="T100" s="1094"/>
      <c r="U100" s="1094"/>
      <c r="V100" s="1094"/>
      <c r="W100" s="1094"/>
      <c r="X100" s="1094"/>
      <c r="Y100" s="1094"/>
      <c r="Z100" s="1094"/>
      <c r="AA100" s="1094"/>
      <c r="AB100" s="1094"/>
      <c r="AC100" s="1094"/>
      <c r="AD100" s="1094"/>
      <c r="AE100" s="1101"/>
      <c r="AF100" s="2616"/>
      <c r="AG100" s="2617"/>
      <c r="AH100" s="2617"/>
      <c r="AI100" s="2616"/>
      <c r="AJ100" s="2617"/>
      <c r="AK100" s="2617"/>
      <c r="AL100" s="1900"/>
      <c r="AM100" s="1738"/>
      <c r="AN100" s="1738"/>
      <c r="AO100" s="1738"/>
      <c r="AP100" s="1738"/>
      <c r="AQ100" s="1738"/>
      <c r="AR100" s="1738"/>
      <c r="AS100" s="1738"/>
      <c r="AT100" s="1738"/>
      <c r="AU100" s="1738"/>
      <c r="AV100" s="1738"/>
      <c r="AW100" s="1738"/>
      <c r="AX100" s="1738"/>
      <c r="AY100" s="1738"/>
      <c r="AZ100" s="1738"/>
      <c r="BA100" s="1738"/>
      <c r="BB100" s="1738"/>
      <c r="BC100" s="1738"/>
      <c r="BD100" s="1738"/>
      <c r="BE100" s="1738"/>
      <c r="BF100" s="1738"/>
    </row>
    <row r="101" spans="1:58" ht="11.25" customHeight="1">
      <c r="A101" s="1084" t="s">
        <v>992</v>
      </c>
      <c r="B101" s="1084" t="s">
        <v>22</v>
      </c>
      <c r="C101" s="1084"/>
      <c r="D101" s="1078"/>
      <c r="E101" s="1088"/>
      <c r="F101" s="2605"/>
      <c r="G101" s="2590" t="s">
        <v>686</v>
      </c>
      <c r="H101" s="2601" t="s">
        <v>1056</v>
      </c>
      <c r="I101" s="2613" t="s">
        <v>1052</v>
      </c>
      <c r="J101" s="2614" t="s">
        <v>22</v>
      </c>
      <c r="K101" s="2615" t="s">
        <v>1057</v>
      </c>
      <c r="L101" s="2338" t="s">
        <v>19</v>
      </c>
      <c r="M101" s="2339"/>
      <c r="N101" s="1898"/>
      <c r="O101" s="1095" t="s">
        <v>373</v>
      </c>
      <c r="P101" s="1096"/>
      <c r="Q101" s="1096"/>
      <c r="R101" s="1096"/>
      <c r="S101" s="1096"/>
      <c r="T101" s="1096"/>
      <c r="U101" s="1096"/>
      <c r="V101" s="1096"/>
      <c r="W101" s="1096"/>
      <c r="X101" s="1096"/>
      <c r="Y101" s="1096"/>
      <c r="Z101" s="1096"/>
      <c r="AA101" s="1096"/>
      <c r="AB101" s="1096"/>
      <c r="AC101" s="1096"/>
      <c r="AD101" s="1096"/>
      <c r="AE101" s="1096"/>
      <c r="AF101" s="2616">
        <v>4</v>
      </c>
      <c r="AG101" s="2617" t="s">
        <v>1026</v>
      </c>
      <c r="AH101" s="2617" t="s">
        <v>1058</v>
      </c>
      <c r="AI101" s="2616"/>
      <c r="AJ101" s="2617"/>
      <c r="AK101" s="2617"/>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58" ht="11.25" customHeight="1">
      <c r="A102" s="1084" t="s">
        <v>992</v>
      </c>
      <c r="B102" s="1084"/>
      <c r="C102" s="1084"/>
      <c r="D102" s="1078"/>
      <c r="E102" s="1088"/>
      <c r="F102" s="2605"/>
      <c r="G102" s="2606"/>
      <c r="H102" s="2601" t="s">
        <v>1054</v>
      </c>
      <c r="I102" s="2613"/>
      <c r="J102" s="2614"/>
      <c r="K102" s="2615"/>
      <c r="L102" s="2338"/>
      <c r="M102" s="2339"/>
      <c r="N102" s="2618"/>
      <c r="O102" s="2619">
        <v>1</v>
      </c>
      <c r="P102" s="2620" t="s">
        <v>19</v>
      </c>
      <c r="Q102" s="2573" t="s">
        <v>22</v>
      </c>
      <c r="R102" s="2573" t="s">
        <v>22</v>
      </c>
      <c r="S102" s="2573" t="s">
        <v>22</v>
      </c>
      <c r="T102" s="2573" t="s">
        <v>22</v>
      </c>
      <c r="U102" s="2573" t="s">
        <v>22</v>
      </c>
      <c r="V102" s="2573" t="s">
        <v>22</v>
      </c>
      <c r="W102" s="2573" t="s">
        <v>22</v>
      </c>
      <c r="X102" s="2573" t="s">
        <v>22</v>
      </c>
      <c r="Y102" s="2573"/>
      <c r="Z102" s="1093"/>
      <c r="AA102" s="1094"/>
      <c r="AB102" s="1094"/>
      <c r="AC102" s="1098"/>
      <c r="AD102" s="1098"/>
      <c r="AE102" s="1099"/>
      <c r="AF102" s="2616"/>
      <c r="AG102" s="2617"/>
      <c r="AH102" s="2617"/>
      <c r="AI102" s="2616"/>
      <c r="AJ102" s="2617"/>
      <c r="AK102" s="2617"/>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58" ht="11.25" customHeight="1">
      <c r="A103" s="1084" t="s">
        <v>992</v>
      </c>
      <c r="B103" s="1084"/>
      <c r="C103" s="1084"/>
      <c r="D103" s="1078"/>
      <c r="E103" s="1088"/>
      <c r="F103" s="2605"/>
      <c r="G103" s="2606"/>
      <c r="H103" s="2601" t="s">
        <v>1054</v>
      </c>
      <c r="I103" s="2613"/>
      <c r="J103" s="2614"/>
      <c r="K103" s="2615"/>
      <c r="L103" s="2338"/>
      <c r="M103" s="2339"/>
      <c r="N103" s="2618"/>
      <c r="O103" s="2619"/>
      <c r="P103" s="2621"/>
      <c r="Q103" s="2573"/>
      <c r="R103" s="2573"/>
      <c r="S103" s="2623"/>
      <c r="T103" s="2573"/>
      <c r="U103" s="2573"/>
      <c r="V103" s="2573"/>
      <c r="W103" s="2573"/>
      <c r="X103" s="2573"/>
      <c r="Y103" s="2573"/>
      <c r="Z103" s="1743"/>
      <c r="AA103" s="1711">
        <v>1</v>
      </c>
      <c r="AB103" s="1097" t="s">
        <v>1036</v>
      </c>
      <c r="AC103" s="1087">
        <v>78428.776996668603</v>
      </c>
      <c r="AD103" s="1097" t="str">
        <f>AB103</f>
        <v xml:space="preserve">      Прочие амортизационные отчисления</v>
      </c>
      <c r="AE103" s="1087"/>
      <c r="AF103" s="2616"/>
      <c r="AG103" s="2617"/>
      <c r="AH103" s="2617"/>
      <c r="AI103" s="2616"/>
      <c r="AJ103" s="2617"/>
      <c r="AK103" s="2617"/>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58" ht="11.25" customHeight="1">
      <c r="A104" s="1084" t="s">
        <v>992</v>
      </c>
      <c r="B104" s="1084"/>
      <c r="C104" s="1084"/>
      <c r="D104" s="1078"/>
      <c r="E104" s="1088"/>
      <c r="F104" s="2606"/>
      <c r="G104" s="2606"/>
      <c r="H104" s="2606"/>
      <c r="I104" s="2606"/>
      <c r="J104" s="2606"/>
      <c r="K104" s="2606"/>
      <c r="L104" s="2606"/>
      <c r="M104" s="2606"/>
      <c r="N104" s="2606"/>
      <c r="O104" s="2606"/>
      <c r="P104" s="2606"/>
      <c r="Q104" s="2606"/>
      <c r="R104" s="2606"/>
      <c r="S104" s="2606"/>
      <c r="T104" s="2606"/>
      <c r="U104" s="2606"/>
      <c r="V104" s="2606"/>
      <c r="W104" s="2606"/>
      <c r="X104" s="2606"/>
      <c r="Y104" s="2606"/>
      <c r="Z104" s="2054" t="s">
        <v>686</v>
      </c>
      <c r="AA104" s="1731" t="s">
        <v>109</v>
      </c>
      <c r="AB104" s="1097" t="s">
        <v>1028</v>
      </c>
      <c r="AC104" s="1087">
        <v>53954.075911331398</v>
      </c>
      <c r="AD104" s="1097" t="str">
        <f>AB104</f>
        <v xml:space="preserve">  Прочие</v>
      </c>
      <c r="AE104" s="1087"/>
      <c r="AF104" s="2625"/>
      <c r="AG104" s="2626"/>
      <c r="AH104" s="2626"/>
      <c r="AI104" s="2625"/>
      <c r="AJ104" s="2626"/>
      <c r="AK104" s="2627"/>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58" ht="11.25" customHeight="1">
      <c r="A105" s="1084" t="s">
        <v>992</v>
      </c>
      <c r="B105" s="1084"/>
      <c r="C105" s="1084"/>
      <c r="D105" s="1078"/>
      <c r="E105" s="1088"/>
      <c r="F105" s="2605"/>
      <c r="G105" s="2606"/>
      <c r="H105" s="2601" t="s">
        <v>1054</v>
      </c>
      <c r="I105" s="2613"/>
      <c r="J105" s="2614"/>
      <c r="K105" s="2615"/>
      <c r="L105" s="2338"/>
      <c r="M105" s="2339"/>
      <c r="N105" s="2618"/>
      <c r="O105" s="2619"/>
      <c r="P105" s="2622"/>
      <c r="Q105" s="2573"/>
      <c r="R105" s="2573"/>
      <c r="S105" s="2623"/>
      <c r="T105" s="2573"/>
      <c r="U105" s="2573"/>
      <c r="V105" s="2573"/>
      <c r="W105" s="2573"/>
      <c r="X105" s="2573"/>
      <c r="Y105" s="2573"/>
      <c r="Z105" s="1093"/>
      <c r="AA105" s="1094"/>
      <c r="AB105" s="1159" t="s">
        <v>1029</v>
      </c>
      <c r="AC105" s="1098"/>
      <c r="AD105" s="1098"/>
      <c r="AE105" s="1100"/>
      <c r="AF105" s="2616"/>
      <c r="AG105" s="2617"/>
      <c r="AH105" s="2617"/>
      <c r="AI105" s="2616"/>
      <c r="AJ105" s="2617"/>
      <c r="AK105" s="2617"/>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6" spans="1:58" ht="11.25" customHeight="1">
      <c r="A106" s="1084" t="s">
        <v>992</v>
      </c>
      <c r="B106" s="1084"/>
      <c r="C106" s="1084"/>
      <c r="D106" s="1078"/>
      <c r="E106" s="1088"/>
      <c r="F106" s="2605"/>
      <c r="G106" s="2606"/>
      <c r="H106" s="2601" t="s">
        <v>1054</v>
      </c>
      <c r="I106" s="2613"/>
      <c r="J106" s="2614"/>
      <c r="K106" s="2615"/>
      <c r="L106" s="2338"/>
      <c r="M106" s="2339"/>
      <c r="N106" s="1093"/>
      <c r="O106" s="1094"/>
      <c r="P106" s="1086" t="s">
        <v>1030</v>
      </c>
      <c r="Q106" s="1094"/>
      <c r="R106" s="1094"/>
      <c r="S106" s="1094"/>
      <c r="T106" s="1094"/>
      <c r="U106" s="1094"/>
      <c r="V106" s="1094"/>
      <c r="W106" s="1094"/>
      <c r="X106" s="1094"/>
      <c r="Y106" s="1094"/>
      <c r="Z106" s="1094"/>
      <c r="AA106" s="1094"/>
      <c r="AB106" s="1094"/>
      <c r="AC106" s="1094"/>
      <c r="AD106" s="1094"/>
      <c r="AE106" s="1101"/>
      <c r="AF106" s="2616"/>
      <c r="AG106" s="2617"/>
      <c r="AH106" s="2617"/>
      <c r="AI106" s="2616"/>
      <c r="AJ106" s="2617"/>
      <c r="AK106" s="2617"/>
      <c r="AL106" s="1900"/>
      <c r="AM106" s="1738"/>
      <c r="AN106" s="1738"/>
      <c r="AO106" s="1738"/>
      <c r="AP106" s="1738"/>
      <c r="AQ106" s="1738"/>
      <c r="AR106" s="1738"/>
      <c r="AS106" s="1738"/>
      <c r="AT106" s="1738"/>
      <c r="AU106" s="1738"/>
      <c r="AV106" s="1738"/>
      <c r="AW106" s="1738"/>
      <c r="AX106" s="1738"/>
      <c r="AY106" s="1738"/>
      <c r="AZ106" s="1738"/>
      <c r="BA106" s="1738"/>
      <c r="BB106" s="1738"/>
      <c r="BC106" s="1738"/>
      <c r="BD106" s="1738"/>
      <c r="BE106" s="1738"/>
      <c r="BF106" s="1738"/>
    </row>
    <row r="107" spans="1:58" ht="11.25" customHeight="1">
      <c r="A107" s="1084" t="s">
        <v>992</v>
      </c>
      <c r="B107" s="1084" t="s">
        <v>22</v>
      </c>
      <c r="C107" s="1084"/>
      <c r="D107" s="1078"/>
      <c r="E107" s="1088"/>
      <c r="F107" s="2605"/>
      <c r="G107" s="2590" t="s">
        <v>686</v>
      </c>
      <c r="H107" s="2601" t="s">
        <v>1059</v>
      </c>
      <c r="I107" s="2613" t="s">
        <v>1052</v>
      </c>
      <c r="J107" s="2614" t="s">
        <v>22</v>
      </c>
      <c r="K107" s="2615" t="s">
        <v>1060</v>
      </c>
      <c r="L107" s="2338" t="s">
        <v>19</v>
      </c>
      <c r="M107" s="2339"/>
      <c r="N107" s="1898"/>
      <c r="O107" s="1095" t="s">
        <v>373</v>
      </c>
      <c r="P107" s="1096"/>
      <c r="Q107" s="1096"/>
      <c r="R107" s="1096"/>
      <c r="S107" s="1096"/>
      <c r="T107" s="1096"/>
      <c r="U107" s="1096"/>
      <c r="V107" s="1096"/>
      <c r="W107" s="1096"/>
      <c r="X107" s="1096"/>
      <c r="Y107" s="1096"/>
      <c r="Z107" s="1096"/>
      <c r="AA107" s="1096"/>
      <c r="AB107" s="1096"/>
      <c r="AC107" s="1096"/>
      <c r="AD107" s="1096"/>
      <c r="AE107" s="1096"/>
      <c r="AF107" s="2616">
        <v>3</v>
      </c>
      <c r="AG107" s="2617" t="s">
        <v>1026</v>
      </c>
      <c r="AH107" s="2617" t="s">
        <v>1048</v>
      </c>
      <c r="AI107" s="2616"/>
      <c r="AJ107" s="2617"/>
      <c r="AK107" s="2617"/>
      <c r="AL107" s="1900"/>
      <c r="AM107" s="1738"/>
      <c r="AN107" s="1738"/>
      <c r="AO107" s="1738"/>
      <c r="AP107" s="1738"/>
      <c r="AQ107" s="1738"/>
      <c r="AR107" s="1738"/>
      <c r="AS107" s="1738"/>
      <c r="AT107" s="1738"/>
      <c r="AU107" s="1738"/>
      <c r="AV107" s="1738"/>
      <c r="AW107" s="1738"/>
      <c r="AX107" s="1738"/>
      <c r="AY107" s="1738"/>
      <c r="AZ107" s="1738"/>
      <c r="BA107" s="1738"/>
      <c r="BB107" s="1738"/>
      <c r="BC107" s="1738"/>
      <c r="BD107" s="1738"/>
      <c r="BE107" s="1738"/>
      <c r="BF107" s="1738"/>
    </row>
    <row r="108" spans="1:58" ht="11.25" customHeight="1">
      <c r="A108" s="1084" t="s">
        <v>992</v>
      </c>
      <c r="B108" s="1084"/>
      <c r="C108" s="1084"/>
      <c r="D108" s="1078"/>
      <c r="E108" s="1088"/>
      <c r="F108" s="2605"/>
      <c r="G108" s="2606"/>
      <c r="H108" s="2601" t="s">
        <v>1056</v>
      </c>
      <c r="I108" s="2613"/>
      <c r="J108" s="2614"/>
      <c r="K108" s="2615"/>
      <c r="L108" s="2338"/>
      <c r="M108" s="2339"/>
      <c r="N108" s="2618"/>
      <c r="O108" s="2619">
        <v>1</v>
      </c>
      <c r="P108" s="2620" t="s">
        <v>19</v>
      </c>
      <c r="Q108" s="2573" t="s">
        <v>22</v>
      </c>
      <c r="R108" s="2573" t="s">
        <v>22</v>
      </c>
      <c r="S108" s="2573" t="s">
        <v>22</v>
      </c>
      <c r="T108" s="2573" t="s">
        <v>22</v>
      </c>
      <c r="U108" s="2573" t="s">
        <v>22</v>
      </c>
      <c r="V108" s="2573" t="s">
        <v>22</v>
      </c>
      <c r="W108" s="2573" t="s">
        <v>22</v>
      </c>
      <c r="X108" s="2573" t="s">
        <v>22</v>
      </c>
      <c r="Y108" s="2573"/>
      <c r="Z108" s="1093"/>
      <c r="AA108" s="1094"/>
      <c r="AB108" s="1094"/>
      <c r="AC108" s="1098"/>
      <c r="AD108" s="1098"/>
      <c r="AE108" s="1099"/>
      <c r="AF108" s="2616"/>
      <c r="AG108" s="2617"/>
      <c r="AH108" s="2617"/>
      <c r="AI108" s="2616"/>
      <c r="AJ108" s="2617"/>
      <c r="AK108" s="2617"/>
      <c r="AL108" s="1900"/>
      <c r="AM108" s="1738"/>
      <c r="AN108" s="1738"/>
      <c r="AO108" s="1738"/>
      <c r="AP108" s="1738"/>
      <c r="AQ108" s="1738"/>
      <c r="AR108" s="1738"/>
      <c r="AS108" s="1738"/>
      <c r="AT108" s="1738"/>
      <c r="AU108" s="1738"/>
      <c r="AV108" s="1738"/>
      <c r="AW108" s="1738"/>
      <c r="AX108" s="1738"/>
      <c r="AY108" s="1738"/>
      <c r="AZ108" s="1738"/>
      <c r="BA108" s="1738"/>
      <c r="BB108" s="1738"/>
      <c r="BC108" s="1738"/>
      <c r="BD108" s="1738"/>
      <c r="BE108" s="1738"/>
      <c r="BF108" s="1738"/>
    </row>
    <row r="109" spans="1:58" ht="11.25" customHeight="1">
      <c r="A109" s="1084" t="s">
        <v>992</v>
      </c>
      <c r="B109" s="1084"/>
      <c r="C109" s="1084"/>
      <c r="D109" s="1078"/>
      <c r="E109" s="1088"/>
      <c r="F109" s="2605"/>
      <c r="G109" s="2606"/>
      <c r="H109" s="2601" t="s">
        <v>1056</v>
      </c>
      <c r="I109" s="2613"/>
      <c r="J109" s="2614"/>
      <c r="K109" s="2615"/>
      <c r="L109" s="2338"/>
      <c r="M109" s="2339"/>
      <c r="N109" s="2618"/>
      <c r="O109" s="2619"/>
      <c r="P109" s="2621"/>
      <c r="Q109" s="2573"/>
      <c r="R109" s="2573"/>
      <c r="S109" s="2623"/>
      <c r="T109" s="2573"/>
      <c r="U109" s="2573"/>
      <c r="V109" s="2573"/>
      <c r="W109" s="2573"/>
      <c r="X109" s="2573"/>
      <c r="Y109" s="2573"/>
      <c r="Z109" s="1743"/>
      <c r="AA109" s="1711">
        <v>1</v>
      </c>
      <c r="AB109" s="1097" t="s">
        <v>1036</v>
      </c>
      <c r="AC109" s="1087">
        <v>52776.110116603501</v>
      </c>
      <c r="AD109" s="1097" t="str">
        <f>AB109</f>
        <v xml:space="preserve">      Прочие амортизационные отчисления</v>
      </c>
      <c r="AE109" s="1087"/>
      <c r="AF109" s="2616"/>
      <c r="AG109" s="2617"/>
      <c r="AH109" s="2617"/>
      <c r="AI109" s="2616"/>
      <c r="AJ109" s="2617"/>
      <c r="AK109" s="2617"/>
      <c r="AL109" s="1900"/>
      <c r="AM109" s="1738"/>
      <c r="AN109" s="1738"/>
      <c r="AO109" s="1738"/>
      <c r="AP109" s="1738"/>
      <c r="AQ109" s="1738"/>
      <c r="AR109" s="1738"/>
      <c r="AS109" s="1738"/>
      <c r="AT109" s="1738"/>
      <c r="AU109" s="1738"/>
      <c r="AV109" s="1738"/>
      <c r="AW109" s="1738"/>
      <c r="AX109" s="1738"/>
      <c r="AY109" s="1738"/>
      <c r="AZ109" s="1738"/>
      <c r="BA109" s="1738"/>
      <c r="BB109" s="1738"/>
      <c r="BC109" s="1738"/>
      <c r="BD109" s="1738"/>
      <c r="BE109" s="1738"/>
      <c r="BF109" s="1738"/>
    </row>
    <row r="110" spans="1:58" ht="11.25" customHeight="1">
      <c r="A110" s="1084" t="s">
        <v>992</v>
      </c>
      <c r="B110" s="1084"/>
      <c r="C110" s="1084"/>
      <c r="D110" s="1078"/>
      <c r="E110" s="1088"/>
      <c r="F110" s="2606"/>
      <c r="G110" s="2606"/>
      <c r="H110" s="2606"/>
      <c r="I110" s="2606"/>
      <c r="J110" s="2606"/>
      <c r="K110" s="2606"/>
      <c r="L110" s="2606"/>
      <c r="M110" s="2606"/>
      <c r="N110" s="2606"/>
      <c r="O110" s="2606"/>
      <c r="P110" s="2606"/>
      <c r="Q110" s="2606"/>
      <c r="R110" s="2606"/>
      <c r="S110" s="2606"/>
      <c r="T110" s="2606"/>
      <c r="U110" s="2606"/>
      <c r="V110" s="2606"/>
      <c r="W110" s="2606"/>
      <c r="X110" s="2606"/>
      <c r="Y110" s="2606"/>
      <c r="Z110" s="2054" t="s">
        <v>686</v>
      </c>
      <c r="AA110" s="1731" t="s">
        <v>109</v>
      </c>
      <c r="AB110" s="1097" t="s">
        <v>1028</v>
      </c>
      <c r="AC110" s="1087">
        <v>43223.889883396499</v>
      </c>
      <c r="AD110" s="1097" t="str">
        <f>AB110</f>
        <v xml:space="preserve">  Прочие</v>
      </c>
      <c r="AE110" s="1087"/>
      <c r="AF110" s="2625"/>
      <c r="AG110" s="2626"/>
      <c r="AH110" s="2626"/>
      <c r="AI110" s="2625"/>
      <c r="AJ110" s="2626"/>
      <c r="AK110" s="2627"/>
      <c r="AL110" s="1900"/>
      <c r="AM110" s="1738"/>
      <c r="AN110" s="1738"/>
      <c r="AO110" s="1738"/>
      <c r="AP110" s="1738"/>
      <c r="AQ110" s="1738"/>
      <c r="AR110" s="1738"/>
      <c r="AS110" s="1738"/>
      <c r="AT110" s="1738"/>
      <c r="AU110" s="1738"/>
      <c r="AV110" s="1738"/>
      <c r="AW110" s="1738"/>
      <c r="AX110" s="1738"/>
      <c r="AY110" s="1738"/>
      <c r="AZ110" s="1738"/>
      <c r="BA110" s="1738"/>
      <c r="BB110" s="1738"/>
      <c r="BC110" s="1738"/>
      <c r="BD110" s="1738"/>
      <c r="BE110" s="1738"/>
      <c r="BF110" s="1738"/>
    </row>
    <row r="111" spans="1:58" ht="11.25" customHeight="1">
      <c r="A111" s="1084" t="s">
        <v>992</v>
      </c>
      <c r="B111" s="1084"/>
      <c r="C111" s="1084"/>
      <c r="D111" s="1078"/>
      <c r="E111" s="1088"/>
      <c r="F111" s="2605"/>
      <c r="G111" s="2606"/>
      <c r="H111" s="2601" t="s">
        <v>1056</v>
      </c>
      <c r="I111" s="2613"/>
      <c r="J111" s="2614"/>
      <c r="K111" s="2615"/>
      <c r="L111" s="2338"/>
      <c r="M111" s="2339"/>
      <c r="N111" s="2618"/>
      <c r="O111" s="2619"/>
      <c r="P111" s="2622"/>
      <c r="Q111" s="2573"/>
      <c r="R111" s="2573"/>
      <c r="S111" s="2623"/>
      <c r="T111" s="2573"/>
      <c r="U111" s="2573"/>
      <c r="V111" s="2573"/>
      <c r="W111" s="2573"/>
      <c r="X111" s="2573"/>
      <c r="Y111" s="2573"/>
      <c r="Z111" s="1093"/>
      <c r="AA111" s="1094"/>
      <c r="AB111" s="1159" t="s">
        <v>1029</v>
      </c>
      <c r="AC111" s="1098"/>
      <c r="AD111" s="1098"/>
      <c r="AE111" s="1100"/>
      <c r="AF111" s="2616"/>
      <c r="AG111" s="2617"/>
      <c r="AH111" s="2617"/>
      <c r="AI111" s="2616"/>
      <c r="AJ111" s="2617"/>
      <c r="AK111" s="2617"/>
      <c r="AL111" s="1900"/>
      <c r="AM111" s="1738"/>
      <c r="AN111" s="1738"/>
      <c r="AO111" s="1738"/>
      <c r="AP111" s="1738"/>
      <c r="AQ111" s="1738"/>
      <c r="AR111" s="1738"/>
      <c r="AS111" s="1738"/>
      <c r="AT111" s="1738"/>
      <c r="AU111" s="1738"/>
      <c r="AV111" s="1738"/>
      <c r="AW111" s="1738"/>
      <c r="AX111" s="1738"/>
      <c r="AY111" s="1738"/>
      <c r="AZ111" s="1738"/>
      <c r="BA111" s="1738"/>
      <c r="BB111" s="1738"/>
      <c r="BC111" s="1738"/>
      <c r="BD111" s="1738"/>
      <c r="BE111" s="1738"/>
      <c r="BF111" s="1738"/>
    </row>
    <row r="112" spans="1:58" ht="11.25" customHeight="1">
      <c r="A112" s="1084" t="s">
        <v>992</v>
      </c>
      <c r="B112" s="1084"/>
      <c r="C112" s="1084"/>
      <c r="D112" s="1078"/>
      <c r="E112" s="1088"/>
      <c r="F112" s="2605"/>
      <c r="G112" s="2606"/>
      <c r="H112" s="2601" t="s">
        <v>1056</v>
      </c>
      <c r="I112" s="2613"/>
      <c r="J112" s="2614"/>
      <c r="K112" s="2615"/>
      <c r="L112" s="2338"/>
      <c r="M112" s="2339"/>
      <c r="N112" s="1093"/>
      <c r="O112" s="1094"/>
      <c r="P112" s="1086" t="s">
        <v>1030</v>
      </c>
      <c r="Q112" s="1094"/>
      <c r="R112" s="1094"/>
      <c r="S112" s="1094"/>
      <c r="T112" s="1094"/>
      <c r="U112" s="1094"/>
      <c r="V112" s="1094"/>
      <c r="W112" s="1094"/>
      <c r="X112" s="1094"/>
      <c r="Y112" s="1094"/>
      <c r="Z112" s="1094"/>
      <c r="AA112" s="1094"/>
      <c r="AB112" s="1094"/>
      <c r="AC112" s="1094"/>
      <c r="AD112" s="1094"/>
      <c r="AE112" s="1101"/>
      <c r="AF112" s="2616"/>
      <c r="AG112" s="2617"/>
      <c r="AH112" s="2617"/>
      <c r="AI112" s="2616"/>
      <c r="AJ112" s="2617"/>
      <c r="AK112" s="2617"/>
      <c r="AL112" s="1900"/>
      <c r="AM112" s="1738"/>
      <c r="AN112" s="1738"/>
      <c r="AO112" s="1738"/>
      <c r="AP112" s="1738"/>
      <c r="AQ112" s="1738"/>
      <c r="AR112" s="1738"/>
      <c r="AS112" s="1738"/>
      <c r="AT112" s="1738"/>
      <c r="AU112" s="1738"/>
      <c r="AV112" s="1738"/>
      <c r="AW112" s="1738"/>
      <c r="AX112" s="1738"/>
      <c r="AY112" s="1738"/>
      <c r="AZ112" s="1738"/>
      <c r="BA112" s="1738"/>
      <c r="BB112" s="1738"/>
      <c r="BC112" s="1738"/>
      <c r="BD112" s="1738"/>
      <c r="BE112" s="1738"/>
      <c r="BF112" s="1738"/>
    </row>
    <row r="113" spans="1:58" ht="11.25" customHeight="1">
      <c r="A113" s="1084" t="s">
        <v>992</v>
      </c>
      <c r="B113" s="1084" t="s">
        <v>22</v>
      </c>
      <c r="C113" s="1084"/>
      <c r="D113" s="1078"/>
      <c r="E113" s="1088"/>
      <c r="F113" s="2605"/>
      <c r="G113" s="2590" t="s">
        <v>686</v>
      </c>
      <c r="H113" s="2601" t="s">
        <v>1061</v>
      </c>
      <c r="I113" s="2613" t="s">
        <v>1052</v>
      </c>
      <c r="J113" s="2614" t="s">
        <v>22</v>
      </c>
      <c r="K113" s="2615" t="s">
        <v>1062</v>
      </c>
      <c r="L113" s="2338" t="s">
        <v>19</v>
      </c>
      <c r="M113" s="2339"/>
      <c r="N113" s="1898"/>
      <c r="O113" s="1095" t="s">
        <v>373</v>
      </c>
      <c r="P113" s="1096"/>
      <c r="Q113" s="1096"/>
      <c r="R113" s="1096"/>
      <c r="S113" s="1096"/>
      <c r="T113" s="1096"/>
      <c r="U113" s="1096"/>
      <c r="V113" s="1096"/>
      <c r="W113" s="1096"/>
      <c r="X113" s="1096"/>
      <c r="Y113" s="1096"/>
      <c r="Z113" s="1096"/>
      <c r="AA113" s="1096"/>
      <c r="AB113" s="1096"/>
      <c r="AC113" s="1096"/>
      <c r="AD113" s="1096"/>
      <c r="AE113" s="1096"/>
      <c r="AF113" s="2616">
        <v>2</v>
      </c>
      <c r="AG113" s="2617" t="s">
        <v>1026</v>
      </c>
      <c r="AH113" s="2617" t="s">
        <v>1048</v>
      </c>
      <c r="AI113" s="2616"/>
      <c r="AJ113" s="2617"/>
      <c r="AK113" s="2617"/>
      <c r="AL113" s="1900"/>
      <c r="AM113" s="1738"/>
      <c r="AN113" s="1738"/>
      <c r="AO113" s="1738"/>
      <c r="AP113" s="1738"/>
      <c r="AQ113" s="1738"/>
      <c r="AR113" s="1738"/>
      <c r="AS113" s="1738"/>
      <c r="AT113" s="1738"/>
      <c r="AU113" s="1738"/>
      <c r="AV113" s="1738"/>
      <c r="AW113" s="1738"/>
      <c r="AX113" s="1738"/>
      <c r="AY113" s="1738"/>
      <c r="AZ113" s="1738"/>
      <c r="BA113" s="1738"/>
      <c r="BB113" s="1738"/>
      <c r="BC113" s="1738"/>
      <c r="BD113" s="1738"/>
      <c r="BE113" s="1738"/>
      <c r="BF113" s="1738"/>
    </row>
    <row r="114" spans="1:58" ht="11.25" customHeight="1">
      <c r="A114" s="1084" t="s">
        <v>992</v>
      </c>
      <c r="B114" s="1084"/>
      <c r="C114" s="1084"/>
      <c r="D114" s="1078"/>
      <c r="E114" s="1088"/>
      <c r="F114" s="2605"/>
      <c r="G114" s="2606"/>
      <c r="H114" s="2601" t="s">
        <v>1059</v>
      </c>
      <c r="I114" s="2613"/>
      <c r="J114" s="2614"/>
      <c r="K114" s="2615"/>
      <c r="L114" s="2338"/>
      <c r="M114" s="2339"/>
      <c r="N114" s="2618"/>
      <c r="O114" s="2619">
        <v>1</v>
      </c>
      <c r="P114" s="2620" t="s">
        <v>19</v>
      </c>
      <c r="Q114" s="2573" t="s">
        <v>22</v>
      </c>
      <c r="R114" s="2573" t="s">
        <v>22</v>
      </c>
      <c r="S114" s="2573" t="s">
        <v>22</v>
      </c>
      <c r="T114" s="2573" t="s">
        <v>22</v>
      </c>
      <c r="U114" s="2573" t="s">
        <v>22</v>
      </c>
      <c r="V114" s="2573" t="s">
        <v>22</v>
      </c>
      <c r="W114" s="2573" t="s">
        <v>22</v>
      </c>
      <c r="X114" s="2573" t="s">
        <v>22</v>
      </c>
      <c r="Y114" s="2573"/>
      <c r="Z114" s="1093"/>
      <c r="AA114" s="1094"/>
      <c r="AB114" s="1094"/>
      <c r="AC114" s="1098"/>
      <c r="AD114" s="1098"/>
      <c r="AE114" s="1099"/>
      <c r="AF114" s="2616"/>
      <c r="AG114" s="2617"/>
      <c r="AH114" s="2617"/>
      <c r="AI114" s="2616"/>
      <c r="AJ114" s="2617"/>
      <c r="AK114" s="2617"/>
      <c r="AL114" s="1900"/>
      <c r="AM114" s="1738"/>
      <c r="AN114" s="1738"/>
      <c r="AO114" s="1738"/>
      <c r="AP114" s="1738"/>
      <c r="AQ114" s="1738"/>
      <c r="AR114" s="1738"/>
      <c r="AS114" s="1738"/>
      <c r="AT114" s="1738"/>
      <c r="AU114" s="1738"/>
      <c r="AV114" s="1738"/>
      <c r="AW114" s="1738"/>
      <c r="AX114" s="1738"/>
      <c r="AY114" s="1738"/>
      <c r="AZ114" s="1738"/>
      <c r="BA114" s="1738"/>
      <c r="BB114" s="1738"/>
      <c r="BC114" s="1738"/>
      <c r="BD114" s="1738"/>
      <c r="BE114" s="1738"/>
      <c r="BF114" s="1738"/>
    </row>
    <row r="115" spans="1:58" ht="11.25" customHeight="1">
      <c r="A115" s="1084" t="s">
        <v>992</v>
      </c>
      <c r="B115" s="1084"/>
      <c r="C115" s="1084"/>
      <c r="D115" s="1078"/>
      <c r="E115" s="1088"/>
      <c r="F115" s="2605"/>
      <c r="G115" s="2606"/>
      <c r="H115" s="2601" t="s">
        <v>1059</v>
      </c>
      <c r="I115" s="2613"/>
      <c r="J115" s="2614"/>
      <c r="K115" s="2615"/>
      <c r="L115" s="2338"/>
      <c r="M115" s="2339"/>
      <c r="N115" s="2618"/>
      <c r="O115" s="2619"/>
      <c r="P115" s="2621"/>
      <c r="Q115" s="2573"/>
      <c r="R115" s="2573"/>
      <c r="S115" s="2623"/>
      <c r="T115" s="2573"/>
      <c r="U115" s="2573"/>
      <c r="V115" s="2573"/>
      <c r="W115" s="2573"/>
      <c r="X115" s="2573"/>
      <c r="Y115" s="2573"/>
      <c r="Z115" s="1743"/>
      <c r="AA115" s="1711">
        <v>1</v>
      </c>
      <c r="AB115" s="1097" t="s">
        <v>1028</v>
      </c>
      <c r="AC115" s="1087">
        <v>32627.256416772401</v>
      </c>
      <c r="AD115" s="1097" t="str">
        <f>AB115</f>
        <v xml:space="preserve">  Прочие</v>
      </c>
      <c r="AE115" s="1087"/>
      <c r="AF115" s="2616"/>
      <c r="AG115" s="2617"/>
      <c r="AH115" s="2617"/>
      <c r="AI115" s="2616"/>
      <c r="AJ115" s="2617"/>
      <c r="AK115" s="2617"/>
      <c r="AL115" s="1900"/>
      <c r="AM115" s="1738"/>
      <c r="AN115" s="1738"/>
      <c r="AO115" s="1738"/>
      <c r="AP115" s="1738"/>
      <c r="AQ115" s="1738"/>
      <c r="AR115" s="1738"/>
      <c r="AS115" s="1738"/>
      <c r="AT115" s="1738"/>
      <c r="AU115" s="1738"/>
      <c r="AV115" s="1738"/>
      <c r="AW115" s="1738"/>
      <c r="AX115" s="1738"/>
      <c r="AY115" s="1738"/>
      <c r="AZ115" s="1738"/>
      <c r="BA115" s="1738"/>
      <c r="BB115" s="1738"/>
      <c r="BC115" s="1738"/>
      <c r="BD115" s="1738"/>
      <c r="BE115" s="1738"/>
      <c r="BF115" s="1738"/>
    </row>
    <row r="116" spans="1:58" ht="11.25" customHeight="1">
      <c r="A116" s="1084" t="s">
        <v>992</v>
      </c>
      <c r="B116" s="1084"/>
      <c r="C116" s="1084"/>
      <c r="D116" s="1078"/>
      <c r="E116" s="1088"/>
      <c r="F116" s="2605"/>
      <c r="G116" s="2606"/>
      <c r="H116" s="2601" t="s">
        <v>1059</v>
      </c>
      <c r="I116" s="2613"/>
      <c r="J116" s="2614"/>
      <c r="K116" s="2615"/>
      <c r="L116" s="2338"/>
      <c r="M116" s="2339"/>
      <c r="N116" s="2618"/>
      <c r="O116" s="2619"/>
      <c r="P116" s="2622"/>
      <c r="Q116" s="2573"/>
      <c r="R116" s="2573"/>
      <c r="S116" s="2623"/>
      <c r="T116" s="2573"/>
      <c r="U116" s="2573"/>
      <c r="V116" s="2573"/>
      <c r="W116" s="2573"/>
      <c r="X116" s="2573"/>
      <c r="Y116" s="2573"/>
      <c r="Z116" s="1093"/>
      <c r="AA116" s="1094"/>
      <c r="AB116" s="1159" t="s">
        <v>1029</v>
      </c>
      <c r="AC116" s="1098"/>
      <c r="AD116" s="1098"/>
      <c r="AE116" s="1100"/>
      <c r="AF116" s="2616"/>
      <c r="AG116" s="2617"/>
      <c r="AH116" s="2617"/>
      <c r="AI116" s="2616"/>
      <c r="AJ116" s="2617"/>
      <c r="AK116" s="2617"/>
      <c r="AL116" s="1900"/>
      <c r="AM116" s="1738"/>
      <c r="AN116" s="1738"/>
      <c r="AO116" s="1738"/>
      <c r="AP116" s="1738"/>
      <c r="AQ116" s="1738"/>
      <c r="AR116" s="1738"/>
      <c r="AS116" s="1738"/>
      <c r="AT116" s="1738"/>
      <c r="AU116" s="1738"/>
      <c r="AV116" s="1738"/>
      <c r="AW116" s="1738"/>
      <c r="AX116" s="1738"/>
      <c r="AY116" s="1738"/>
      <c r="AZ116" s="1738"/>
      <c r="BA116" s="1738"/>
      <c r="BB116" s="1738"/>
      <c r="BC116" s="1738"/>
      <c r="BD116" s="1738"/>
      <c r="BE116" s="1738"/>
      <c r="BF116" s="1738"/>
    </row>
    <row r="117" spans="1:58" ht="11.25" customHeight="1">
      <c r="A117" s="1084" t="s">
        <v>992</v>
      </c>
      <c r="B117" s="1084"/>
      <c r="C117" s="1084"/>
      <c r="D117" s="1078"/>
      <c r="E117" s="1088"/>
      <c r="F117" s="2605"/>
      <c r="G117" s="2606"/>
      <c r="H117" s="2601" t="s">
        <v>1059</v>
      </c>
      <c r="I117" s="2613"/>
      <c r="J117" s="2614"/>
      <c r="K117" s="2615"/>
      <c r="L117" s="2338"/>
      <c r="M117" s="2339"/>
      <c r="N117" s="1093"/>
      <c r="O117" s="1094"/>
      <c r="P117" s="1086" t="s">
        <v>1030</v>
      </c>
      <c r="Q117" s="1094"/>
      <c r="R117" s="1094"/>
      <c r="S117" s="1094"/>
      <c r="T117" s="1094"/>
      <c r="U117" s="1094"/>
      <c r="V117" s="1094"/>
      <c r="W117" s="1094"/>
      <c r="X117" s="1094"/>
      <c r="Y117" s="1094"/>
      <c r="Z117" s="1094"/>
      <c r="AA117" s="1094"/>
      <c r="AB117" s="1094"/>
      <c r="AC117" s="1094"/>
      <c r="AD117" s="1094"/>
      <c r="AE117" s="1101"/>
      <c r="AF117" s="2616"/>
      <c r="AG117" s="2617"/>
      <c r="AH117" s="2617"/>
      <c r="AI117" s="2616"/>
      <c r="AJ117" s="2617"/>
      <c r="AK117" s="2617"/>
      <c r="AL117" s="1900"/>
      <c r="AM117" s="1738"/>
      <c r="AN117" s="1738"/>
      <c r="AO117" s="1738"/>
      <c r="AP117" s="1738"/>
      <c r="AQ117" s="1738"/>
      <c r="AR117" s="1738"/>
      <c r="AS117" s="1738"/>
      <c r="AT117" s="1738"/>
      <c r="AU117" s="1738"/>
      <c r="AV117" s="1738"/>
      <c r="AW117" s="1738"/>
      <c r="AX117" s="1738"/>
      <c r="AY117" s="1738"/>
      <c r="AZ117" s="1738"/>
      <c r="BA117" s="1738"/>
      <c r="BB117" s="1738"/>
      <c r="BC117" s="1738"/>
      <c r="BD117" s="1738"/>
      <c r="BE117" s="1738"/>
      <c r="BF117" s="1738"/>
    </row>
    <row r="118" spans="1:58" ht="12" customHeight="1">
      <c r="A118" s="1084" t="s">
        <v>992</v>
      </c>
      <c r="B118" s="1084"/>
      <c r="C118" s="1084"/>
      <c r="D118" s="1078"/>
      <c r="E118" s="1088"/>
      <c r="F118" s="2607"/>
      <c r="G118" s="1108"/>
      <c r="H118" s="1108"/>
      <c r="I118" s="2603" t="s">
        <v>1063</v>
      </c>
      <c r="J118" s="2603"/>
      <c r="K118" s="2603"/>
      <c r="L118" s="1091"/>
      <c r="M118" s="1091"/>
      <c r="N118" s="1092"/>
      <c r="O118" s="1092"/>
      <c r="P118" s="1092"/>
      <c r="Q118" s="1092"/>
      <c r="R118" s="1092"/>
      <c r="S118" s="1092"/>
      <c r="T118" s="1092"/>
      <c r="U118" s="1092"/>
      <c r="V118" s="1092"/>
      <c r="W118" s="1092"/>
      <c r="X118" s="1092"/>
      <c r="Y118" s="1092"/>
      <c r="Z118" s="1092"/>
      <c r="AA118" s="1092"/>
      <c r="AB118" s="1092"/>
      <c r="AC118" s="1092"/>
      <c r="AD118" s="1092"/>
      <c r="AE118" s="1092"/>
      <c r="AF118" s="1092"/>
      <c r="AG118" s="1091"/>
      <c r="AH118" s="1091"/>
      <c r="AI118" s="1092"/>
      <c r="AJ118" s="1091"/>
      <c r="AK118" s="1092"/>
      <c r="AL118" s="1900"/>
      <c r="AM118" s="1738"/>
      <c r="AN118" s="1738"/>
      <c r="AO118" s="1738"/>
      <c r="AP118" s="1738"/>
      <c r="AQ118" s="1738"/>
      <c r="AR118" s="1738"/>
      <c r="AS118" s="1738"/>
      <c r="AT118" s="1738"/>
      <c r="AU118" s="1738"/>
      <c r="AV118" s="1738"/>
      <c r="AW118" s="1738"/>
      <c r="AX118" s="1738"/>
      <c r="AY118" s="1738"/>
      <c r="AZ118" s="1738"/>
      <c r="BA118" s="1738"/>
      <c r="BB118" s="1738"/>
      <c r="BC118" s="1738"/>
      <c r="BD118" s="1738"/>
      <c r="BE118" s="1738"/>
      <c r="BF118" s="1738"/>
    </row>
    <row r="119" spans="1:58" ht="0.75" customHeight="1">
      <c r="A119" s="1084" t="s">
        <v>992</v>
      </c>
      <c r="B119" s="1084"/>
      <c r="C119" s="1084"/>
      <c r="D119" s="1078"/>
      <c r="E119" s="1088"/>
      <c r="F119" s="2604">
        <v>2025</v>
      </c>
      <c r="G119" s="2601"/>
      <c r="H119" s="2609" t="s">
        <v>373</v>
      </c>
      <c r="I119" s="2610"/>
      <c r="J119" s="2600"/>
      <c r="K119" s="2600"/>
      <c r="L119" s="2602"/>
      <c r="M119" s="2453"/>
      <c r="N119" s="1948"/>
      <c r="O119" s="1947"/>
      <c r="P119" s="1948"/>
      <c r="Q119" s="1948"/>
      <c r="R119" s="1948"/>
      <c r="S119" s="1948"/>
      <c r="T119" s="1948"/>
      <c r="U119" s="1948"/>
      <c r="V119" s="1948"/>
      <c r="W119" s="1948"/>
      <c r="X119" s="1948"/>
      <c r="Y119" s="1948"/>
      <c r="Z119" s="1948"/>
      <c r="AA119" s="1948"/>
      <c r="AB119" s="1948"/>
      <c r="AC119" s="1948"/>
      <c r="AD119" s="1948"/>
      <c r="AE119" s="1948"/>
      <c r="AF119" s="2608"/>
      <c r="AG119" s="2602"/>
      <c r="AH119" s="2602"/>
      <c r="AI119" s="2608"/>
      <c r="AJ119" s="2602"/>
      <c r="AK119" s="2602"/>
      <c r="AL119" s="1900"/>
      <c r="AM119" s="1738"/>
      <c r="AN119" s="1738"/>
      <c r="AO119" s="1738"/>
      <c r="AP119" s="1738"/>
      <c r="AQ119" s="1738"/>
      <c r="AR119" s="1738"/>
      <c r="AS119" s="1738"/>
      <c r="AT119" s="1738"/>
      <c r="AU119" s="1738"/>
      <c r="AV119" s="1738"/>
      <c r="AW119" s="1738"/>
      <c r="AX119" s="1738"/>
      <c r="AY119" s="1738"/>
      <c r="AZ119" s="1738"/>
      <c r="BA119" s="1738"/>
      <c r="BB119" s="1738"/>
      <c r="BC119" s="1738"/>
      <c r="BD119" s="1738"/>
      <c r="BE119" s="1738"/>
      <c r="BF119" s="1738"/>
    </row>
    <row r="120" spans="1:58" ht="0.75" customHeight="1">
      <c r="A120" s="1084" t="s">
        <v>992</v>
      </c>
      <c r="B120" s="1084"/>
      <c r="C120" s="1084"/>
      <c r="D120" s="1078"/>
      <c r="E120" s="1088"/>
      <c r="F120" s="2604"/>
      <c r="G120" s="2601"/>
      <c r="H120" s="2609"/>
      <c r="I120" s="2610"/>
      <c r="J120" s="2600"/>
      <c r="K120" s="2600"/>
      <c r="L120" s="2602"/>
      <c r="M120" s="2453"/>
      <c r="N120" s="2611"/>
      <c r="O120" s="2612"/>
      <c r="P120" s="2597"/>
      <c r="Q120" s="2600"/>
      <c r="R120" s="2600"/>
      <c r="S120" s="2600"/>
      <c r="T120" s="2600"/>
      <c r="U120" s="2600"/>
      <c r="V120" s="2600"/>
      <c r="W120" s="2600"/>
      <c r="X120" s="2600"/>
      <c r="Y120" s="2600"/>
      <c r="Z120" s="1949"/>
      <c r="AA120" s="1950"/>
      <c r="AB120" s="1950"/>
      <c r="AC120" s="1951"/>
      <c r="AD120" s="1951"/>
      <c r="AE120" s="1952"/>
      <c r="AF120" s="2608"/>
      <c r="AG120" s="2602"/>
      <c r="AH120" s="2602"/>
      <c r="AI120" s="2608"/>
      <c r="AJ120" s="2602"/>
      <c r="AK120" s="2602"/>
      <c r="AL120" s="1900"/>
      <c r="AM120" s="1738"/>
      <c r="AN120" s="1738"/>
      <c r="AO120" s="1738"/>
      <c r="AP120" s="1738"/>
      <c r="AQ120" s="1738"/>
      <c r="AR120" s="1738"/>
      <c r="AS120" s="1738"/>
      <c r="AT120" s="1738"/>
      <c r="AU120" s="1738"/>
      <c r="AV120" s="1738"/>
      <c r="AW120" s="1738"/>
      <c r="AX120" s="1738"/>
      <c r="AY120" s="1738"/>
      <c r="AZ120" s="1738"/>
      <c r="BA120" s="1738"/>
      <c r="BB120" s="1738"/>
      <c r="BC120" s="1738"/>
      <c r="BD120" s="1738"/>
      <c r="BE120" s="1738"/>
      <c r="BF120" s="1738"/>
    </row>
    <row r="121" spans="1:58" ht="0.75" customHeight="1">
      <c r="A121" s="1084" t="s">
        <v>992</v>
      </c>
      <c r="B121" s="1084"/>
      <c r="C121" s="1084"/>
      <c r="D121" s="1078"/>
      <c r="E121" s="1088"/>
      <c r="F121" s="2604"/>
      <c r="G121" s="2601"/>
      <c r="H121" s="2609"/>
      <c r="I121" s="2610"/>
      <c r="J121" s="2600"/>
      <c r="K121" s="2600"/>
      <c r="L121" s="2602"/>
      <c r="M121" s="2453"/>
      <c r="N121" s="2611"/>
      <c r="O121" s="2612"/>
      <c r="P121" s="2598"/>
      <c r="Q121" s="2600"/>
      <c r="R121" s="2600"/>
      <c r="S121" s="2600"/>
      <c r="T121" s="2600"/>
      <c r="U121" s="2600"/>
      <c r="V121" s="2600"/>
      <c r="W121" s="2600"/>
      <c r="X121" s="2600"/>
      <c r="Y121" s="2600"/>
      <c r="Z121" s="1953"/>
      <c r="AA121" s="1954"/>
      <c r="AB121" s="1955"/>
      <c r="AC121" s="1956"/>
      <c r="AD121" s="1955"/>
      <c r="AE121" s="1956"/>
      <c r="AF121" s="2608"/>
      <c r="AG121" s="2602"/>
      <c r="AH121" s="2602"/>
      <c r="AI121" s="2608"/>
      <c r="AJ121" s="2602"/>
      <c r="AK121" s="2602"/>
      <c r="AL121" s="1900"/>
      <c r="AM121" s="1738"/>
      <c r="AN121" s="1738"/>
      <c r="AO121" s="1738"/>
      <c r="AP121" s="1738"/>
      <c r="AQ121" s="1738"/>
      <c r="AR121" s="1738"/>
      <c r="AS121" s="1738"/>
      <c r="AT121" s="1738"/>
      <c r="AU121" s="1738"/>
      <c r="AV121" s="1738"/>
      <c r="AW121" s="1738"/>
      <c r="AX121" s="1738"/>
      <c r="AY121" s="1738"/>
      <c r="AZ121" s="1738"/>
      <c r="BA121" s="1738"/>
      <c r="BB121" s="1738"/>
      <c r="BC121" s="1738"/>
      <c r="BD121" s="1738"/>
      <c r="BE121" s="1738"/>
      <c r="BF121" s="1738"/>
    </row>
    <row r="122" spans="1:58" ht="0.75" customHeight="1">
      <c r="A122" s="1084" t="s">
        <v>992</v>
      </c>
      <c r="B122" s="1084"/>
      <c r="C122" s="1084"/>
      <c r="D122" s="1078"/>
      <c r="E122" s="1088"/>
      <c r="F122" s="2604"/>
      <c r="G122" s="2601"/>
      <c r="H122" s="2609"/>
      <c r="I122" s="2610"/>
      <c r="J122" s="2600"/>
      <c r="K122" s="2600"/>
      <c r="L122" s="2602"/>
      <c r="M122" s="2453"/>
      <c r="N122" s="2611"/>
      <c r="O122" s="2612"/>
      <c r="P122" s="2599"/>
      <c r="Q122" s="2600"/>
      <c r="R122" s="2600"/>
      <c r="S122" s="2600"/>
      <c r="T122" s="2600"/>
      <c r="U122" s="2600"/>
      <c r="V122" s="2600"/>
      <c r="W122" s="2600"/>
      <c r="X122" s="2600"/>
      <c r="Y122" s="2600"/>
      <c r="Z122" s="1949"/>
      <c r="AA122" s="1950"/>
      <c r="AB122" s="1957"/>
      <c r="AC122" s="1951"/>
      <c r="AD122" s="1951"/>
      <c r="AE122" s="1958"/>
      <c r="AF122" s="2608"/>
      <c r="AG122" s="2602"/>
      <c r="AH122" s="2602"/>
      <c r="AI122" s="2608"/>
      <c r="AJ122" s="2602"/>
      <c r="AK122" s="2602"/>
      <c r="AL122" s="1900"/>
      <c r="AM122" s="1738"/>
      <c r="AN122" s="1738"/>
      <c r="AO122" s="1738"/>
      <c r="AP122" s="1738"/>
      <c r="AQ122" s="1738"/>
      <c r="AR122" s="1738"/>
      <c r="AS122" s="1738"/>
      <c r="AT122" s="1738"/>
      <c r="AU122" s="1738"/>
      <c r="AV122" s="1738"/>
      <c r="AW122" s="1738"/>
      <c r="AX122" s="1738"/>
      <c r="AY122" s="1738"/>
      <c r="AZ122" s="1738"/>
      <c r="BA122" s="1738"/>
      <c r="BB122" s="1738"/>
      <c r="BC122" s="1738"/>
      <c r="BD122" s="1738"/>
      <c r="BE122" s="1738"/>
      <c r="BF122" s="1738"/>
    </row>
    <row r="123" spans="1:58" ht="0.75" customHeight="1">
      <c r="A123" s="1084" t="s">
        <v>992</v>
      </c>
      <c r="B123" s="1084"/>
      <c r="C123" s="1084"/>
      <c r="D123" s="1078"/>
      <c r="E123" s="1088"/>
      <c r="F123" s="2604"/>
      <c r="G123" s="2601"/>
      <c r="H123" s="2609"/>
      <c r="I123" s="2610"/>
      <c r="J123" s="2600"/>
      <c r="K123" s="2600"/>
      <c r="L123" s="2602"/>
      <c r="M123" s="2453"/>
      <c r="N123" s="1950"/>
      <c r="O123" s="1950"/>
      <c r="P123" s="1957"/>
      <c r="Q123" s="1950"/>
      <c r="R123" s="1950"/>
      <c r="S123" s="1950"/>
      <c r="T123" s="1950"/>
      <c r="U123" s="1950"/>
      <c r="V123" s="1950"/>
      <c r="W123" s="1950"/>
      <c r="X123" s="1950"/>
      <c r="Y123" s="1950"/>
      <c r="Z123" s="1950"/>
      <c r="AA123" s="1950"/>
      <c r="AB123" s="1950"/>
      <c r="AC123" s="1950"/>
      <c r="AD123" s="1950"/>
      <c r="AE123" s="1959"/>
      <c r="AF123" s="2608"/>
      <c r="AG123" s="2602"/>
      <c r="AH123" s="2602"/>
      <c r="AI123" s="2608"/>
      <c r="AJ123" s="2602"/>
      <c r="AK123" s="2602"/>
      <c r="AL123" s="1900"/>
      <c r="AM123" s="1738"/>
      <c r="AN123" s="1738"/>
      <c r="AO123" s="1738"/>
      <c r="AP123" s="1738"/>
      <c r="AQ123" s="1738"/>
      <c r="AR123" s="1738"/>
      <c r="AS123" s="1738"/>
      <c r="AT123" s="1738"/>
      <c r="AU123" s="1738"/>
      <c r="AV123" s="1738"/>
      <c r="AW123" s="1738"/>
      <c r="AX123" s="1738"/>
      <c r="AY123" s="1738"/>
      <c r="AZ123" s="1738"/>
      <c r="BA123" s="1738"/>
      <c r="BB123" s="1738"/>
      <c r="BC123" s="1738"/>
      <c r="BD123" s="1738"/>
      <c r="BE123" s="1738"/>
      <c r="BF123" s="1738"/>
    </row>
    <row r="124" spans="1:58" ht="36" customHeight="1">
      <c r="A124" s="1084" t="s">
        <v>992</v>
      </c>
      <c r="B124" s="1084" t="s">
        <v>22</v>
      </c>
      <c r="C124" s="1084"/>
      <c r="D124" s="1078"/>
      <c r="E124" s="1088"/>
      <c r="F124" s="2605"/>
      <c r="G124" s="2590" t="s">
        <v>686</v>
      </c>
      <c r="H124" s="2601" t="s">
        <v>108</v>
      </c>
      <c r="I124" s="2613" t="s">
        <v>1024</v>
      </c>
      <c r="J124" s="2614" t="s">
        <v>22</v>
      </c>
      <c r="K124" s="2615" t="s">
        <v>1025</v>
      </c>
      <c r="L124" s="2338" t="s">
        <v>19</v>
      </c>
      <c r="M124" s="2339"/>
      <c r="N124" s="1898"/>
      <c r="O124" s="1095" t="s">
        <v>373</v>
      </c>
      <c r="P124" s="1096"/>
      <c r="Q124" s="1096"/>
      <c r="R124" s="1096"/>
      <c r="S124" s="1096"/>
      <c r="T124" s="1096"/>
      <c r="U124" s="1096"/>
      <c r="V124" s="1096"/>
      <c r="W124" s="1096"/>
      <c r="X124" s="1096"/>
      <c r="Y124" s="1096"/>
      <c r="Z124" s="1096"/>
      <c r="AA124" s="1096"/>
      <c r="AB124" s="1096"/>
      <c r="AC124" s="1096"/>
      <c r="AD124" s="1096"/>
      <c r="AE124" s="1096"/>
      <c r="AF124" s="2616">
        <v>6</v>
      </c>
      <c r="AG124" s="2617" t="s">
        <v>1026</v>
      </c>
      <c r="AH124" s="2617" t="s">
        <v>1035</v>
      </c>
      <c r="AI124" s="2616"/>
      <c r="AJ124" s="2617"/>
      <c r="AK124" s="2617"/>
      <c r="AL124" s="1900"/>
      <c r="AM124" s="1738"/>
      <c r="AN124" s="1738"/>
      <c r="AO124" s="1738"/>
      <c r="AP124" s="1738"/>
      <c r="AQ124" s="1738"/>
      <c r="AR124" s="1738"/>
      <c r="AS124" s="1738"/>
      <c r="AT124" s="1738"/>
      <c r="AU124" s="1738"/>
      <c r="AV124" s="1738"/>
      <c r="AW124" s="1738"/>
      <c r="AX124" s="1738"/>
      <c r="AY124" s="1738"/>
      <c r="AZ124" s="1738"/>
      <c r="BA124" s="1738"/>
      <c r="BB124" s="1738"/>
      <c r="BC124" s="1738"/>
      <c r="BD124" s="1738"/>
      <c r="BE124" s="1738"/>
      <c r="BF124" s="1738"/>
    </row>
    <row r="125" spans="1:58" ht="27.75" customHeight="1">
      <c r="A125" s="1084" t="s">
        <v>992</v>
      </c>
      <c r="B125" s="1084"/>
      <c r="C125" s="1084"/>
      <c r="D125" s="1078"/>
      <c r="E125" s="1088"/>
      <c r="F125" s="2605"/>
      <c r="G125" s="2606"/>
      <c r="H125" s="2601" t="s">
        <v>373</v>
      </c>
      <c r="I125" s="2613"/>
      <c r="J125" s="2614"/>
      <c r="K125" s="2615"/>
      <c r="L125" s="2338"/>
      <c r="M125" s="2339"/>
      <c r="N125" s="2618"/>
      <c r="O125" s="2619">
        <v>1</v>
      </c>
      <c r="P125" s="2620" t="s">
        <v>19</v>
      </c>
      <c r="Q125" s="2573" t="s">
        <v>22</v>
      </c>
      <c r="R125" s="2573" t="s">
        <v>22</v>
      </c>
      <c r="S125" s="2573" t="s">
        <v>22</v>
      </c>
      <c r="T125" s="2573" t="s">
        <v>22</v>
      </c>
      <c r="U125" s="2573" t="s">
        <v>22</v>
      </c>
      <c r="V125" s="2573" t="s">
        <v>22</v>
      </c>
      <c r="W125" s="2573" t="s">
        <v>22</v>
      </c>
      <c r="X125" s="2573" t="s">
        <v>22</v>
      </c>
      <c r="Y125" s="2573"/>
      <c r="Z125" s="1093"/>
      <c r="AA125" s="1094"/>
      <c r="AB125" s="1094"/>
      <c r="AC125" s="1098"/>
      <c r="AD125" s="1098"/>
      <c r="AE125" s="1099"/>
      <c r="AF125" s="2616"/>
      <c r="AG125" s="2617"/>
      <c r="AH125" s="2617"/>
      <c r="AI125" s="2616"/>
      <c r="AJ125" s="2617"/>
      <c r="AK125" s="2617"/>
      <c r="AL125" s="1900"/>
      <c r="AM125" s="1738"/>
      <c r="AN125" s="1738"/>
      <c r="AO125" s="1738"/>
      <c r="AP125" s="1738"/>
      <c r="AQ125" s="1738"/>
      <c r="AR125" s="1738"/>
      <c r="AS125" s="1738"/>
      <c r="AT125" s="1738"/>
      <c r="AU125" s="1738"/>
      <c r="AV125" s="1738"/>
      <c r="AW125" s="1738"/>
      <c r="AX125" s="1738"/>
      <c r="AY125" s="1738"/>
      <c r="AZ125" s="1738"/>
      <c r="BA125" s="1738"/>
      <c r="BB125" s="1738"/>
      <c r="BC125" s="1738"/>
      <c r="BD125" s="1738"/>
      <c r="BE125" s="1738"/>
      <c r="BF125" s="1738"/>
    </row>
    <row r="126" spans="1:58" ht="11.25" customHeight="1">
      <c r="A126" s="1084" t="s">
        <v>992</v>
      </c>
      <c r="B126" s="1084"/>
      <c r="C126" s="1084"/>
      <c r="D126" s="1078"/>
      <c r="E126" s="1088"/>
      <c r="F126" s="2605"/>
      <c r="G126" s="2606"/>
      <c r="H126" s="2601" t="s">
        <v>373</v>
      </c>
      <c r="I126" s="2613"/>
      <c r="J126" s="2614"/>
      <c r="K126" s="2615"/>
      <c r="L126" s="2338"/>
      <c r="M126" s="2339"/>
      <c r="N126" s="2618"/>
      <c r="O126" s="2619"/>
      <c r="P126" s="2621"/>
      <c r="Q126" s="2573"/>
      <c r="R126" s="2573"/>
      <c r="S126" s="2623"/>
      <c r="T126" s="2573"/>
      <c r="U126" s="2573"/>
      <c r="V126" s="2573"/>
      <c r="W126" s="2573"/>
      <c r="X126" s="2573"/>
      <c r="Y126" s="2573"/>
      <c r="Z126" s="1743"/>
      <c r="AA126" s="1711">
        <v>1</v>
      </c>
      <c r="AB126" s="1097" t="s">
        <v>1028</v>
      </c>
      <c r="AC126" s="1087">
        <v>14495.34051</v>
      </c>
      <c r="AD126" s="1097" t="str">
        <f>AB126</f>
        <v xml:space="preserve">  Прочие</v>
      </c>
      <c r="AE126" s="1087"/>
      <c r="AF126" s="2616"/>
      <c r="AG126" s="2617"/>
      <c r="AH126" s="2617"/>
      <c r="AI126" s="2616"/>
      <c r="AJ126" s="2617"/>
      <c r="AK126" s="2617"/>
      <c r="AL126" s="1900"/>
      <c r="AM126" s="1738"/>
      <c r="AN126" s="1738"/>
      <c r="AO126" s="1738"/>
      <c r="AP126" s="1738"/>
      <c r="AQ126" s="1738"/>
      <c r="AR126" s="1738"/>
      <c r="AS126" s="1738"/>
      <c r="AT126" s="1738"/>
      <c r="AU126" s="1738"/>
      <c r="AV126" s="1738"/>
      <c r="AW126" s="1738"/>
      <c r="AX126" s="1738"/>
      <c r="AY126" s="1738"/>
      <c r="AZ126" s="1738"/>
      <c r="BA126" s="1738"/>
      <c r="BB126" s="1738"/>
      <c r="BC126" s="1738"/>
      <c r="BD126" s="1738"/>
      <c r="BE126" s="1738"/>
      <c r="BF126" s="1738"/>
    </row>
    <row r="127" spans="1:58" ht="11.25" customHeight="1">
      <c r="A127" s="1084" t="s">
        <v>992</v>
      </c>
      <c r="B127" s="1084"/>
      <c r="C127" s="1084"/>
      <c r="D127" s="1078"/>
      <c r="E127" s="1088"/>
      <c r="F127" s="2605"/>
      <c r="G127" s="2606"/>
      <c r="H127" s="2601" t="s">
        <v>373</v>
      </c>
      <c r="I127" s="2613"/>
      <c r="J127" s="2614"/>
      <c r="K127" s="2615"/>
      <c r="L127" s="2338"/>
      <c r="M127" s="2339"/>
      <c r="N127" s="2618"/>
      <c r="O127" s="2619"/>
      <c r="P127" s="2622"/>
      <c r="Q127" s="2573"/>
      <c r="R127" s="2573"/>
      <c r="S127" s="2623"/>
      <c r="T127" s="2573"/>
      <c r="U127" s="2573"/>
      <c r="V127" s="2573"/>
      <c r="W127" s="2573"/>
      <c r="X127" s="2573"/>
      <c r="Y127" s="2573"/>
      <c r="Z127" s="1093"/>
      <c r="AA127" s="1094"/>
      <c r="AB127" s="1159" t="s">
        <v>1029</v>
      </c>
      <c r="AC127" s="1098"/>
      <c r="AD127" s="1098"/>
      <c r="AE127" s="1100"/>
      <c r="AF127" s="2616"/>
      <c r="AG127" s="2617"/>
      <c r="AH127" s="2617"/>
      <c r="AI127" s="2616"/>
      <c r="AJ127" s="2617"/>
      <c r="AK127" s="2617"/>
      <c r="AL127" s="1900"/>
      <c r="AM127" s="1738"/>
      <c r="AN127" s="1738"/>
      <c r="AO127" s="1738"/>
      <c r="AP127" s="1738"/>
      <c r="AQ127" s="1738"/>
      <c r="AR127" s="1738"/>
      <c r="AS127" s="1738"/>
      <c r="AT127" s="1738"/>
      <c r="AU127" s="1738"/>
      <c r="AV127" s="1738"/>
      <c r="AW127" s="1738"/>
      <c r="AX127" s="1738"/>
      <c r="AY127" s="1738"/>
      <c r="AZ127" s="1738"/>
      <c r="BA127" s="1738"/>
      <c r="BB127" s="1738"/>
      <c r="BC127" s="1738"/>
      <c r="BD127" s="1738"/>
      <c r="BE127" s="1738"/>
      <c r="BF127" s="1738"/>
    </row>
    <row r="128" spans="1:58" ht="11.25" customHeight="1">
      <c r="A128" s="1084" t="s">
        <v>992</v>
      </c>
      <c r="B128" s="1084"/>
      <c r="C128" s="1084"/>
      <c r="D128" s="1078"/>
      <c r="E128" s="1088"/>
      <c r="F128" s="2605"/>
      <c r="G128" s="2606"/>
      <c r="H128" s="2601" t="s">
        <v>373</v>
      </c>
      <c r="I128" s="2613"/>
      <c r="J128" s="2614"/>
      <c r="K128" s="2615"/>
      <c r="L128" s="2338"/>
      <c r="M128" s="2339"/>
      <c r="N128" s="1093"/>
      <c r="O128" s="1094"/>
      <c r="P128" s="1086" t="s">
        <v>1030</v>
      </c>
      <c r="Q128" s="1094"/>
      <c r="R128" s="1094"/>
      <c r="S128" s="1094"/>
      <c r="T128" s="1094"/>
      <c r="U128" s="1094"/>
      <c r="V128" s="1094"/>
      <c r="W128" s="1094"/>
      <c r="X128" s="1094"/>
      <c r="Y128" s="1094"/>
      <c r="Z128" s="1094"/>
      <c r="AA128" s="1094"/>
      <c r="AB128" s="1094"/>
      <c r="AC128" s="1094"/>
      <c r="AD128" s="1094"/>
      <c r="AE128" s="1101"/>
      <c r="AF128" s="2616"/>
      <c r="AG128" s="2617"/>
      <c r="AH128" s="2617"/>
      <c r="AI128" s="2616"/>
      <c r="AJ128" s="2617"/>
      <c r="AK128" s="2617"/>
      <c r="AL128" s="1900"/>
      <c r="AM128" s="1738"/>
      <c r="AN128" s="1738"/>
      <c r="AO128" s="1738"/>
      <c r="AP128" s="1738"/>
      <c r="AQ128" s="1738"/>
      <c r="AR128" s="1738"/>
      <c r="AS128" s="1738"/>
      <c r="AT128" s="1738"/>
      <c r="AU128" s="1738"/>
      <c r="AV128" s="1738"/>
      <c r="AW128" s="1738"/>
      <c r="AX128" s="1738"/>
      <c r="AY128" s="1738"/>
      <c r="AZ128" s="1738"/>
      <c r="BA128" s="1738"/>
      <c r="BB128" s="1738"/>
      <c r="BC128" s="1738"/>
      <c r="BD128" s="1738"/>
      <c r="BE128" s="1738"/>
      <c r="BF128" s="1738"/>
    </row>
    <row r="129" spans="1:58" ht="11.25" customHeight="1">
      <c r="A129" s="1084" t="s">
        <v>992</v>
      </c>
      <c r="B129" s="1084" t="s">
        <v>1031</v>
      </c>
      <c r="C129" s="1084"/>
      <c r="D129" s="1078"/>
      <c r="E129" s="1088"/>
      <c r="F129" s="2605"/>
      <c r="G129" s="2590" t="s">
        <v>686</v>
      </c>
      <c r="H129" s="2601" t="s">
        <v>109</v>
      </c>
      <c r="I129" s="2613" t="s">
        <v>1032</v>
      </c>
      <c r="J129" s="2624" t="s">
        <v>1033</v>
      </c>
      <c r="K129" s="2615" t="s">
        <v>1034</v>
      </c>
      <c r="L129" s="2338" t="s">
        <v>19</v>
      </c>
      <c r="M129" s="2339"/>
      <c r="N129" s="1898"/>
      <c r="O129" s="1095" t="s">
        <v>373</v>
      </c>
      <c r="P129" s="1096"/>
      <c r="Q129" s="1096"/>
      <c r="R129" s="1096"/>
      <c r="S129" s="1096"/>
      <c r="T129" s="1096"/>
      <c r="U129" s="1096"/>
      <c r="V129" s="1096"/>
      <c r="W129" s="1096"/>
      <c r="X129" s="1096"/>
      <c r="Y129" s="1096"/>
      <c r="Z129" s="1096"/>
      <c r="AA129" s="1096"/>
      <c r="AB129" s="1096"/>
      <c r="AC129" s="1096"/>
      <c r="AD129" s="1096"/>
      <c r="AE129" s="1096"/>
      <c r="AF129" s="2616">
        <v>11</v>
      </c>
      <c r="AG129" s="2617" t="s">
        <v>1026</v>
      </c>
      <c r="AH129" s="2617" t="s">
        <v>1035</v>
      </c>
      <c r="AI129" s="2616"/>
      <c r="AJ129" s="2617"/>
      <c r="AK129" s="2617"/>
      <c r="AL129" s="1900"/>
      <c r="AM129" s="1738"/>
      <c r="AN129" s="1738"/>
      <c r="AO129" s="1738"/>
      <c r="AP129" s="1738"/>
      <c r="AQ129" s="1738"/>
      <c r="AR129" s="1738"/>
      <c r="AS129" s="1738"/>
      <c r="AT129" s="1738"/>
      <c r="AU129" s="1738"/>
      <c r="AV129" s="1738"/>
      <c r="AW129" s="1738"/>
      <c r="AX129" s="1738"/>
      <c r="AY129" s="1738"/>
      <c r="AZ129" s="1738"/>
      <c r="BA129" s="1738"/>
      <c r="BB129" s="1738"/>
      <c r="BC129" s="1738"/>
      <c r="BD129" s="1738"/>
      <c r="BE129" s="1738"/>
      <c r="BF129" s="1738"/>
    </row>
    <row r="130" spans="1:58" ht="11.25" customHeight="1">
      <c r="A130" s="1084" t="s">
        <v>992</v>
      </c>
      <c r="B130" s="1084"/>
      <c r="C130" s="1084"/>
      <c r="D130" s="1078"/>
      <c r="E130" s="1088"/>
      <c r="F130" s="2605"/>
      <c r="G130" s="2606"/>
      <c r="H130" s="2601" t="s">
        <v>108</v>
      </c>
      <c r="I130" s="2613"/>
      <c r="J130" s="2624"/>
      <c r="K130" s="2615"/>
      <c r="L130" s="2338"/>
      <c r="M130" s="2339"/>
      <c r="N130" s="2618"/>
      <c r="O130" s="2619">
        <v>1</v>
      </c>
      <c r="P130" s="2620" t="s">
        <v>19</v>
      </c>
      <c r="Q130" s="2573" t="s">
        <v>22</v>
      </c>
      <c r="R130" s="2573" t="s">
        <v>22</v>
      </c>
      <c r="S130" s="2573" t="s">
        <v>22</v>
      </c>
      <c r="T130" s="2573" t="s">
        <v>22</v>
      </c>
      <c r="U130" s="2573" t="s">
        <v>22</v>
      </c>
      <c r="V130" s="2573" t="s">
        <v>22</v>
      </c>
      <c r="W130" s="2573" t="s">
        <v>22</v>
      </c>
      <c r="X130" s="2573" t="s">
        <v>22</v>
      </c>
      <c r="Y130" s="2573"/>
      <c r="Z130" s="1093"/>
      <c r="AA130" s="1094"/>
      <c r="AB130" s="1094"/>
      <c r="AC130" s="1098"/>
      <c r="AD130" s="1098"/>
      <c r="AE130" s="1099"/>
      <c r="AF130" s="2616"/>
      <c r="AG130" s="2617"/>
      <c r="AH130" s="2617"/>
      <c r="AI130" s="2616"/>
      <c r="AJ130" s="2617"/>
      <c r="AK130" s="2617"/>
      <c r="AL130" s="1900"/>
      <c r="AM130" s="1738"/>
      <c r="AN130" s="1738"/>
      <c r="AO130" s="1738"/>
      <c r="AP130" s="1738"/>
      <c r="AQ130" s="1738"/>
      <c r="AR130" s="1738"/>
      <c r="AS130" s="1738"/>
      <c r="AT130" s="1738"/>
      <c r="AU130" s="1738"/>
      <c r="AV130" s="1738"/>
      <c r="AW130" s="1738"/>
      <c r="AX130" s="1738"/>
      <c r="AY130" s="1738"/>
      <c r="AZ130" s="1738"/>
      <c r="BA130" s="1738"/>
      <c r="BB130" s="1738"/>
      <c r="BC130" s="1738"/>
      <c r="BD130" s="1738"/>
      <c r="BE130" s="1738"/>
      <c r="BF130" s="1738"/>
    </row>
    <row r="131" spans="1:58" ht="11.25" customHeight="1">
      <c r="A131" s="1084" t="s">
        <v>992</v>
      </c>
      <c r="B131" s="1084"/>
      <c r="C131" s="1084"/>
      <c r="D131" s="1078"/>
      <c r="E131" s="1088"/>
      <c r="F131" s="2605"/>
      <c r="G131" s="2606"/>
      <c r="H131" s="2601" t="s">
        <v>108</v>
      </c>
      <c r="I131" s="2613"/>
      <c r="J131" s="2624"/>
      <c r="K131" s="2615"/>
      <c r="L131" s="2338"/>
      <c r="M131" s="2339"/>
      <c r="N131" s="2618"/>
      <c r="O131" s="2619"/>
      <c r="P131" s="2621"/>
      <c r="Q131" s="2573"/>
      <c r="R131" s="2573"/>
      <c r="S131" s="2623"/>
      <c r="T131" s="2573"/>
      <c r="U131" s="2573"/>
      <c r="V131" s="2573"/>
      <c r="W131" s="2573"/>
      <c r="X131" s="2573"/>
      <c r="Y131" s="2573"/>
      <c r="Z131" s="1743"/>
      <c r="AA131" s="1711">
        <v>1</v>
      </c>
      <c r="AB131" s="1097" t="s">
        <v>1036</v>
      </c>
      <c r="AC131" s="1087">
        <v>283596.186804005</v>
      </c>
      <c r="AD131" s="1097" t="str">
        <f>AB131</f>
        <v xml:space="preserve">      Прочие амортизационные отчисления</v>
      </c>
      <c r="AE131" s="1087"/>
      <c r="AF131" s="2616"/>
      <c r="AG131" s="2617"/>
      <c r="AH131" s="2617"/>
      <c r="AI131" s="2616"/>
      <c r="AJ131" s="2617"/>
      <c r="AK131" s="2617"/>
      <c r="AL131" s="1900"/>
      <c r="AM131" s="1738"/>
      <c r="AN131" s="1738"/>
      <c r="AO131" s="1738"/>
      <c r="AP131" s="1738"/>
      <c r="AQ131" s="1738"/>
      <c r="AR131" s="1738"/>
      <c r="AS131" s="1738"/>
      <c r="AT131" s="1738"/>
      <c r="AU131" s="1738"/>
      <c r="AV131" s="1738"/>
      <c r="AW131" s="1738"/>
      <c r="AX131" s="1738"/>
      <c r="AY131" s="1738"/>
      <c r="AZ131" s="1738"/>
      <c r="BA131" s="1738"/>
      <c r="BB131" s="1738"/>
      <c r="BC131" s="1738"/>
      <c r="BD131" s="1738"/>
      <c r="BE131" s="1738"/>
      <c r="BF131" s="1738"/>
    </row>
    <row r="132" spans="1:58" ht="11.25" customHeight="1">
      <c r="A132" s="1084" t="s">
        <v>992</v>
      </c>
      <c r="B132" s="1084"/>
      <c r="C132" s="1084"/>
      <c r="D132" s="1078"/>
      <c r="E132" s="1088"/>
      <c r="F132" s="2606"/>
      <c r="G132" s="2606"/>
      <c r="H132" s="2606"/>
      <c r="I132" s="2606"/>
      <c r="J132" s="2606"/>
      <c r="K132" s="2606"/>
      <c r="L132" s="2606"/>
      <c r="M132" s="2606"/>
      <c r="N132" s="2606"/>
      <c r="O132" s="2606"/>
      <c r="P132" s="2606"/>
      <c r="Q132" s="2606"/>
      <c r="R132" s="2606"/>
      <c r="S132" s="2606"/>
      <c r="T132" s="2606"/>
      <c r="U132" s="2606"/>
      <c r="V132" s="2606"/>
      <c r="W132" s="2606"/>
      <c r="X132" s="2606"/>
      <c r="Y132" s="2606"/>
      <c r="Z132" s="2054" t="s">
        <v>686</v>
      </c>
      <c r="AA132" s="1731" t="s">
        <v>109</v>
      </c>
      <c r="AB132" s="1097" t="s">
        <v>1064</v>
      </c>
      <c r="AC132" s="1087">
        <v>627000</v>
      </c>
      <c r="AD132" s="1097" t="str">
        <f>AB132</f>
        <v xml:space="preserve">  Прибыль направляемая на инвестиции</v>
      </c>
      <c r="AE132" s="1087"/>
      <c r="AF132" s="2625"/>
      <c r="AG132" s="2626"/>
      <c r="AH132" s="2626"/>
      <c r="AI132" s="2625"/>
      <c r="AJ132" s="2626"/>
      <c r="AK132" s="2627"/>
      <c r="AL132" s="1900"/>
      <c r="AM132" s="1738"/>
      <c r="AN132" s="1738"/>
      <c r="AO132" s="1738"/>
      <c r="AP132" s="1738"/>
      <c r="AQ132" s="1738"/>
      <c r="AR132" s="1738"/>
      <c r="AS132" s="1738"/>
      <c r="AT132" s="1738"/>
      <c r="AU132" s="1738"/>
      <c r="AV132" s="1738"/>
      <c r="AW132" s="1738"/>
      <c r="AX132" s="1738"/>
      <c r="AY132" s="1738"/>
      <c r="AZ132" s="1738"/>
      <c r="BA132" s="1738"/>
      <c r="BB132" s="1738"/>
      <c r="BC132" s="1738"/>
      <c r="BD132" s="1738"/>
      <c r="BE132" s="1738"/>
      <c r="BF132" s="1738"/>
    </row>
    <row r="133" spans="1:58" ht="11.25" customHeight="1">
      <c r="A133" s="1084" t="s">
        <v>992</v>
      </c>
      <c r="B133" s="1084"/>
      <c r="C133" s="1084"/>
      <c r="D133" s="1078"/>
      <c r="E133" s="1088"/>
      <c r="F133" s="2606"/>
      <c r="G133" s="2606"/>
      <c r="H133" s="2606"/>
      <c r="I133" s="2606"/>
      <c r="J133" s="2606"/>
      <c r="K133" s="2606"/>
      <c r="L133" s="2606"/>
      <c r="M133" s="2606"/>
      <c r="N133" s="2606"/>
      <c r="O133" s="2606"/>
      <c r="P133" s="2606"/>
      <c r="Q133" s="2606"/>
      <c r="R133" s="2606"/>
      <c r="S133" s="2606"/>
      <c r="T133" s="2606"/>
      <c r="U133" s="2606"/>
      <c r="V133" s="2606"/>
      <c r="W133" s="2606"/>
      <c r="X133" s="2606"/>
      <c r="Y133" s="2606"/>
      <c r="Z133" s="2054" t="s">
        <v>686</v>
      </c>
      <c r="AA133" s="1731" t="s">
        <v>92</v>
      </c>
      <c r="AB133" s="1097" t="s">
        <v>1039</v>
      </c>
      <c r="AC133" s="1087">
        <v>216278.091255865</v>
      </c>
      <c r="AD133" s="1097" t="str">
        <f>AB133</f>
        <v xml:space="preserve">  Прочие собственные средства</v>
      </c>
      <c r="AE133" s="1087"/>
      <c r="AF133" s="2625"/>
      <c r="AG133" s="2626"/>
      <c r="AH133" s="2626"/>
      <c r="AI133" s="2625"/>
      <c r="AJ133" s="2626"/>
      <c r="AK133" s="2627"/>
      <c r="AL133" s="1900"/>
      <c r="AM133" s="1738"/>
      <c r="AN133" s="1738"/>
      <c r="AO133" s="1738"/>
      <c r="AP133" s="1738"/>
      <c r="AQ133" s="1738"/>
      <c r="AR133" s="1738"/>
      <c r="AS133" s="1738"/>
      <c r="AT133" s="1738"/>
      <c r="AU133" s="1738"/>
      <c r="AV133" s="1738"/>
      <c r="AW133" s="1738"/>
      <c r="AX133" s="1738"/>
      <c r="AY133" s="1738"/>
      <c r="AZ133" s="1738"/>
      <c r="BA133" s="1738"/>
      <c r="BB133" s="1738"/>
      <c r="BC133" s="1738"/>
      <c r="BD133" s="1738"/>
      <c r="BE133" s="1738"/>
      <c r="BF133" s="1738"/>
    </row>
    <row r="134" spans="1:58" ht="11.25" customHeight="1">
      <c r="A134" s="1084" t="s">
        <v>992</v>
      </c>
      <c r="B134" s="1084"/>
      <c r="C134" s="1084"/>
      <c r="D134" s="1078"/>
      <c r="E134" s="1088"/>
      <c r="F134" s="2605"/>
      <c r="G134" s="2606"/>
      <c r="H134" s="2601" t="s">
        <v>108</v>
      </c>
      <c r="I134" s="2613"/>
      <c r="J134" s="2624"/>
      <c r="K134" s="2615"/>
      <c r="L134" s="2338"/>
      <c r="M134" s="2339"/>
      <c r="N134" s="2618"/>
      <c r="O134" s="2619"/>
      <c r="P134" s="2622"/>
      <c r="Q134" s="2573"/>
      <c r="R134" s="2573"/>
      <c r="S134" s="2623"/>
      <c r="T134" s="2573"/>
      <c r="U134" s="2573"/>
      <c r="V134" s="2573"/>
      <c r="W134" s="2573"/>
      <c r="X134" s="2573"/>
      <c r="Y134" s="2573"/>
      <c r="Z134" s="1093"/>
      <c r="AA134" s="1094"/>
      <c r="AB134" s="1159" t="s">
        <v>1029</v>
      </c>
      <c r="AC134" s="1098"/>
      <c r="AD134" s="1098"/>
      <c r="AE134" s="1100"/>
      <c r="AF134" s="2616"/>
      <c r="AG134" s="2617"/>
      <c r="AH134" s="2617"/>
      <c r="AI134" s="2616"/>
      <c r="AJ134" s="2617"/>
      <c r="AK134" s="2617"/>
      <c r="AL134" s="1900"/>
      <c r="AM134" s="1738"/>
      <c r="AN134" s="1738"/>
      <c r="AO134" s="1738"/>
      <c r="AP134" s="1738"/>
      <c r="AQ134" s="1738"/>
      <c r="AR134" s="1738"/>
      <c r="AS134" s="1738"/>
      <c r="AT134" s="1738"/>
      <c r="AU134" s="1738"/>
      <c r="AV134" s="1738"/>
      <c r="AW134" s="1738"/>
      <c r="AX134" s="1738"/>
      <c r="AY134" s="1738"/>
      <c r="AZ134" s="1738"/>
      <c r="BA134" s="1738"/>
      <c r="BB134" s="1738"/>
      <c r="BC134" s="1738"/>
      <c r="BD134" s="1738"/>
      <c r="BE134" s="1738"/>
      <c r="BF134" s="1738"/>
    </row>
    <row r="135" spans="1:58" ht="11.25" customHeight="1">
      <c r="A135" s="1084" t="s">
        <v>992</v>
      </c>
      <c r="B135" s="1084"/>
      <c r="C135" s="1084"/>
      <c r="D135" s="1078"/>
      <c r="E135" s="1088"/>
      <c r="F135" s="2605"/>
      <c r="G135" s="2606"/>
      <c r="H135" s="2601" t="s">
        <v>108</v>
      </c>
      <c r="I135" s="2613"/>
      <c r="J135" s="2624"/>
      <c r="K135" s="2615"/>
      <c r="L135" s="2338"/>
      <c r="M135" s="2339"/>
      <c r="N135" s="1093"/>
      <c r="O135" s="1094"/>
      <c r="P135" s="1086" t="s">
        <v>1030</v>
      </c>
      <c r="Q135" s="1094"/>
      <c r="R135" s="1094"/>
      <c r="S135" s="1094"/>
      <c r="T135" s="1094"/>
      <c r="U135" s="1094"/>
      <c r="V135" s="1094"/>
      <c r="W135" s="1094"/>
      <c r="X135" s="1094"/>
      <c r="Y135" s="1094"/>
      <c r="Z135" s="1094"/>
      <c r="AA135" s="1094"/>
      <c r="AB135" s="1094"/>
      <c r="AC135" s="1094"/>
      <c r="AD135" s="1094"/>
      <c r="AE135" s="1101"/>
      <c r="AF135" s="2616"/>
      <c r="AG135" s="2617"/>
      <c r="AH135" s="2617"/>
      <c r="AI135" s="2616"/>
      <c r="AJ135" s="2617"/>
      <c r="AK135" s="2617"/>
      <c r="AL135" s="1900"/>
      <c r="AM135" s="1738"/>
      <c r="AN135" s="1738"/>
      <c r="AO135" s="1738"/>
      <c r="AP135" s="1738"/>
      <c r="AQ135" s="1738"/>
      <c r="AR135" s="1738"/>
      <c r="AS135" s="1738"/>
      <c r="AT135" s="1738"/>
      <c r="AU135" s="1738"/>
      <c r="AV135" s="1738"/>
      <c r="AW135" s="1738"/>
      <c r="AX135" s="1738"/>
      <c r="AY135" s="1738"/>
      <c r="AZ135" s="1738"/>
      <c r="BA135" s="1738"/>
      <c r="BB135" s="1738"/>
      <c r="BC135" s="1738"/>
      <c r="BD135" s="1738"/>
      <c r="BE135" s="1738"/>
      <c r="BF135" s="1738"/>
    </row>
    <row r="136" spans="1:58" ht="11.25" customHeight="1">
      <c r="A136" s="1084" t="s">
        <v>992</v>
      </c>
      <c r="B136" s="1084" t="s">
        <v>1031</v>
      </c>
      <c r="C136" s="1084"/>
      <c r="D136" s="1078"/>
      <c r="E136" s="1088"/>
      <c r="F136" s="2605"/>
      <c r="G136" s="2590" t="s">
        <v>686</v>
      </c>
      <c r="H136" s="2601" t="s">
        <v>92</v>
      </c>
      <c r="I136" s="2613" t="s">
        <v>1032</v>
      </c>
      <c r="J136" s="2624" t="s">
        <v>1033</v>
      </c>
      <c r="K136" s="2615" t="s">
        <v>1037</v>
      </c>
      <c r="L136" s="2338" t="s">
        <v>19</v>
      </c>
      <c r="M136" s="2339"/>
      <c r="N136" s="1898"/>
      <c r="O136" s="1095" t="s">
        <v>373</v>
      </c>
      <c r="P136" s="1096"/>
      <c r="Q136" s="1096"/>
      <c r="R136" s="1096"/>
      <c r="S136" s="1096"/>
      <c r="T136" s="1096"/>
      <c r="U136" s="1096"/>
      <c r="V136" s="1096"/>
      <c r="W136" s="1096"/>
      <c r="X136" s="1096"/>
      <c r="Y136" s="1096"/>
      <c r="Z136" s="1096"/>
      <c r="AA136" s="1096"/>
      <c r="AB136" s="1096"/>
      <c r="AC136" s="1096"/>
      <c r="AD136" s="1096"/>
      <c r="AE136" s="1096"/>
      <c r="AF136" s="2616">
        <v>14</v>
      </c>
      <c r="AG136" s="2617" t="s">
        <v>1026</v>
      </c>
      <c r="AH136" s="2617" t="s">
        <v>1035</v>
      </c>
      <c r="AI136" s="2616"/>
      <c r="AJ136" s="2617"/>
      <c r="AK136" s="2617"/>
      <c r="AL136" s="1900"/>
      <c r="AM136" s="1738"/>
      <c r="AN136" s="1738"/>
      <c r="AO136" s="1738"/>
      <c r="AP136" s="1738"/>
      <c r="AQ136" s="1738"/>
      <c r="AR136" s="1738"/>
      <c r="AS136" s="1738"/>
      <c r="AT136" s="1738"/>
      <c r="AU136" s="1738"/>
      <c r="AV136" s="1738"/>
      <c r="AW136" s="1738"/>
      <c r="AX136" s="1738"/>
      <c r="AY136" s="1738"/>
      <c r="AZ136" s="1738"/>
      <c r="BA136" s="1738"/>
      <c r="BB136" s="1738"/>
      <c r="BC136" s="1738"/>
      <c r="BD136" s="1738"/>
      <c r="BE136" s="1738"/>
      <c r="BF136" s="1738"/>
    </row>
    <row r="137" spans="1:58" ht="11.25" customHeight="1">
      <c r="A137" s="1084" t="s">
        <v>992</v>
      </c>
      <c r="B137" s="1084"/>
      <c r="C137" s="1084"/>
      <c r="D137" s="1078"/>
      <c r="E137" s="1088"/>
      <c r="F137" s="2605"/>
      <c r="G137" s="2606"/>
      <c r="H137" s="2601" t="s">
        <v>109</v>
      </c>
      <c r="I137" s="2613"/>
      <c r="J137" s="2624"/>
      <c r="K137" s="2615"/>
      <c r="L137" s="2338"/>
      <c r="M137" s="2339"/>
      <c r="N137" s="2618"/>
      <c r="O137" s="2619">
        <v>1</v>
      </c>
      <c r="P137" s="2620" t="s">
        <v>19</v>
      </c>
      <c r="Q137" s="2573" t="s">
        <v>22</v>
      </c>
      <c r="R137" s="2573" t="s">
        <v>22</v>
      </c>
      <c r="S137" s="2573" t="s">
        <v>22</v>
      </c>
      <c r="T137" s="2573" t="s">
        <v>22</v>
      </c>
      <c r="U137" s="2573" t="s">
        <v>22</v>
      </c>
      <c r="V137" s="2573" t="s">
        <v>22</v>
      </c>
      <c r="W137" s="2573" t="s">
        <v>22</v>
      </c>
      <c r="X137" s="2573" t="s">
        <v>22</v>
      </c>
      <c r="Y137" s="2573"/>
      <c r="Z137" s="1093"/>
      <c r="AA137" s="1094"/>
      <c r="AB137" s="1094"/>
      <c r="AC137" s="1098"/>
      <c r="AD137" s="1098"/>
      <c r="AE137" s="1099"/>
      <c r="AF137" s="2616"/>
      <c r="AG137" s="2617"/>
      <c r="AH137" s="2617"/>
      <c r="AI137" s="2616"/>
      <c r="AJ137" s="2617"/>
      <c r="AK137" s="2617"/>
      <c r="AL137" s="1900"/>
      <c r="AM137" s="1738"/>
      <c r="AN137" s="1738"/>
      <c r="AO137" s="1738"/>
      <c r="AP137" s="1738"/>
      <c r="AQ137" s="1738"/>
      <c r="AR137" s="1738"/>
      <c r="AS137" s="1738"/>
      <c r="AT137" s="1738"/>
      <c r="AU137" s="1738"/>
      <c r="AV137" s="1738"/>
      <c r="AW137" s="1738"/>
      <c r="AX137" s="1738"/>
      <c r="AY137" s="1738"/>
      <c r="AZ137" s="1738"/>
      <c r="BA137" s="1738"/>
      <c r="BB137" s="1738"/>
      <c r="BC137" s="1738"/>
      <c r="BD137" s="1738"/>
      <c r="BE137" s="1738"/>
      <c r="BF137" s="1738"/>
    </row>
    <row r="138" spans="1:58" ht="11.25" customHeight="1">
      <c r="A138" s="1084" t="s">
        <v>992</v>
      </c>
      <c r="B138" s="1084"/>
      <c r="C138" s="1084"/>
      <c r="D138" s="1078"/>
      <c r="E138" s="1088"/>
      <c r="F138" s="2605"/>
      <c r="G138" s="2606"/>
      <c r="H138" s="2601" t="s">
        <v>109</v>
      </c>
      <c r="I138" s="2613"/>
      <c r="J138" s="2624"/>
      <c r="K138" s="2615"/>
      <c r="L138" s="2338"/>
      <c r="M138" s="2339"/>
      <c r="N138" s="2618"/>
      <c r="O138" s="2619"/>
      <c r="P138" s="2621"/>
      <c r="Q138" s="2573"/>
      <c r="R138" s="2573"/>
      <c r="S138" s="2623"/>
      <c r="T138" s="2573"/>
      <c r="U138" s="2573"/>
      <c r="V138" s="2573"/>
      <c r="W138" s="2573"/>
      <c r="X138" s="2573"/>
      <c r="Y138" s="2573"/>
      <c r="Z138" s="1743"/>
      <c r="AA138" s="1711">
        <v>1</v>
      </c>
      <c r="AB138" s="1097" t="s">
        <v>1036</v>
      </c>
      <c r="AC138" s="1087">
        <v>792901.51421789604</v>
      </c>
      <c r="AD138" s="1097" t="str">
        <f>AB138</f>
        <v xml:space="preserve">      Прочие амортизационные отчисления</v>
      </c>
      <c r="AE138" s="1087"/>
      <c r="AF138" s="2616"/>
      <c r="AG138" s="2617"/>
      <c r="AH138" s="2617"/>
      <c r="AI138" s="2616"/>
      <c r="AJ138" s="2617"/>
      <c r="AK138" s="2617"/>
      <c r="AL138" s="1900"/>
      <c r="AM138" s="1738"/>
      <c r="AN138" s="1738"/>
      <c r="AO138" s="1738"/>
      <c r="AP138" s="1738"/>
      <c r="AQ138" s="1738"/>
      <c r="AR138" s="1738"/>
      <c r="AS138" s="1738"/>
      <c r="AT138" s="1738"/>
      <c r="AU138" s="1738"/>
      <c r="AV138" s="1738"/>
      <c r="AW138" s="1738"/>
      <c r="AX138" s="1738"/>
      <c r="AY138" s="1738"/>
      <c r="AZ138" s="1738"/>
      <c r="BA138" s="1738"/>
      <c r="BB138" s="1738"/>
      <c r="BC138" s="1738"/>
      <c r="BD138" s="1738"/>
      <c r="BE138" s="1738"/>
      <c r="BF138" s="1738"/>
    </row>
    <row r="139" spans="1:58" ht="11.25" customHeight="1">
      <c r="A139" s="1084" t="s">
        <v>992</v>
      </c>
      <c r="B139" s="1084"/>
      <c r="C139" s="1084"/>
      <c r="D139" s="1078"/>
      <c r="E139" s="1088"/>
      <c r="F139" s="2606"/>
      <c r="G139" s="2606"/>
      <c r="H139" s="2606"/>
      <c r="I139" s="2606"/>
      <c r="J139" s="2606"/>
      <c r="K139" s="2606"/>
      <c r="L139" s="2606"/>
      <c r="M139" s="2606"/>
      <c r="N139" s="2606"/>
      <c r="O139" s="2606"/>
      <c r="P139" s="2606"/>
      <c r="Q139" s="2606"/>
      <c r="R139" s="2606"/>
      <c r="S139" s="2606"/>
      <c r="T139" s="2606"/>
      <c r="U139" s="2606"/>
      <c r="V139" s="2606"/>
      <c r="W139" s="2606"/>
      <c r="X139" s="2606"/>
      <c r="Y139" s="2606"/>
      <c r="Z139" s="2054" t="s">
        <v>686</v>
      </c>
      <c r="AA139" s="1731" t="s">
        <v>109</v>
      </c>
      <c r="AB139" s="1097" t="s">
        <v>1028</v>
      </c>
      <c r="AC139" s="1087">
        <v>1214610.1494421</v>
      </c>
      <c r="AD139" s="1097" t="str">
        <f>AB139</f>
        <v xml:space="preserve">  Прочие</v>
      </c>
      <c r="AE139" s="1087"/>
      <c r="AF139" s="2625"/>
      <c r="AG139" s="2626"/>
      <c r="AH139" s="2626"/>
      <c r="AI139" s="2625"/>
      <c r="AJ139" s="2626"/>
      <c r="AK139" s="2627"/>
      <c r="AL139" s="1900"/>
      <c r="AM139" s="1738"/>
      <c r="AN139" s="1738"/>
      <c r="AO139" s="1738"/>
      <c r="AP139" s="1738"/>
      <c r="AQ139" s="1738"/>
      <c r="AR139" s="1738"/>
      <c r="AS139" s="1738"/>
      <c r="AT139" s="1738"/>
      <c r="AU139" s="1738"/>
      <c r="AV139" s="1738"/>
      <c r="AW139" s="1738"/>
      <c r="AX139" s="1738"/>
      <c r="AY139" s="1738"/>
      <c r="AZ139" s="1738"/>
      <c r="BA139" s="1738"/>
      <c r="BB139" s="1738"/>
      <c r="BC139" s="1738"/>
      <c r="BD139" s="1738"/>
      <c r="BE139" s="1738"/>
      <c r="BF139" s="1738"/>
    </row>
    <row r="140" spans="1:58" ht="11.25" customHeight="1">
      <c r="A140" s="1084" t="s">
        <v>992</v>
      </c>
      <c r="B140" s="1084"/>
      <c r="C140" s="1084"/>
      <c r="D140" s="1078"/>
      <c r="E140" s="1088"/>
      <c r="F140" s="2605"/>
      <c r="G140" s="2606"/>
      <c r="H140" s="2601" t="s">
        <v>109</v>
      </c>
      <c r="I140" s="2613"/>
      <c r="J140" s="2624"/>
      <c r="K140" s="2615"/>
      <c r="L140" s="2338"/>
      <c r="M140" s="2339"/>
      <c r="N140" s="2618"/>
      <c r="O140" s="2619"/>
      <c r="P140" s="2622"/>
      <c r="Q140" s="2573"/>
      <c r="R140" s="2573"/>
      <c r="S140" s="2623"/>
      <c r="T140" s="2573"/>
      <c r="U140" s="2573"/>
      <c r="V140" s="2573"/>
      <c r="W140" s="2573"/>
      <c r="X140" s="2573"/>
      <c r="Y140" s="2573"/>
      <c r="Z140" s="1093"/>
      <c r="AA140" s="1094"/>
      <c r="AB140" s="1159" t="s">
        <v>1029</v>
      </c>
      <c r="AC140" s="1098"/>
      <c r="AD140" s="1098"/>
      <c r="AE140" s="1100"/>
      <c r="AF140" s="2616"/>
      <c r="AG140" s="2617"/>
      <c r="AH140" s="2617"/>
      <c r="AI140" s="2616"/>
      <c r="AJ140" s="2617"/>
      <c r="AK140" s="2617"/>
      <c r="AL140" s="1900"/>
      <c r="AM140" s="1738"/>
      <c r="AN140" s="1738"/>
      <c r="AO140" s="1738"/>
      <c r="AP140" s="1738"/>
      <c r="AQ140" s="1738"/>
      <c r="AR140" s="1738"/>
      <c r="AS140" s="1738"/>
      <c r="AT140" s="1738"/>
      <c r="AU140" s="1738"/>
      <c r="AV140" s="1738"/>
      <c r="AW140" s="1738"/>
      <c r="AX140" s="1738"/>
      <c r="AY140" s="1738"/>
      <c r="AZ140" s="1738"/>
      <c r="BA140" s="1738"/>
      <c r="BB140" s="1738"/>
      <c r="BC140" s="1738"/>
      <c r="BD140" s="1738"/>
      <c r="BE140" s="1738"/>
      <c r="BF140" s="1738"/>
    </row>
    <row r="141" spans="1:58" ht="11.25" customHeight="1">
      <c r="A141" s="1084" t="s">
        <v>992</v>
      </c>
      <c r="B141" s="1084"/>
      <c r="C141" s="1084"/>
      <c r="D141" s="1078"/>
      <c r="E141" s="1088"/>
      <c r="F141" s="2605"/>
      <c r="G141" s="2606"/>
      <c r="H141" s="2601" t="s">
        <v>109</v>
      </c>
      <c r="I141" s="2613"/>
      <c r="J141" s="2624"/>
      <c r="K141" s="2615"/>
      <c r="L141" s="2338"/>
      <c r="M141" s="2339"/>
      <c r="N141" s="1093"/>
      <c r="O141" s="1094"/>
      <c r="P141" s="1086" t="s">
        <v>1030</v>
      </c>
      <c r="Q141" s="1094"/>
      <c r="R141" s="1094"/>
      <c r="S141" s="1094"/>
      <c r="T141" s="1094"/>
      <c r="U141" s="1094"/>
      <c r="V141" s="1094"/>
      <c r="W141" s="1094"/>
      <c r="X141" s="1094"/>
      <c r="Y141" s="1094"/>
      <c r="Z141" s="1094"/>
      <c r="AA141" s="1094"/>
      <c r="AB141" s="1094"/>
      <c r="AC141" s="1094"/>
      <c r="AD141" s="1094"/>
      <c r="AE141" s="1101"/>
      <c r="AF141" s="2616"/>
      <c r="AG141" s="2617"/>
      <c r="AH141" s="2617"/>
      <c r="AI141" s="2616"/>
      <c r="AJ141" s="2617"/>
      <c r="AK141" s="2617"/>
      <c r="AL141" s="1900"/>
      <c r="AM141" s="1738"/>
      <c r="AN141" s="1738"/>
      <c r="AO141" s="1738"/>
      <c r="AP141" s="1738"/>
      <c r="AQ141" s="1738"/>
      <c r="AR141" s="1738"/>
      <c r="AS141" s="1738"/>
      <c r="AT141" s="1738"/>
      <c r="AU141" s="1738"/>
      <c r="AV141" s="1738"/>
      <c r="AW141" s="1738"/>
      <c r="AX141" s="1738"/>
      <c r="AY141" s="1738"/>
      <c r="AZ141" s="1738"/>
      <c r="BA141" s="1738"/>
      <c r="BB141" s="1738"/>
      <c r="BC141" s="1738"/>
      <c r="BD141" s="1738"/>
      <c r="BE141" s="1738"/>
      <c r="BF141" s="1738"/>
    </row>
    <row r="142" spans="1:58" ht="33" customHeight="1">
      <c r="A142" s="1084" t="s">
        <v>992</v>
      </c>
      <c r="B142" s="1084" t="s">
        <v>1031</v>
      </c>
      <c r="C142" s="1084"/>
      <c r="D142" s="1078"/>
      <c r="E142" s="1088"/>
      <c r="F142" s="2605"/>
      <c r="G142" s="2590" t="s">
        <v>686</v>
      </c>
      <c r="H142" s="2601" t="s">
        <v>93</v>
      </c>
      <c r="I142" s="2613" t="s">
        <v>1032</v>
      </c>
      <c r="J142" s="2624" t="s">
        <v>1033</v>
      </c>
      <c r="K142" s="2615" t="s">
        <v>1065</v>
      </c>
      <c r="L142" s="2338" t="s">
        <v>19</v>
      </c>
      <c r="M142" s="2339"/>
      <c r="N142" s="1898"/>
      <c r="O142" s="1095" t="s">
        <v>373</v>
      </c>
      <c r="P142" s="1096"/>
      <c r="Q142" s="1096"/>
      <c r="R142" s="1096"/>
      <c r="S142" s="1096"/>
      <c r="T142" s="1096"/>
      <c r="U142" s="1096"/>
      <c r="V142" s="1096"/>
      <c r="W142" s="1096"/>
      <c r="X142" s="1096"/>
      <c r="Y142" s="1096"/>
      <c r="Z142" s="1096"/>
      <c r="AA142" s="1096"/>
      <c r="AB142" s="1096"/>
      <c r="AC142" s="1096"/>
      <c r="AD142" s="1096"/>
      <c r="AE142" s="1096"/>
      <c r="AF142" s="2616">
        <v>4</v>
      </c>
      <c r="AG142" s="2617" t="s">
        <v>1026</v>
      </c>
      <c r="AH142" s="2617" t="s">
        <v>1035</v>
      </c>
      <c r="AI142" s="2616"/>
      <c r="AJ142" s="2617"/>
      <c r="AK142" s="2617"/>
      <c r="AL142" s="1900"/>
      <c r="AM142" s="1738"/>
      <c r="AN142" s="1738"/>
      <c r="AO142" s="1738"/>
      <c r="AP142" s="1738"/>
      <c r="AQ142" s="1738"/>
      <c r="AR142" s="1738"/>
      <c r="AS142" s="1738"/>
      <c r="AT142" s="1738"/>
      <c r="AU142" s="1738"/>
      <c r="AV142" s="1738"/>
      <c r="AW142" s="1738"/>
      <c r="AX142" s="1738"/>
      <c r="AY142" s="1738"/>
      <c r="AZ142" s="1738"/>
      <c r="BA142" s="1738"/>
      <c r="BB142" s="1738"/>
      <c r="BC142" s="1738"/>
      <c r="BD142" s="1738"/>
      <c r="BE142" s="1738"/>
      <c r="BF142" s="1738"/>
    </row>
    <row r="143" spans="1:58" ht="11.25" customHeight="1">
      <c r="A143" s="1084" t="s">
        <v>992</v>
      </c>
      <c r="B143" s="1084"/>
      <c r="C143" s="1084"/>
      <c r="D143" s="1078"/>
      <c r="E143" s="1088"/>
      <c r="F143" s="2605"/>
      <c r="G143" s="2606"/>
      <c r="H143" s="2601" t="s">
        <v>92</v>
      </c>
      <c r="I143" s="2613"/>
      <c r="J143" s="2624"/>
      <c r="K143" s="2615"/>
      <c r="L143" s="2338"/>
      <c r="M143" s="2339"/>
      <c r="N143" s="2618"/>
      <c r="O143" s="2619">
        <v>1</v>
      </c>
      <c r="P143" s="2620" t="s">
        <v>19</v>
      </c>
      <c r="Q143" s="2573" t="s">
        <v>22</v>
      </c>
      <c r="R143" s="2573" t="s">
        <v>22</v>
      </c>
      <c r="S143" s="2573" t="s">
        <v>22</v>
      </c>
      <c r="T143" s="2573" t="s">
        <v>22</v>
      </c>
      <c r="U143" s="2573" t="s">
        <v>22</v>
      </c>
      <c r="V143" s="2573" t="s">
        <v>22</v>
      </c>
      <c r="W143" s="2573" t="s">
        <v>22</v>
      </c>
      <c r="X143" s="2573" t="s">
        <v>22</v>
      </c>
      <c r="Y143" s="2573"/>
      <c r="Z143" s="1093"/>
      <c r="AA143" s="1094"/>
      <c r="AB143" s="1094"/>
      <c r="AC143" s="1098"/>
      <c r="AD143" s="1098"/>
      <c r="AE143" s="1099"/>
      <c r="AF143" s="2616"/>
      <c r="AG143" s="2617"/>
      <c r="AH143" s="2617"/>
      <c r="AI143" s="2616"/>
      <c r="AJ143" s="2617"/>
      <c r="AK143" s="2617"/>
      <c r="AL143" s="1900"/>
      <c r="AM143" s="1738"/>
      <c r="AN143" s="1738"/>
      <c r="AO143" s="1738"/>
      <c r="AP143" s="1738"/>
      <c r="AQ143" s="1738"/>
      <c r="AR143" s="1738"/>
      <c r="AS143" s="1738"/>
      <c r="AT143" s="1738"/>
      <c r="AU143" s="1738"/>
      <c r="AV143" s="1738"/>
      <c r="AW143" s="1738"/>
      <c r="AX143" s="1738"/>
      <c r="AY143" s="1738"/>
      <c r="AZ143" s="1738"/>
      <c r="BA143" s="1738"/>
      <c r="BB143" s="1738"/>
      <c r="BC143" s="1738"/>
      <c r="BD143" s="1738"/>
      <c r="BE143" s="1738"/>
      <c r="BF143" s="1738"/>
    </row>
    <row r="144" spans="1:58" ht="11.25" customHeight="1">
      <c r="A144" s="1084" t="s">
        <v>992</v>
      </c>
      <c r="B144" s="1084"/>
      <c r="C144" s="1084"/>
      <c r="D144" s="1078"/>
      <c r="E144" s="1088"/>
      <c r="F144" s="2605"/>
      <c r="G144" s="2606"/>
      <c r="H144" s="2601" t="s">
        <v>92</v>
      </c>
      <c r="I144" s="2613"/>
      <c r="J144" s="2624"/>
      <c r="K144" s="2615"/>
      <c r="L144" s="2338"/>
      <c r="M144" s="2339"/>
      <c r="N144" s="2618"/>
      <c r="O144" s="2619"/>
      <c r="P144" s="2621"/>
      <c r="Q144" s="2573"/>
      <c r="R144" s="2573"/>
      <c r="S144" s="2623"/>
      <c r="T144" s="2573"/>
      <c r="U144" s="2573"/>
      <c r="V144" s="2573"/>
      <c r="W144" s="2573"/>
      <c r="X144" s="2573"/>
      <c r="Y144" s="2573"/>
      <c r="Z144" s="1743"/>
      <c r="AA144" s="1711">
        <v>1</v>
      </c>
      <c r="AB144" s="1097" t="s">
        <v>1028</v>
      </c>
      <c r="AC144" s="1087">
        <v>3498.46</v>
      </c>
      <c r="AD144" s="1097" t="str">
        <f>AB144</f>
        <v xml:space="preserve">  Прочие</v>
      </c>
      <c r="AE144" s="1087"/>
      <c r="AF144" s="2616"/>
      <c r="AG144" s="2617"/>
      <c r="AH144" s="2617"/>
      <c r="AI144" s="2616"/>
      <c r="AJ144" s="2617"/>
      <c r="AK144" s="2617"/>
      <c r="AL144" s="1900"/>
      <c r="AM144" s="1738"/>
      <c r="AN144" s="1738"/>
      <c r="AO144" s="1738"/>
      <c r="AP144" s="1738"/>
      <c r="AQ144" s="1738"/>
      <c r="AR144" s="1738"/>
      <c r="AS144" s="1738"/>
      <c r="AT144" s="1738"/>
      <c r="AU144" s="1738"/>
      <c r="AV144" s="1738"/>
      <c r="AW144" s="1738"/>
      <c r="AX144" s="1738"/>
      <c r="AY144" s="1738"/>
      <c r="AZ144" s="1738"/>
      <c r="BA144" s="1738"/>
      <c r="BB144" s="1738"/>
      <c r="BC144" s="1738"/>
      <c r="BD144" s="1738"/>
      <c r="BE144" s="1738"/>
      <c r="BF144" s="1738"/>
    </row>
    <row r="145" spans="1:58" ht="11.25" customHeight="1">
      <c r="A145" s="1084" t="s">
        <v>992</v>
      </c>
      <c r="B145" s="1084"/>
      <c r="C145" s="1084"/>
      <c r="D145" s="1078"/>
      <c r="E145" s="1088"/>
      <c r="F145" s="2605"/>
      <c r="G145" s="2606"/>
      <c r="H145" s="2601" t="s">
        <v>92</v>
      </c>
      <c r="I145" s="2613"/>
      <c r="J145" s="2624"/>
      <c r="K145" s="2615"/>
      <c r="L145" s="2338"/>
      <c r="M145" s="2339"/>
      <c r="N145" s="2618"/>
      <c r="O145" s="2619"/>
      <c r="P145" s="2622"/>
      <c r="Q145" s="2573"/>
      <c r="R145" s="2573"/>
      <c r="S145" s="2623"/>
      <c r="T145" s="2573"/>
      <c r="U145" s="2573"/>
      <c r="V145" s="2573"/>
      <c r="W145" s="2573"/>
      <c r="X145" s="2573"/>
      <c r="Y145" s="2573"/>
      <c r="Z145" s="1093"/>
      <c r="AA145" s="1094"/>
      <c r="AB145" s="1159" t="s">
        <v>1029</v>
      </c>
      <c r="AC145" s="1098"/>
      <c r="AD145" s="1098"/>
      <c r="AE145" s="1100"/>
      <c r="AF145" s="2616"/>
      <c r="AG145" s="2617"/>
      <c r="AH145" s="2617"/>
      <c r="AI145" s="2616"/>
      <c r="AJ145" s="2617"/>
      <c r="AK145" s="2617"/>
      <c r="AL145" s="1900"/>
      <c r="AM145" s="1738"/>
      <c r="AN145" s="1738"/>
      <c r="AO145" s="1738"/>
      <c r="AP145" s="1738"/>
      <c r="AQ145" s="1738"/>
      <c r="AR145" s="1738"/>
      <c r="AS145" s="1738"/>
      <c r="AT145" s="1738"/>
      <c r="AU145" s="1738"/>
      <c r="AV145" s="1738"/>
      <c r="AW145" s="1738"/>
      <c r="AX145" s="1738"/>
      <c r="AY145" s="1738"/>
      <c r="AZ145" s="1738"/>
      <c r="BA145" s="1738"/>
      <c r="BB145" s="1738"/>
      <c r="BC145" s="1738"/>
      <c r="BD145" s="1738"/>
      <c r="BE145" s="1738"/>
      <c r="BF145" s="1738"/>
    </row>
    <row r="146" spans="1:58" ht="11.25" customHeight="1">
      <c r="A146" s="1084" t="s">
        <v>992</v>
      </c>
      <c r="B146" s="1084"/>
      <c r="C146" s="1084"/>
      <c r="D146" s="1078"/>
      <c r="E146" s="1088"/>
      <c r="F146" s="2605"/>
      <c r="G146" s="2606"/>
      <c r="H146" s="2601" t="s">
        <v>92</v>
      </c>
      <c r="I146" s="2613"/>
      <c r="J146" s="2624"/>
      <c r="K146" s="2615"/>
      <c r="L146" s="2338"/>
      <c r="M146" s="2339"/>
      <c r="N146" s="1093"/>
      <c r="O146" s="1094"/>
      <c r="P146" s="1086" t="s">
        <v>1030</v>
      </c>
      <c r="Q146" s="1094"/>
      <c r="R146" s="1094"/>
      <c r="S146" s="1094"/>
      <c r="T146" s="1094"/>
      <c r="U146" s="1094"/>
      <c r="V146" s="1094"/>
      <c r="W146" s="1094"/>
      <c r="X146" s="1094"/>
      <c r="Y146" s="1094"/>
      <c r="Z146" s="1094"/>
      <c r="AA146" s="1094"/>
      <c r="AB146" s="1094"/>
      <c r="AC146" s="1094"/>
      <c r="AD146" s="1094"/>
      <c r="AE146" s="1101"/>
      <c r="AF146" s="2616"/>
      <c r="AG146" s="2617"/>
      <c r="AH146" s="2617"/>
      <c r="AI146" s="2616"/>
      <c r="AJ146" s="2617"/>
      <c r="AK146" s="2617"/>
      <c r="AL146" s="1900"/>
      <c r="AM146" s="1738"/>
      <c r="AN146" s="1738"/>
      <c r="AO146" s="1738"/>
      <c r="AP146" s="1738"/>
      <c r="AQ146" s="1738"/>
      <c r="AR146" s="1738"/>
      <c r="AS146" s="1738"/>
      <c r="AT146" s="1738"/>
      <c r="AU146" s="1738"/>
      <c r="AV146" s="1738"/>
      <c r="AW146" s="1738"/>
      <c r="AX146" s="1738"/>
      <c r="AY146" s="1738"/>
      <c r="AZ146" s="1738"/>
      <c r="BA146" s="1738"/>
      <c r="BB146" s="1738"/>
      <c r="BC146" s="1738"/>
      <c r="BD146" s="1738"/>
      <c r="BE146" s="1738"/>
      <c r="BF146" s="1738"/>
    </row>
    <row r="147" spans="1:58" ht="21" customHeight="1">
      <c r="A147" s="1084" t="s">
        <v>992</v>
      </c>
      <c r="B147" s="1084" t="s">
        <v>1031</v>
      </c>
      <c r="C147" s="1084"/>
      <c r="D147" s="1078"/>
      <c r="E147" s="1088"/>
      <c r="F147" s="2605"/>
      <c r="G147" s="2590" t="s">
        <v>686</v>
      </c>
      <c r="H147" s="2601" t="s">
        <v>110</v>
      </c>
      <c r="I147" s="2613" t="s">
        <v>1032</v>
      </c>
      <c r="J147" s="2624" t="s">
        <v>1033</v>
      </c>
      <c r="K147" s="2615" t="s">
        <v>1040</v>
      </c>
      <c r="L147" s="2338" t="s">
        <v>19</v>
      </c>
      <c r="M147" s="2339"/>
      <c r="N147" s="1898"/>
      <c r="O147" s="1095" t="s">
        <v>373</v>
      </c>
      <c r="P147" s="1096"/>
      <c r="Q147" s="1096"/>
      <c r="R147" s="1096"/>
      <c r="S147" s="1096"/>
      <c r="T147" s="1096"/>
      <c r="U147" s="1096"/>
      <c r="V147" s="1096"/>
      <c r="W147" s="1096"/>
      <c r="X147" s="1096"/>
      <c r="Y147" s="1096"/>
      <c r="Z147" s="1096"/>
      <c r="AA147" s="1096"/>
      <c r="AB147" s="1096"/>
      <c r="AC147" s="1096"/>
      <c r="AD147" s="1096"/>
      <c r="AE147" s="1096"/>
      <c r="AF147" s="2616">
        <v>5</v>
      </c>
      <c r="AG147" s="2617" t="s">
        <v>1026</v>
      </c>
      <c r="AH147" s="2617" t="s">
        <v>1027</v>
      </c>
      <c r="AI147" s="2616"/>
      <c r="AJ147" s="2617"/>
      <c r="AK147" s="2617"/>
      <c r="AL147" s="1900"/>
      <c r="AM147" s="1738"/>
      <c r="AN147" s="1738"/>
      <c r="AO147" s="1738"/>
      <c r="AP147" s="1738"/>
      <c r="AQ147" s="1738"/>
      <c r="AR147" s="1738"/>
      <c r="AS147" s="1738"/>
      <c r="AT147" s="1738"/>
      <c r="AU147" s="1738"/>
      <c r="AV147" s="1738"/>
      <c r="AW147" s="1738"/>
      <c r="AX147" s="1738"/>
      <c r="AY147" s="1738"/>
      <c r="AZ147" s="1738"/>
      <c r="BA147" s="1738"/>
      <c r="BB147" s="1738"/>
      <c r="BC147" s="1738"/>
      <c r="BD147" s="1738"/>
      <c r="BE147" s="1738"/>
      <c r="BF147" s="1738"/>
    </row>
    <row r="148" spans="1:58" ht="21.75" customHeight="1">
      <c r="A148" s="1084" t="s">
        <v>992</v>
      </c>
      <c r="B148" s="1084"/>
      <c r="C148" s="1084"/>
      <c r="D148" s="1078"/>
      <c r="E148" s="1088"/>
      <c r="F148" s="2605"/>
      <c r="G148" s="2606"/>
      <c r="H148" s="2601" t="s">
        <v>93</v>
      </c>
      <c r="I148" s="2613"/>
      <c r="J148" s="2624"/>
      <c r="K148" s="2615"/>
      <c r="L148" s="2338"/>
      <c r="M148" s="2339"/>
      <c r="N148" s="2618"/>
      <c r="O148" s="2619">
        <v>1</v>
      </c>
      <c r="P148" s="2620" t="s">
        <v>19</v>
      </c>
      <c r="Q148" s="2573" t="s">
        <v>22</v>
      </c>
      <c r="R148" s="2573" t="s">
        <v>22</v>
      </c>
      <c r="S148" s="2573" t="s">
        <v>22</v>
      </c>
      <c r="T148" s="2573" t="s">
        <v>22</v>
      </c>
      <c r="U148" s="2573" t="s">
        <v>22</v>
      </c>
      <c r="V148" s="2573" t="s">
        <v>22</v>
      </c>
      <c r="W148" s="2573" t="s">
        <v>22</v>
      </c>
      <c r="X148" s="2573" t="s">
        <v>22</v>
      </c>
      <c r="Y148" s="2573"/>
      <c r="Z148" s="1093"/>
      <c r="AA148" s="1094"/>
      <c r="AB148" s="1094"/>
      <c r="AC148" s="1098"/>
      <c r="AD148" s="1098"/>
      <c r="AE148" s="1099"/>
      <c r="AF148" s="2616"/>
      <c r="AG148" s="2617"/>
      <c r="AH148" s="2617"/>
      <c r="AI148" s="2616"/>
      <c r="AJ148" s="2617"/>
      <c r="AK148" s="2617"/>
      <c r="AL148" s="1900"/>
      <c r="AM148" s="1738"/>
      <c r="AN148" s="1738"/>
      <c r="AO148" s="1738"/>
      <c r="AP148" s="1738"/>
      <c r="AQ148" s="1738"/>
      <c r="AR148" s="1738"/>
      <c r="AS148" s="1738"/>
      <c r="AT148" s="1738"/>
      <c r="AU148" s="1738"/>
      <c r="AV148" s="1738"/>
      <c r="AW148" s="1738"/>
      <c r="AX148" s="1738"/>
      <c r="AY148" s="1738"/>
      <c r="AZ148" s="1738"/>
      <c r="BA148" s="1738"/>
      <c r="BB148" s="1738"/>
      <c r="BC148" s="1738"/>
      <c r="BD148" s="1738"/>
      <c r="BE148" s="1738"/>
      <c r="BF148" s="1738"/>
    </row>
    <row r="149" spans="1:58" ht="17.25" customHeight="1">
      <c r="A149" s="1084" t="s">
        <v>992</v>
      </c>
      <c r="B149" s="1084"/>
      <c r="C149" s="1084"/>
      <c r="D149" s="1078"/>
      <c r="E149" s="1088"/>
      <c r="F149" s="2605"/>
      <c r="G149" s="2606"/>
      <c r="H149" s="2601" t="s">
        <v>93</v>
      </c>
      <c r="I149" s="2613"/>
      <c r="J149" s="2624"/>
      <c r="K149" s="2615"/>
      <c r="L149" s="2338"/>
      <c r="M149" s="2339"/>
      <c r="N149" s="2618"/>
      <c r="O149" s="2619"/>
      <c r="P149" s="2621"/>
      <c r="Q149" s="2573"/>
      <c r="R149" s="2573"/>
      <c r="S149" s="2623"/>
      <c r="T149" s="2573"/>
      <c r="U149" s="2573"/>
      <c r="V149" s="2573"/>
      <c r="W149" s="2573"/>
      <c r="X149" s="2573"/>
      <c r="Y149" s="2573"/>
      <c r="Z149" s="1743"/>
      <c r="AA149" s="1711">
        <v>1</v>
      </c>
      <c r="AB149" s="1097" t="s">
        <v>1036</v>
      </c>
      <c r="AC149" s="1087">
        <v>60087.630355200003</v>
      </c>
      <c r="AD149" s="1097" t="str">
        <f>AB149</f>
        <v xml:space="preserve">      Прочие амортизационные отчисления</v>
      </c>
      <c r="AE149" s="1087"/>
      <c r="AF149" s="2616"/>
      <c r="AG149" s="2617"/>
      <c r="AH149" s="2617"/>
      <c r="AI149" s="2616"/>
      <c r="AJ149" s="2617"/>
      <c r="AK149" s="2617"/>
      <c r="AL149" s="1900"/>
      <c r="AM149" s="1738"/>
      <c r="AN149" s="1738"/>
      <c r="AO149" s="1738"/>
      <c r="AP149" s="1738"/>
      <c r="AQ149" s="1738"/>
      <c r="AR149" s="1738"/>
      <c r="AS149" s="1738"/>
      <c r="AT149" s="1738"/>
      <c r="AU149" s="1738"/>
      <c r="AV149" s="1738"/>
      <c r="AW149" s="1738"/>
      <c r="AX149" s="1738"/>
      <c r="AY149" s="1738"/>
      <c r="AZ149" s="1738"/>
      <c r="BA149" s="1738"/>
      <c r="BB149" s="1738"/>
      <c r="BC149" s="1738"/>
      <c r="BD149" s="1738"/>
      <c r="BE149" s="1738"/>
      <c r="BF149" s="1738"/>
    </row>
    <row r="150" spans="1:58" ht="11.25" customHeight="1">
      <c r="A150" s="1084" t="s">
        <v>992</v>
      </c>
      <c r="B150" s="1084"/>
      <c r="C150" s="1084"/>
      <c r="D150" s="1078"/>
      <c r="E150" s="1088"/>
      <c r="F150" s="2606"/>
      <c r="G150" s="2606"/>
      <c r="H150" s="2606"/>
      <c r="I150" s="2606"/>
      <c r="J150" s="2606"/>
      <c r="K150" s="2606"/>
      <c r="L150" s="2606"/>
      <c r="M150" s="2606"/>
      <c r="N150" s="2606"/>
      <c r="O150" s="2606"/>
      <c r="P150" s="2606"/>
      <c r="Q150" s="2606"/>
      <c r="R150" s="2606"/>
      <c r="S150" s="2606"/>
      <c r="T150" s="2606"/>
      <c r="U150" s="2606"/>
      <c r="V150" s="2606"/>
      <c r="W150" s="2606"/>
      <c r="X150" s="2606"/>
      <c r="Y150" s="2606"/>
      <c r="Z150" s="2054" t="s">
        <v>686</v>
      </c>
      <c r="AA150" s="1731" t="s">
        <v>109</v>
      </c>
      <c r="AB150" s="1097" t="s">
        <v>1028</v>
      </c>
      <c r="AC150" s="1087">
        <v>5679.9734092500003</v>
      </c>
      <c r="AD150" s="1097" t="str">
        <f>AB150</f>
        <v xml:space="preserve">  Прочие</v>
      </c>
      <c r="AE150" s="1087"/>
      <c r="AF150" s="2625"/>
      <c r="AG150" s="2626"/>
      <c r="AH150" s="2626"/>
      <c r="AI150" s="2625"/>
      <c r="AJ150" s="2626"/>
      <c r="AK150" s="2627"/>
      <c r="AL150" s="1900"/>
      <c r="AM150" s="1738"/>
      <c r="AN150" s="1738"/>
      <c r="AO150" s="1738"/>
      <c r="AP150" s="1738"/>
      <c r="AQ150" s="1738"/>
      <c r="AR150" s="1738"/>
      <c r="AS150" s="1738"/>
      <c r="AT150" s="1738"/>
      <c r="AU150" s="1738"/>
      <c r="AV150" s="1738"/>
      <c r="AW150" s="1738"/>
      <c r="AX150" s="1738"/>
      <c r="AY150" s="1738"/>
      <c r="AZ150" s="1738"/>
      <c r="BA150" s="1738"/>
      <c r="BB150" s="1738"/>
      <c r="BC150" s="1738"/>
      <c r="BD150" s="1738"/>
      <c r="BE150" s="1738"/>
      <c r="BF150" s="1738"/>
    </row>
    <row r="151" spans="1:58" ht="18" customHeight="1">
      <c r="A151" s="1084" t="s">
        <v>992</v>
      </c>
      <c r="B151" s="1084"/>
      <c r="C151" s="1084"/>
      <c r="D151" s="1078"/>
      <c r="E151" s="1088"/>
      <c r="F151" s="2605"/>
      <c r="G151" s="2606"/>
      <c r="H151" s="2601" t="s">
        <v>93</v>
      </c>
      <c r="I151" s="2613"/>
      <c r="J151" s="2624"/>
      <c r="K151" s="2615"/>
      <c r="L151" s="2338"/>
      <c r="M151" s="2339"/>
      <c r="N151" s="2618"/>
      <c r="O151" s="2619"/>
      <c r="P151" s="2622"/>
      <c r="Q151" s="2573"/>
      <c r="R151" s="2573"/>
      <c r="S151" s="2623"/>
      <c r="T151" s="2573"/>
      <c r="U151" s="2573"/>
      <c r="V151" s="2573"/>
      <c r="W151" s="2573"/>
      <c r="X151" s="2573"/>
      <c r="Y151" s="2573"/>
      <c r="Z151" s="1093"/>
      <c r="AA151" s="1094"/>
      <c r="AB151" s="1159" t="s">
        <v>1029</v>
      </c>
      <c r="AC151" s="1098"/>
      <c r="AD151" s="1098"/>
      <c r="AE151" s="1100"/>
      <c r="AF151" s="2616"/>
      <c r="AG151" s="2617"/>
      <c r="AH151" s="2617"/>
      <c r="AI151" s="2616"/>
      <c r="AJ151" s="2617"/>
      <c r="AK151" s="2617"/>
      <c r="AL151" s="1900"/>
      <c r="AM151" s="1738"/>
      <c r="AN151" s="1738"/>
      <c r="AO151" s="1738"/>
      <c r="AP151" s="1738"/>
      <c r="AQ151" s="1738"/>
      <c r="AR151" s="1738"/>
      <c r="AS151" s="1738"/>
      <c r="AT151" s="1738"/>
      <c r="AU151" s="1738"/>
      <c r="AV151" s="1738"/>
      <c r="AW151" s="1738"/>
      <c r="AX151" s="1738"/>
      <c r="AY151" s="1738"/>
      <c r="AZ151" s="1738"/>
      <c r="BA151" s="1738"/>
      <c r="BB151" s="1738"/>
      <c r="BC151" s="1738"/>
      <c r="BD151" s="1738"/>
      <c r="BE151" s="1738"/>
      <c r="BF151" s="1738"/>
    </row>
    <row r="152" spans="1:58" ht="20.25" customHeight="1">
      <c r="A152" s="1084" t="s">
        <v>992</v>
      </c>
      <c r="B152" s="1084"/>
      <c r="C152" s="1084"/>
      <c r="D152" s="1078"/>
      <c r="E152" s="1088"/>
      <c r="F152" s="2605"/>
      <c r="G152" s="2606"/>
      <c r="H152" s="2601" t="s">
        <v>93</v>
      </c>
      <c r="I152" s="2613"/>
      <c r="J152" s="2624"/>
      <c r="K152" s="2615"/>
      <c r="L152" s="2338"/>
      <c r="M152" s="2339"/>
      <c r="N152" s="1093"/>
      <c r="O152" s="1094"/>
      <c r="P152" s="1086" t="s">
        <v>1030</v>
      </c>
      <c r="Q152" s="1094"/>
      <c r="R152" s="1094"/>
      <c r="S152" s="1094"/>
      <c r="T152" s="1094"/>
      <c r="U152" s="1094"/>
      <c r="V152" s="1094"/>
      <c r="W152" s="1094"/>
      <c r="X152" s="1094"/>
      <c r="Y152" s="1094"/>
      <c r="Z152" s="1094"/>
      <c r="AA152" s="1094"/>
      <c r="AB152" s="1094"/>
      <c r="AC152" s="1094"/>
      <c r="AD152" s="1094"/>
      <c r="AE152" s="1101"/>
      <c r="AF152" s="2616"/>
      <c r="AG152" s="2617"/>
      <c r="AH152" s="2617"/>
      <c r="AI152" s="2616"/>
      <c r="AJ152" s="2617"/>
      <c r="AK152" s="2617"/>
      <c r="AL152" s="1900"/>
      <c r="AM152" s="1738"/>
      <c r="AN152" s="1738"/>
      <c r="AO152" s="1738"/>
      <c r="AP152" s="1738"/>
      <c r="AQ152" s="1738"/>
      <c r="AR152" s="1738"/>
      <c r="AS152" s="1738"/>
      <c r="AT152" s="1738"/>
      <c r="AU152" s="1738"/>
      <c r="AV152" s="1738"/>
      <c r="AW152" s="1738"/>
      <c r="AX152" s="1738"/>
      <c r="AY152" s="1738"/>
      <c r="AZ152" s="1738"/>
      <c r="BA152" s="1738"/>
      <c r="BB152" s="1738"/>
      <c r="BC152" s="1738"/>
      <c r="BD152" s="1738"/>
      <c r="BE152" s="1738"/>
      <c r="BF152" s="1738"/>
    </row>
    <row r="153" spans="1:58" ht="27" customHeight="1">
      <c r="A153" s="1084" t="s">
        <v>992</v>
      </c>
      <c r="B153" s="1084" t="s">
        <v>1031</v>
      </c>
      <c r="C153" s="1084"/>
      <c r="D153" s="1078"/>
      <c r="E153" s="1088"/>
      <c r="F153" s="2605"/>
      <c r="G153" s="2590" t="s">
        <v>686</v>
      </c>
      <c r="H153" s="2601" t="s">
        <v>94</v>
      </c>
      <c r="I153" s="2613" t="s">
        <v>1032</v>
      </c>
      <c r="J153" s="2624" t="s">
        <v>1033</v>
      </c>
      <c r="K153" s="2615" t="s">
        <v>1041</v>
      </c>
      <c r="L153" s="2338" t="s">
        <v>19</v>
      </c>
      <c r="M153" s="2339"/>
      <c r="N153" s="1898"/>
      <c r="O153" s="1095" t="s">
        <v>373</v>
      </c>
      <c r="P153" s="1096"/>
      <c r="Q153" s="1096"/>
      <c r="R153" s="1096"/>
      <c r="S153" s="1096"/>
      <c r="T153" s="1096"/>
      <c r="U153" s="1096"/>
      <c r="V153" s="1096"/>
      <c r="W153" s="1096"/>
      <c r="X153" s="1096"/>
      <c r="Y153" s="1096"/>
      <c r="Z153" s="1096"/>
      <c r="AA153" s="1096"/>
      <c r="AB153" s="1096"/>
      <c r="AC153" s="1096"/>
      <c r="AD153" s="1096"/>
      <c r="AE153" s="1096"/>
      <c r="AF153" s="2616">
        <v>6</v>
      </c>
      <c r="AG153" s="2617" t="s">
        <v>1026</v>
      </c>
      <c r="AH153" s="2617" t="s">
        <v>1035</v>
      </c>
      <c r="AI153" s="2616"/>
      <c r="AJ153" s="2617"/>
      <c r="AK153" s="2617"/>
      <c r="AL153" s="1900"/>
      <c r="AM153" s="1738"/>
      <c r="AN153" s="1738"/>
      <c r="AO153" s="1738"/>
      <c r="AP153" s="1738"/>
      <c r="AQ153" s="1738"/>
      <c r="AR153" s="1738"/>
      <c r="AS153" s="1738"/>
      <c r="AT153" s="1738"/>
      <c r="AU153" s="1738"/>
      <c r="AV153" s="1738"/>
      <c r="AW153" s="1738"/>
      <c r="AX153" s="1738"/>
      <c r="AY153" s="1738"/>
      <c r="AZ153" s="1738"/>
      <c r="BA153" s="1738"/>
      <c r="BB153" s="1738"/>
      <c r="BC153" s="1738"/>
      <c r="BD153" s="1738"/>
      <c r="BE153" s="1738"/>
      <c r="BF153" s="1738"/>
    </row>
    <row r="154" spans="1:58" ht="11.25" customHeight="1">
      <c r="A154" s="1084" t="s">
        <v>992</v>
      </c>
      <c r="B154" s="1084"/>
      <c r="C154" s="1084"/>
      <c r="D154" s="1078"/>
      <c r="E154" s="1088"/>
      <c r="F154" s="2605"/>
      <c r="G154" s="2606"/>
      <c r="H154" s="2601" t="s">
        <v>110</v>
      </c>
      <c r="I154" s="2613"/>
      <c r="J154" s="2624"/>
      <c r="K154" s="2615"/>
      <c r="L154" s="2338"/>
      <c r="M154" s="2339"/>
      <c r="N154" s="2618"/>
      <c r="O154" s="2619">
        <v>1</v>
      </c>
      <c r="P154" s="2620" t="s">
        <v>19</v>
      </c>
      <c r="Q154" s="2573" t="s">
        <v>22</v>
      </c>
      <c r="R154" s="2573" t="s">
        <v>22</v>
      </c>
      <c r="S154" s="2573" t="s">
        <v>22</v>
      </c>
      <c r="T154" s="2573" t="s">
        <v>22</v>
      </c>
      <c r="U154" s="2573" t="s">
        <v>22</v>
      </c>
      <c r="V154" s="2573" t="s">
        <v>22</v>
      </c>
      <c r="W154" s="2573" t="s">
        <v>22</v>
      </c>
      <c r="X154" s="2573" t="s">
        <v>22</v>
      </c>
      <c r="Y154" s="2573"/>
      <c r="Z154" s="1093"/>
      <c r="AA154" s="1094"/>
      <c r="AB154" s="1094"/>
      <c r="AC154" s="1098"/>
      <c r="AD154" s="1098"/>
      <c r="AE154" s="1099"/>
      <c r="AF154" s="2616"/>
      <c r="AG154" s="2617"/>
      <c r="AH154" s="2617"/>
      <c r="AI154" s="2616"/>
      <c r="AJ154" s="2617"/>
      <c r="AK154" s="2617"/>
      <c r="AL154" s="1900"/>
      <c r="AM154" s="1738"/>
      <c r="AN154" s="1738"/>
      <c r="AO154" s="1738"/>
      <c r="AP154" s="1738"/>
      <c r="AQ154" s="1738"/>
      <c r="AR154" s="1738"/>
      <c r="AS154" s="1738"/>
      <c r="AT154" s="1738"/>
      <c r="AU154" s="1738"/>
      <c r="AV154" s="1738"/>
      <c r="AW154" s="1738"/>
      <c r="AX154" s="1738"/>
      <c r="AY154" s="1738"/>
      <c r="AZ154" s="1738"/>
      <c r="BA154" s="1738"/>
      <c r="BB154" s="1738"/>
      <c r="BC154" s="1738"/>
      <c r="BD154" s="1738"/>
      <c r="BE154" s="1738"/>
      <c r="BF154" s="1738"/>
    </row>
    <row r="155" spans="1:58" ht="23.25" customHeight="1">
      <c r="A155" s="1084" t="s">
        <v>992</v>
      </c>
      <c r="B155" s="1084"/>
      <c r="C155" s="1084"/>
      <c r="D155" s="1078"/>
      <c r="E155" s="1088"/>
      <c r="F155" s="2605"/>
      <c r="G155" s="2606"/>
      <c r="H155" s="2601" t="s">
        <v>110</v>
      </c>
      <c r="I155" s="2613"/>
      <c r="J155" s="2624"/>
      <c r="K155" s="2615"/>
      <c r="L155" s="2338"/>
      <c r="M155" s="2339"/>
      <c r="N155" s="2618"/>
      <c r="O155" s="2619"/>
      <c r="P155" s="2621"/>
      <c r="Q155" s="2573"/>
      <c r="R155" s="2573"/>
      <c r="S155" s="2623"/>
      <c r="T155" s="2573"/>
      <c r="U155" s="2573"/>
      <c r="V155" s="2573"/>
      <c r="W155" s="2573"/>
      <c r="X155" s="2573"/>
      <c r="Y155" s="2573"/>
      <c r="Z155" s="1743"/>
      <c r="AA155" s="1711">
        <v>1</v>
      </c>
      <c r="AB155" s="1097" t="s">
        <v>1028</v>
      </c>
      <c r="AC155" s="1087">
        <v>1022.47036</v>
      </c>
      <c r="AD155" s="1097" t="str">
        <f>AB155</f>
        <v xml:space="preserve">  Прочие</v>
      </c>
      <c r="AE155" s="1087"/>
      <c r="AF155" s="2616"/>
      <c r="AG155" s="2617"/>
      <c r="AH155" s="2617"/>
      <c r="AI155" s="2616"/>
      <c r="AJ155" s="2617"/>
      <c r="AK155" s="2617"/>
      <c r="AL155" s="1900"/>
      <c r="AM155" s="1738"/>
      <c r="AN155" s="1738"/>
      <c r="AO155" s="1738"/>
      <c r="AP155" s="1738"/>
      <c r="AQ155" s="1738"/>
      <c r="AR155" s="1738"/>
      <c r="AS155" s="1738"/>
      <c r="AT155" s="1738"/>
      <c r="AU155" s="1738"/>
      <c r="AV155" s="1738"/>
      <c r="AW155" s="1738"/>
      <c r="AX155" s="1738"/>
      <c r="AY155" s="1738"/>
      <c r="AZ155" s="1738"/>
      <c r="BA155" s="1738"/>
      <c r="BB155" s="1738"/>
      <c r="BC155" s="1738"/>
      <c r="BD155" s="1738"/>
      <c r="BE155" s="1738"/>
      <c r="BF155" s="1738"/>
    </row>
    <row r="156" spans="1:58" ht="19.5" customHeight="1">
      <c r="A156" s="1084" t="s">
        <v>992</v>
      </c>
      <c r="B156" s="1084"/>
      <c r="C156" s="1084"/>
      <c r="D156" s="1078"/>
      <c r="E156" s="1088"/>
      <c r="F156" s="2605"/>
      <c r="G156" s="2606"/>
      <c r="H156" s="2601" t="s">
        <v>110</v>
      </c>
      <c r="I156" s="2613"/>
      <c r="J156" s="2624"/>
      <c r="K156" s="2615"/>
      <c r="L156" s="2338"/>
      <c r="M156" s="2339"/>
      <c r="N156" s="2618"/>
      <c r="O156" s="2619"/>
      <c r="P156" s="2622"/>
      <c r="Q156" s="2573"/>
      <c r="R156" s="2573"/>
      <c r="S156" s="2623"/>
      <c r="T156" s="2573"/>
      <c r="U156" s="2573"/>
      <c r="V156" s="2573"/>
      <c r="W156" s="2573"/>
      <c r="X156" s="2573"/>
      <c r="Y156" s="2573"/>
      <c r="Z156" s="1093"/>
      <c r="AA156" s="1094"/>
      <c r="AB156" s="1159" t="s">
        <v>1029</v>
      </c>
      <c r="AC156" s="1098"/>
      <c r="AD156" s="1098"/>
      <c r="AE156" s="1100"/>
      <c r="AF156" s="2616"/>
      <c r="AG156" s="2617"/>
      <c r="AH156" s="2617"/>
      <c r="AI156" s="2616"/>
      <c r="AJ156" s="2617"/>
      <c r="AK156" s="2617"/>
      <c r="AL156" s="1900"/>
      <c r="AM156" s="1738"/>
      <c r="AN156" s="1738"/>
      <c r="AO156" s="1738"/>
      <c r="AP156" s="1738"/>
      <c r="AQ156" s="1738"/>
      <c r="AR156" s="1738"/>
      <c r="AS156" s="1738"/>
      <c r="AT156" s="1738"/>
      <c r="AU156" s="1738"/>
      <c r="AV156" s="1738"/>
      <c r="AW156" s="1738"/>
      <c r="AX156" s="1738"/>
      <c r="AY156" s="1738"/>
      <c r="AZ156" s="1738"/>
      <c r="BA156" s="1738"/>
      <c r="BB156" s="1738"/>
      <c r="BC156" s="1738"/>
      <c r="BD156" s="1738"/>
      <c r="BE156" s="1738"/>
      <c r="BF156" s="1738"/>
    </row>
    <row r="157" spans="1:58" ht="11.25" customHeight="1">
      <c r="A157" s="1084" t="s">
        <v>992</v>
      </c>
      <c r="B157" s="1084"/>
      <c r="C157" s="1084"/>
      <c r="D157" s="1078"/>
      <c r="E157" s="1088"/>
      <c r="F157" s="2605"/>
      <c r="G157" s="2606"/>
      <c r="H157" s="2601" t="s">
        <v>110</v>
      </c>
      <c r="I157" s="2613"/>
      <c r="J157" s="2624"/>
      <c r="K157" s="2615"/>
      <c r="L157" s="2338"/>
      <c r="M157" s="2339"/>
      <c r="N157" s="1093"/>
      <c r="O157" s="1094"/>
      <c r="P157" s="1086" t="s">
        <v>1030</v>
      </c>
      <c r="Q157" s="1094"/>
      <c r="R157" s="1094"/>
      <c r="S157" s="1094"/>
      <c r="T157" s="1094"/>
      <c r="U157" s="1094"/>
      <c r="V157" s="1094"/>
      <c r="W157" s="1094"/>
      <c r="X157" s="1094"/>
      <c r="Y157" s="1094"/>
      <c r="Z157" s="1094"/>
      <c r="AA157" s="1094"/>
      <c r="AB157" s="1094"/>
      <c r="AC157" s="1094"/>
      <c r="AD157" s="1094"/>
      <c r="AE157" s="1101"/>
      <c r="AF157" s="2616"/>
      <c r="AG157" s="2617"/>
      <c r="AH157" s="2617"/>
      <c r="AI157" s="2616"/>
      <c r="AJ157" s="2617"/>
      <c r="AK157" s="2617"/>
      <c r="AL157" s="1900"/>
      <c r="AM157" s="1738"/>
      <c r="AN157" s="1738"/>
      <c r="AO157" s="1738"/>
      <c r="AP157" s="1738"/>
      <c r="AQ157" s="1738"/>
      <c r="AR157" s="1738"/>
      <c r="AS157" s="1738"/>
      <c r="AT157" s="1738"/>
      <c r="AU157" s="1738"/>
      <c r="AV157" s="1738"/>
      <c r="AW157" s="1738"/>
      <c r="AX157" s="1738"/>
      <c r="AY157" s="1738"/>
      <c r="AZ157" s="1738"/>
      <c r="BA157" s="1738"/>
      <c r="BB157" s="1738"/>
      <c r="BC157" s="1738"/>
      <c r="BD157" s="1738"/>
      <c r="BE157" s="1738"/>
      <c r="BF157" s="1738"/>
    </row>
    <row r="158" spans="1:58" ht="27" customHeight="1">
      <c r="A158" s="1084" t="s">
        <v>992</v>
      </c>
      <c r="B158" s="1084" t="s">
        <v>1031</v>
      </c>
      <c r="C158" s="1084"/>
      <c r="D158" s="1078"/>
      <c r="E158" s="1088"/>
      <c r="F158" s="2605"/>
      <c r="G158" s="2590" t="s">
        <v>686</v>
      </c>
      <c r="H158" s="2601" t="s">
        <v>95</v>
      </c>
      <c r="I158" s="2613" t="s">
        <v>1032</v>
      </c>
      <c r="J158" s="2624" t="s">
        <v>1033</v>
      </c>
      <c r="K158" s="2615" t="s">
        <v>1066</v>
      </c>
      <c r="L158" s="2338" t="s">
        <v>19</v>
      </c>
      <c r="M158" s="2339"/>
      <c r="N158" s="1898"/>
      <c r="O158" s="1095" t="s">
        <v>373</v>
      </c>
      <c r="P158" s="1096"/>
      <c r="Q158" s="1096"/>
      <c r="R158" s="1096"/>
      <c r="S158" s="1096"/>
      <c r="T158" s="1096"/>
      <c r="U158" s="1096"/>
      <c r="V158" s="1096"/>
      <c r="W158" s="1096"/>
      <c r="X158" s="1096"/>
      <c r="Y158" s="1096"/>
      <c r="Z158" s="1096"/>
      <c r="AA158" s="1096"/>
      <c r="AB158" s="1096"/>
      <c r="AC158" s="1096"/>
      <c r="AD158" s="1096"/>
      <c r="AE158" s="1096"/>
      <c r="AF158" s="2616">
        <v>6</v>
      </c>
      <c r="AG158" s="2617" t="s">
        <v>1026</v>
      </c>
      <c r="AH158" s="2617" t="s">
        <v>1035</v>
      </c>
      <c r="AI158" s="2616"/>
      <c r="AJ158" s="2617"/>
      <c r="AK158" s="2617"/>
      <c r="AL158" s="1900"/>
      <c r="AM158" s="1738"/>
      <c r="AN158" s="1738"/>
      <c r="AO158" s="1738"/>
      <c r="AP158" s="1738"/>
      <c r="AQ158" s="1738"/>
      <c r="AR158" s="1738"/>
      <c r="AS158" s="1738"/>
      <c r="AT158" s="1738"/>
      <c r="AU158" s="1738"/>
      <c r="AV158" s="1738"/>
      <c r="AW158" s="1738"/>
      <c r="AX158" s="1738"/>
      <c r="AY158" s="1738"/>
      <c r="AZ158" s="1738"/>
      <c r="BA158" s="1738"/>
      <c r="BB158" s="1738"/>
      <c r="BC158" s="1738"/>
      <c r="BD158" s="1738"/>
      <c r="BE158" s="1738"/>
      <c r="BF158" s="1738"/>
    </row>
    <row r="159" spans="1:58" ht="11.25" customHeight="1">
      <c r="A159" s="1084" t="s">
        <v>992</v>
      </c>
      <c r="B159" s="1084"/>
      <c r="C159" s="1084"/>
      <c r="D159" s="1078"/>
      <c r="E159" s="1088"/>
      <c r="F159" s="2605"/>
      <c r="G159" s="2606"/>
      <c r="H159" s="2601" t="s">
        <v>94</v>
      </c>
      <c r="I159" s="2613"/>
      <c r="J159" s="2624"/>
      <c r="K159" s="2615"/>
      <c r="L159" s="2338"/>
      <c r="M159" s="2339"/>
      <c r="N159" s="2618"/>
      <c r="O159" s="2619">
        <v>1</v>
      </c>
      <c r="P159" s="2620" t="s">
        <v>19</v>
      </c>
      <c r="Q159" s="2573" t="s">
        <v>22</v>
      </c>
      <c r="R159" s="2573" t="s">
        <v>22</v>
      </c>
      <c r="S159" s="2573" t="s">
        <v>22</v>
      </c>
      <c r="T159" s="2573" t="s">
        <v>22</v>
      </c>
      <c r="U159" s="2573" t="s">
        <v>22</v>
      </c>
      <c r="V159" s="2573" t="s">
        <v>22</v>
      </c>
      <c r="W159" s="2573" t="s">
        <v>22</v>
      </c>
      <c r="X159" s="2573" t="s">
        <v>22</v>
      </c>
      <c r="Y159" s="2573"/>
      <c r="Z159" s="1093"/>
      <c r="AA159" s="1094"/>
      <c r="AB159" s="1094"/>
      <c r="AC159" s="1098"/>
      <c r="AD159" s="1098"/>
      <c r="AE159" s="1099"/>
      <c r="AF159" s="2616"/>
      <c r="AG159" s="2617"/>
      <c r="AH159" s="2617"/>
      <c r="AI159" s="2616"/>
      <c r="AJ159" s="2617"/>
      <c r="AK159" s="2617"/>
      <c r="AL159" s="1900"/>
      <c r="AM159" s="1738"/>
      <c r="AN159" s="1738"/>
      <c r="AO159" s="1738"/>
      <c r="AP159" s="1738"/>
      <c r="AQ159" s="1738"/>
      <c r="AR159" s="1738"/>
      <c r="AS159" s="1738"/>
      <c r="AT159" s="1738"/>
      <c r="AU159" s="1738"/>
      <c r="AV159" s="1738"/>
      <c r="AW159" s="1738"/>
      <c r="AX159" s="1738"/>
      <c r="AY159" s="1738"/>
      <c r="AZ159" s="1738"/>
      <c r="BA159" s="1738"/>
      <c r="BB159" s="1738"/>
      <c r="BC159" s="1738"/>
      <c r="BD159" s="1738"/>
      <c r="BE159" s="1738"/>
      <c r="BF159" s="1738"/>
    </row>
    <row r="160" spans="1:58" ht="11.25" customHeight="1">
      <c r="A160" s="1084" t="s">
        <v>992</v>
      </c>
      <c r="B160" s="1084"/>
      <c r="C160" s="1084"/>
      <c r="D160" s="1078"/>
      <c r="E160" s="1088"/>
      <c r="F160" s="2605"/>
      <c r="G160" s="2606"/>
      <c r="H160" s="2601" t="s">
        <v>94</v>
      </c>
      <c r="I160" s="2613"/>
      <c r="J160" s="2624"/>
      <c r="K160" s="2615"/>
      <c r="L160" s="2338"/>
      <c r="M160" s="2339"/>
      <c r="N160" s="2618"/>
      <c r="O160" s="2619"/>
      <c r="P160" s="2621"/>
      <c r="Q160" s="2573"/>
      <c r="R160" s="2573"/>
      <c r="S160" s="2623"/>
      <c r="T160" s="2573"/>
      <c r="U160" s="2573"/>
      <c r="V160" s="2573"/>
      <c r="W160" s="2573"/>
      <c r="X160" s="2573"/>
      <c r="Y160" s="2573"/>
      <c r="Z160" s="1743"/>
      <c r="AA160" s="1711">
        <v>1</v>
      </c>
      <c r="AB160" s="1097" t="s">
        <v>1028</v>
      </c>
      <c r="AC160" s="1087">
        <v>2381.4048864852598</v>
      </c>
      <c r="AD160" s="1097" t="str">
        <f>AB160</f>
        <v xml:space="preserve">  Прочие</v>
      </c>
      <c r="AE160" s="1087"/>
      <c r="AF160" s="2616"/>
      <c r="AG160" s="2617"/>
      <c r="AH160" s="2617"/>
      <c r="AI160" s="2616"/>
      <c r="AJ160" s="2617"/>
      <c r="AK160" s="2617"/>
      <c r="AL160" s="1900"/>
      <c r="AM160" s="1738"/>
      <c r="AN160" s="1738"/>
      <c r="AO160" s="1738"/>
      <c r="AP160" s="1738"/>
      <c r="AQ160" s="1738"/>
      <c r="AR160" s="1738"/>
      <c r="AS160" s="1738"/>
      <c r="AT160" s="1738"/>
      <c r="AU160" s="1738"/>
      <c r="AV160" s="1738"/>
      <c r="AW160" s="1738"/>
      <c r="AX160" s="1738"/>
      <c r="AY160" s="1738"/>
      <c r="AZ160" s="1738"/>
      <c r="BA160" s="1738"/>
      <c r="BB160" s="1738"/>
      <c r="BC160" s="1738"/>
      <c r="BD160" s="1738"/>
      <c r="BE160" s="1738"/>
      <c r="BF160" s="1738"/>
    </row>
    <row r="161" spans="1:58" ht="11.25" customHeight="1">
      <c r="A161" s="1084" t="s">
        <v>992</v>
      </c>
      <c r="B161" s="1084"/>
      <c r="C161" s="1084"/>
      <c r="D161" s="1078"/>
      <c r="E161" s="1088"/>
      <c r="F161" s="2605"/>
      <c r="G161" s="2606"/>
      <c r="H161" s="2601" t="s">
        <v>94</v>
      </c>
      <c r="I161" s="2613"/>
      <c r="J161" s="2624"/>
      <c r="K161" s="2615"/>
      <c r="L161" s="2338"/>
      <c r="M161" s="2339"/>
      <c r="N161" s="2618"/>
      <c r="O161" s="2619"/>
      <c r="P161" s="2622"/>
      <c r="Q161" s="2573"/>
      <c r="R161" s="2573"/>
      <c r="S161" s="2623"/>
      <c r="T161" s="2573"/>
      <c r="U161" s="2573"/>
      <c r="V161" s="2573"/>
      <c r="W161" s="2573"/>
      <c r="X161" s="2573"/>
      <c r="Y161" s="2573"/>
      <c r="Z161" s="1093"/>
      <c r="AA161" s="1094"/>
      <c r="AB161" s="1159" t="s">
        <v>1029</v>
      </c>
      <c r="AC161" s="1098"/>
      <c r="AD161" s="1098"/>
      <c r="AE161" s="1100"/>
      <c r="AF161" s="2616"/>
      <c r="AG161" s="2617"/>
      <c r="AH161" s="2617"/>
      <c r="AI161" s="2616"/>
      <c r="AJ161" s="2617"/>
      <c r="AK161" s="2617"/>
      <c r="AL161" s="1900"/>
      <c r="AM161" s="1738"/>
      <c r="AN161" s="1738"/>
      <c r="AO161" s="1738"/>
      <c r="AP161" s="1738"/>
      <c r="AQ161" s="1738"/>
      <c r="AR161" s="1738"/>
      <c r="AS161" s="1738"/>
      <c r="AT161" s="1738"/>
      <c r="AU161" s="1738"/>
      <c r="AV161" s="1738"/>
      <c r="AW161" s="1738"/>
      <c r="AX161" s="1738"/>
      <c r="AY161" s="1738"/>
      <c r="AZ161" s="1738"/>
      <c r="BA161" s="1738"/>
      <c r="BB161" s="1738"/>
      <c r="BC161" s="1738"/>
      <c r="BD161" s="1738"/>
      <c r="BE161" s="1738"/>
      <c r="BF161" s="1738"/>
    </row>
    <row r="162" spans="1:58" ht="11.25" customHeight="1">
      <c r="A162" s="1084" t="s">
        <v>992</v>
      </c>
      <c r="B162" s="1084"/>
      <c r="C162" s="1084"/>
      <c r="D162" s="1078"/>
      <c r="E162" s="1088"/>
      <c r="F162" s="2605"/>
      <c r="G162" s="2606"/>
      <c r="H162" s="2601" t="s">
        <v>94</v>
      </c>
      <c r="I162" s="2613"/>
      <c r="J162" s="2624"/>
      <c r="K162" s="2615"/>
      <c r="L162" s="2338"/>
      <c r="M162" s="2339"/>
      <c r="N162" s="1093"/>
      <c r="O162" s="1094"/>
      <c r="P162" s="1086" t="s">
        <v>1030</v>
      </c>
      <c r="Q162" s="1094"/>
      <c r="R162" s="1094"/>
      <c r="S162" s="1094"/>
      <c r="T162" s="1094"/>
      <c r="U162" s="1094"/>
      <c r="V162" s="1094"/>
      <c r="W162" s="1094"/>
      <c r="X162" s="1094"/>
      <c r="Y162" s="1094"/>
      <c r="Z162" s="1094"/>
      <c r="AA162" s="1094"/>
      <c r="AB162" s="1094"/>
      <c r="AC162" s="1094"/>
      <c r="AD162" s="1094"/>
      <c r="AE162" s="1101"/>
      <c r="AF162" s="2616"/>
      <c r="AG162" s="2617"/>
      <c r="AH162" s="2617"/>
      <c r="AI162" s="2616"/>
      <c r="AJ162" s="2617"/>
      <c r="AK162" s="2617"/>
      <c r="AL162" s="1900"/>
      <c r="AM162" s="1738"/>
      <c r="AN162" s="1738"/>
      <c r="AO162" s="1738"/>
      <c r="AP162" s="1738"/>
      <c r="AQ162" s="1738"/>
      <c r="AR162" s="1738"/>
      <c r="AS162" s="1738"/>
      <c r="AT162" s="1738"/>
      <c r="AU162" s="1738"/>
      <c r="AV162" s="1738"/>
      <c r="AW162" s="1738"/>
      <c r="AX162" s="1738"/>
      <c r="AY162" s="1738"/>
      <c r="AZ162" s="1738"/>
      <c r="BA162" s="1738"/>
      <c r="BB162" s="1738"/>
      <c r="BC162" s="1738"/>
      <c r="BD162" s="1738"/>
      <c r="BE162" s="1738"/>
      <c r="BF162" s="1738"/>
    </row>
    <row r="163" spans="1:58" ht="22.5" customHeight="1">
      <c r="A163" s="1084" t="s">
        <v>992</v>
      </c>
      <c r="B163" s="1084" t="s">
        <v>1031</v>
      </c>
      <c r="C163" s="1084"/>
      <c r="D163" s="1078"/>
      <c r="E163" s="1088"/>
      <c r="F163" s="2605"/>
      <c r="G163" s="2590" t="s">
        <v>686</v>
      </c>
      <c r="H163" s="2601" t="s">
        <v>111</v>
      </c>
      <c r="I163" s="2613" t="s">
        <v>1032</v>
      </c>
      <c r="J163" s="2624" t="s">
        <v>1033</v>
      </c>
      <c r="K163" s="2615" t="s">
        <v>1043</v>
      </c>
      <c r="L163" s="2338" t="s">
        <v>19</v>
      </c>
      <c r="M163" s="2339"/>
      <c r="N163" s="1898"/>
      <c r="O163" s="1095" t="s">
        <v>373</v>
      </c>
      <c r="P163" s="1096"/>
      <c r="Q163" s="1096"/>
      <c r="R163" s="1096"/>
      <c r="S163" s="1096"/>
      <c r="T163" s="1096"/>
      <c r="U163" s="1096"/>
      <c r="V163" s="1096"/>
      <c r="W163" s="1096"/>
      <c r="X163" s="1096"/>
      <c r="Y163" s="1096"/>
      <c r="Z163" s="1096"/>
      <c r="AA163" s="1096"/>
      <c r="AB163" s="1096"/>
      <c r="AC163" s="1096"/>
      <c r="AD163" s="1096"/>
      <c r="AE163" s="1096"/>
      <c r="AF163" s="2616">
        <v>4</v>
      </c>
      <c r="AG163" s="2617" t="s">
        <v>1026</v>
      </c>
      <c r="AH163" s="2617" t="s">
        <v>1035</v>
      </c>
      <c r="AI163" s="2616"/>
      <c r="AJ163" s="2617"/>
      <c r="AK163" s="2617"/>
      <c r="AL163" s="1900"/>
      <c r="AM163" s="1738"/>
      <c r="AN163" s="1738"/>
      <c r="AO163" s="1738"/>
      <c r="AP163" s="1738"/>
      <c r="AQ163" s="1738"/>
      <c r="AR163" s="1738"/>
      <c r="AS163" s="1738"/>
      <c r="AT163" s="1738"/>
      <c r="AU163" s="1738"/>
      <c r="AV163" s="1738"/>
      <c r="AW163" s="1738"/>
      <c r="AX163" s="1738"/>
      <c r="AY163" s="1738"/>
      <c r="AZ163" s="1738"/>
      <c r="BA163" s="1738"/>
      <c r="BB163" s="1738"/>
      <c r="BC163" s="1738"/>
      <c r="BD163" s="1738"/>
      <c r="BE163" s="1738"/>
      <c r="BF163" s="1738"/>
    </row>
    <row r="164" spans="1:58" ht="16.5" customHeight="1">
      <c r="A164" s="1084" t="s">
        <v>992</v>
      </c>
      <c r="B164" s="1084"/>
      <c r="C164" s="1084"/>
      <c r="D164" s="1078"/>
      <c r="E164" s="1088"/>
      <c r="F164" s="2605"/>
      <c r="G164" s="2606"/>
      <c r="H164" s="2601" t="s">
        <v>95</v>
      </c>
      <c r="I164" s="2613"/>
      <c r="J164" s="2624"/>
      <c r="K164" s="2615"/>
      <c r="L164" s="2338"/>
      <c r="M164" s="2339"/>
      <c r="N164" s="2618"/>
      <c r="O164" s="2619">
        <v>1</v>
      </c>
      <c r="P164" s="2620" t="s">
        <v>19</v>
      </c>
      <c r="Q164" s="2573" t="s">
        <v>22</v>
      </c>
      <c r="R164" s="2573" t="s">
        <v>22</v>
      </c>
      <c r="S164" s="2573" t="s">
        <v>22</v>
      </c>
      <c r="T164" s="2573" t="s">
        <v>22</v>
      </c>
      <c r="U164" s="2573" t="s">
        <v>22</v>
      </c>
      <c r="V164" s="2573" t="s">
        <v>22</v>
      </c>
      <c r="W164" s="2573" t="s">
        <v>22</v>
      </c>
      <c r="X164" s="2573" t="s">
        <v>22</v>
      </c>
      <c r="Y164" s="2573"/>
      <c r="Z164" s="1093"/>
      <c r="AA164" s="1094"/>
      <c r="AB164" s="1094"/>
      <c r="AC164" s="1098"/>
      <c r="AD164" s="1098"/>
      <c r="AE164" s="1099"/>
      <c r="AF164" s="2616"/>
      <c r="AG164" s="2617"/>
      <c r="AH164" s="2617"/>
      <c r="AI164" s="2616"/>
      <c r="AJ164" s="2617"/>
      <c r="AK164" s="2617"/>
      <c r="AL164" s="1900"/>
      <c r="AM164" s="1738"/>
      <c r="AN164" s="1738"/>
      <c r="AO164" s="1738"/>
      <c r="AP164" s="1738"/>
      <c r="AQ164" s="1738"/>
      <c r="AR164" s="1738"/>
      <c r="AS164" s="1738"/>
      <c r="AT164" s="1738"/>
      <c r="AU164" s="1738"/>
      <c r="AV164" s="1738"/>
      <c r="AW164" s="1738"/>
      <c r="AX164" s="1738"/>
      <c r="AY164" s="1738"/>
      <c r="AZ164" s="1738"/>
      <c r="BA164" s="1738"/>
      <c r="BB164" s="1738"/>
      <c r="BC164" s="1738"/>
      <c r="BD164" s="1738"/>
      <c r="BE164" s="1738"/>
      <c r="BF164" s="1738"/>
    </row>
    <row r="165" spans="1:58" ht="19.5" customHeight="1">
      <c r="A165" s="1084" t="s">
        <v>992</v>
      </c>
      <c r="B165" s="1084"/>
      <c r="C165" s="1084"/>
      <c r="D165" s="1078"/>
      <c r="E165" s="1088"/>
      <c r="F165" s="2605"/>
      <c r="G165" s="2606"/>
      <c r="H165" s="2601" t="s">
        <v>95</v>
      </c>
      <c r="I165" s="2613"/>
      <c r="J165" s="2624"/>
      <c r="K165" s="2615"/>
      <c r="L165" s="2338"/>
      <c r="M165" s="2339"/>
      <c r="N165" s="2618"/>
      <c r="O165" s="2619"/>
      <c r="P165" s="2621"/>
      <c r="Q165" s="2573"/>
      <c r="R165" s="2573"/>
      <c r="S165" s="2623"/>
      <c r="T165" s="2573"/>
      <c r="U165" s="2573"/>
      <c r="V165" s="2573"/>
      <c r="W165" s="2573"/>
      <c r="X165" s="2573"/>
      <c r="Y165" s="2573"/>
      <c r="Z165" s="1743"/>
      <c r="AA165" s="1711">
        <v>1</v>
      </c>
      <c r="AB165" s="1097" t="s">
        <v>1036</v>
      </c>
      <c r="AC165" s="1087">
        <v>100692.04760000001</v>
      </c>
      <c r="AD165" s="1097" t="str">
        <f>AB165</f>
        <v xml:space="preserve">      Прочие амортизационные отчисления</v>
      </c>
      <c r="AE165" s="1087"/>
      <c r="AF165" s="2616"/>
      <c r="AG165" s="2617"/>
      <c r="AH165" s="2617"/>
      <c r="AI165" s="2616"/>
      <c r="AJ165" s="2617"/>
      <c r="AK165" s="2617"/>
      <c r="AL165" s="1900"/>
      <c r="AM165" s="1738"/>
      <c r="AN165" s="1738"/>
      <c r="AO165" s="1738"/>
      <c r="AP165" s="1738"/>
      <c r="AQ165" s="1738"/>
      <c r="AR165" s="1738"/>
      <c r="AS165" s="1738"/>
      <c r="AT165" s="1738"/>
      <c r="AU165" s="1738"/>
      <c r="AV165" s="1738"/>
      <c r="AW165" s="1738"/>
      <c r="AX165" s="1738"/>
      <c r="AY165" s="1738"/>
      <c r="AZ165" s="1738"/>
      <c r="BA165" s="1738"/>
      <c r="BB165" s="1738"/>
      <c r="BC165" s="1738"/>
      <c r="BD165" s="1738"/>
      <c r="BE165" s="1738"/>
      <c r="BF165" s="1738"/>
    </row>
    <row r="166" spans="1:58" ht="11.25" customHeight="1">
      <c r="A166" s="1084" t="s">
        <v>992</v>
      </c>
      <c r="B166" s="1084"/>
      <c r="C166" s="1084"/>
      <c r="D166" s="1078"/>
      <c r="E166" s="1088"/>
      <c r="F166" s="2606"/>
      <c r="G166" s="2606"/>
      <c r="H166" s="2606"/>
      <c r="I166" s="2606"/>
      <c r="J166" s="2606"/>
      <c r="K166" s="2606"/>
      <c r="L166" s="2606"/>
      <c r="M166" s="2606"/>
      <c r="N166" s="2606"/>
      <c r="O166" s="2606"/>
      <c r="P166" s="2606"/>
      <c r="Q166" s="2606"/>
      <c r="R166" s="2606"/>
      <c r="S166" s="2606"/>
      <c r="T166" s="2606"/>
      <c r="U166" s="2606"/>
      <c r="V166" s="2606"/>
      <c r="W166" s="2606"/>
      <c r="X166" s="2606"/>
      <c r="Y166" s="2606"/>
      <c r="Z166" s="2054" t="s">
        <v>686</v>
      </c>
      <c r="AA166" s="1731" t="s">
        <v>109</v>
      </c>
      <c r="AB166" s="1097" t="s">
        <v>1028</v>
      </c>
      <c r="AC166" s="1087">
        <v>38432.172400000003</v>
      </c>
      <c r="AD166" s="1097" t="str">
        <f>AB166</f>
        <v xml:space="preserve">  Прочие</v>
      </c>
      <c r="AE166" s="1087"/>
      <c r="AF166" s="2625"/>
      <c r="AG166" s="2626"/>
      <c r="AH166" s="2626"/>
      <c r="AI166" s="2625"/>
      <c r="AJ166" s="2626"/>
      <c r="AK166" s="2627"/>
      <c r="AL166" s="1900"/>
      <c r="AM166" s="1738"/>
      <c r="AN166" s="1738"/>
      <c r="AO166" s="1738"/>
      <c r="AP166" s="1738"/>
      <c r="AQ166" s="1738"/>
      <c r="AR166" s="1738"/>
      <c r="AS166" s="1738"/>
      <c r="AT166" s="1738"/>
      <c r="AU166" s="1738"/>
      <c r="AV166" s="1738"/>
      <c r="AW166" s="1738"/>
      <c r="AX166" s="1738"/>
      <c r="AY166" s="1738"/>
      <c r="AZ166" s="1738"/>
      <c r="BA166" s="1738"/>
      <c r="BB166" s="1738"/>
      <c r="BC166" s="1738"/>
      <c r="BD166" s="1738"/>
      <c r="BE166" s="1738"/>
      <c r="BF166" s="1738"/>
    </row>
    <row r="167" spans="1:58" ht="24" customHeight="1">
      <c r="A167" s="1084" t="s">
        <v>992</v>
      </c>
      <c r="B167" s="1084"/>
      <c r="C167" s="1084"/>
      <c r="D167" s="1078"/>
      <c r="E167" s="1088"/>
      <c r="F167" s="2605"/>
      <c r="G167" s="2606"/>
      <c r="H167" s="2601" t="s">
        <v>95</v>
      </c>
      <c r="I167" s="2613"/>
      <c r="J167" s="2624"/>
      <c r="K167" s="2615"/>
      <c r="L167" s="2338"/>
      <c r="M167" s="2339"/>
      <c r="N167" s="2618"/>
      <c r="O167" s="2619"/>
      <c r="P167" s="2622"/>
      <c r="Q167" s="2573"/>
      <c r="R167" s="2573"/>
      <c r="S167" s="2623"/>
      <c r="T167" s="2573"/>
      <c r="U167" s="2573"/>
      <c r="V167" s="2573"/>
      <c r="W167" s="2573"/>
      <c r="X167" s="2573"/>
      <c r="Y167" s="2573"/>
      <c r="Z167" s="1093"/>
      <c r="AA167" s="1094"/>
      <c r="AB167" s="1159" t="s">
        <v>1029</v>
      </c>
      <c r="AC167" s="1098"/>
      <c r="AD167" s="1098"/>
      <c r="AE167" s="1100"/>
      <c r="AF167" s="2616"/>
      <c r="AG167" s="2617"/>
      <c r="AH167" s="2617"/>
      <c r="AI167" s="2616"/>
      <c r="AJ167" s="2617"/>
      <c r="AK167" s="2617"/>
      <c r="AL167" s="1900"/>
      <c r="AM167" s="1738"/>
      <c r="AN167" s="1738"/>
      <c r="AO167" s="1738"/>
      <c r="AP167" s="1738"/>
      <c r="AQ167" s="1738"/>
      <c r="AR167" s="1738"/>
      <c r="AS167" s="1738"/>
      <c r="AT167" s="1738"/>
      <c r="AU167" s="1738"/>
      <c r="AV167" s="1738"/>
      <c r="AW167" s="1738"/>
      <c r="AX167" s="1738"/>
      <c r="AY167" s="1738"/>
      <c r="AZ167" s="1738"/>
      <c r="BA167" s="1738"/>
      <c r="BB167" s="1738"/>
      <c r="BC167" s="1738"/>
      <c r="BD167" s="1738"/>
      <c r="BE167" s="1738"/>
      <c r="BF167" s="1738"/>
    </row>
    <row r="168" spans="1:58" ht="25.5" customHeight="1">
      <c r="A168" s="1084" t="s">
        <v>992</v>
      </c>
      <c r="B168" s="1084"/>
      <c r="C168" s="1084"/>
      <c r="D168" s="1078"/>
      <c r="E168" s="1088"/>
      <c r="F168" s="2605"/>
      <c r="G168" s="2606"/>
      <c r="H168" s="2601" t="s">
        <v>95</v>
      </c>
      <c r="I168" s="2613"/>
      <c r="J168" s="2624"/>
      <c r="K168" s="2615"/>
      <c r="L168" s="2338"/>
      <c r="M168" s="2339"/>
      <c r="N168" s="1093"/>
      <c r="O168" s="1094"/>
      <c r="P168" s="1086" t="s">
        <v>1030</v>
      </c>
      <c r="Q168" s="1094"/>
      <c r="R168" s="1094"/>
      <c r="S168" s="1094"/>
      <c r="T168" s="1094"/>
      <c r="U168" s="1094"/>
      <c r="V168" s="1094"/>
      <c r="W168" s="1094"/>
      <c r="X168" s="1094"/>
      <c r="Y168" s="1094"/>
      <c r="Z168" s="1094"/>
      <c r="AA168" s="1094"/>
      <c r="AB168" s="1094"/>
      <c r="AC168" s="1094"/>
      <c r="AD168" s="1094"/>
      <c r="AE168" s="1101"/>
      <c r="AF168" s="2616"/>
      <c r="AG168" s="2617"/>
      <c r="AH168" s="2617"/>
      <c r="AI168" s="2616"/>
      <c r="AJ168" s="2617"/>
      <c r="AK168" s="2617"/>
      <c r="AL168" s="1900"/>
      <c r="AM168" s="1738"/>
      <c r="AN168" s="1738"/>
      <c r="AO168" s="1738"/>
      <c r="AP168" s="1738"/>
      <c r="AQ168" s="1738"/>
      <c r="AR168" s="1738"/>
      <c r="AS168" s="1738"/>
      <c r="AT168" s="1738"/>
      <c r="AU168" s="1738"/>
      <c r="AV168" s="1738"/>
      <c r="AW168" s="1738"/>
      <c r="AX168" s="1738"/>
      <c r="AY168" s="1738"/>
      <c r="AZ168" s="1738"/>
      <c r="BA168" s="1738"/>
      <c r="BB168" s="1738"/>
      <c r="BC168" s="1738"/>
      <c r="BD168" s="1738"/>
      <c r="BE168" s="1738"/>
      <c r="BF168" s="1738"/>
    </row>
    <row r="169" spans="1:58" ht="27.75" customHeight="1">
      <c r="A169" s="1084" t="s">
        <v>992</v>
      </c>
      <c r="B169" s="1084" t="s">
        <v>1031</v>
      </c>
      <c r="C169" s="1084"/>
      <c r="D169" s="1078"/>
      <c r="E169" s="1088"/>
      <c r="F169" s="2605"/>
      <c r="G169" s="2590" t="s">
        <v>686</v>
      </c>
      <c r="H169" s="2601" t="s">
        <v>147</v>
      </c>
      <c r="I169" s="2613" t="s">
        <v>1032</v>
      </c>
      <c r="J169" s="2624" t="s">
        <v>1033</v>
      </c>
      <c r="K169" s="2615" t="s">
        <v>1067</v>
      </c>
      <c r="L169" s="2338" t="s">
        <v>19</v>
      </c>
      <c r="M169" s="2339"/>
      <c r="N169" s="1898"/>
      <c r="O169" s="1095" t="s">
        <v>373</v>
      </c>
      <c r="P169" s="1096"/>
      <c r="Q169" s="1096"/>
      <c r="R169" s="1096"/>
      <c r="S169" s="1096"/>
      <c r="T169" s="1096"/>
      <c r="U169" s="1096"/>
      <c r="V169" s="1096"/>
      <c r="W169" s="1096"/>
      <c r="X169" s="1096"/>
      <c r="Y169" s="1096"/>
      <c r="Z169" s="1096"/>
      <c r="AA169" s="1096"/>
      <c r="AB169" s="1096"/>
      <c r="AC169" s="1096"/>
      <c r="AD169" s="1096"/>
      <c r="AE169" s="1096"/>
      <c r="AF169" s="2616">
        <v>4</v>
      </c>
      <c r="AG169" s="2617" t="s">
        <v>1026</v>
      </c>
      <c r="AH169" s="2617" t="s">
        <v>1035</v>
      </c>
      <c r="AI169" s="2616"/>
      <c r="AJ169" s="2617"/>
      <c r="AK169" s="2617"/>
      <c r="AL169" s="1900"/>
      <c r="AM169" s="1738"/>
      <c r="AN169" s="1738"/>
      <c r="AO169" s="1738"/>
      <c r="AP169" s="1738"/>
      <c r="AQ169" s="1738"/>
      <c r="AR169" s="1738"/>
      <c r="AS169" s="1738"/>
      <c r="AT169" s="1738"/>
      <c r="AU169" s="1738"/>
      <c r="AV169" s="1738"/>
      <c r="AW169" s="1738"/>
      <c r="AX169" s="1738"/>
      <c r="AY169" s="1738"/>
      <c r="AZ169" s="1738"/>
      <c r="BA169" s="1738"/>
      <c r="BB169" s="1738"/>
      <c r="BC169" s="1738"/>
      <c r="BD169" s="1738"/>
      <c r="BE169" s="1738"/>
      <c r="BF169" s="1738"/>
    </row>
    <row r="170" spans="1:58" ht="11.25" customHeight="1">
      <c r="A170" s="1084" t="s">
        <v>992</v>
      </c>
      <c r="B170" s="1084"/>
      <c r="C170" s="1084"/>
      <c r="D170" s="1078"/>
      <c r="E170" s="1088"/>
      <c r="F170" s="2605"/>
      <c r="G170" s="2606"/>
      <c r="H170" s="2601" t="s">
        <v>111</v>
      </c>
      <c r="I170" s="2613"/>
      <c r="J170" s="2624"/>
      <c r="K170" s="2615"/>
      <c r="L170" s="2338"/>
      <c r="M170" s="2339"/>
      <c r="N170" s="2618"/>
      <c r="O170" s="2619">
        <v>1</v>
      </c>
      <c r="P170" s="2620" t="s">
        <v>19</v>
      </c>
      <c r="Q170" s="2573" t="s">
        <v>22</v>
      </c>
      <c r="R170" s="2573" t="s">
        <v>22</v>
      </c>
      <c r="S170" s="2573" t="s">
        <v>22</v>
      </c>
      <c r="T170" s="2573" t="s">
        <v>22</v>
      </c>
      <c r="U170" s="2573" t="s">
        <v>22</v>
      </c>
      <c r="V170" s="2573" t="s">
        <v>22</v>
      </c>
      <c r="W170" s="2573" t="s">
        <v>22</v>
      </c>
      <c r="X170" s="2573" t="s">
        <v>22</v>
      </c>
      <c r="Y170" s="2573"/>
      <c r="Z170" s="1093"/>
      <c r="AA170" s="1094"/>
      <c r="AB170" s="1094"/>
      <c r="AC170" s="1098"/>
      <c r="AD170" s="1098"/>
      <c r="AE170" s="1099"/>
      <c r="AF170" s="2616"/>
      <c r="AG170" s="2617"/>
      <c r="AH170" s="2617"/>
      <c r="AI170" s="2616"/>
      <c r="AJ170" s="2617"/>
      <c r="AK170" s="2617"/>
      <c r="AL170" s="1900"/>
      <c r="AM170" s="1738"/>
      <c r="AN170" s="1738"/>
      <c r="AO170" s="1738"/>
      <c r="AP170" s="1738"/>
      <c r="AQ170" s="1738"/>
      <c r="AR170" s="1738"/>
      <c r="AS170" s="1738"/>
      <c r="AT170" s="1738"/>
      <c r="AU170" s="1738"/>
      <c r="AV170" s="1738"/>
      <c r="AW170" s="1738"/>
      <c r="AX170" s="1738"/>
      <c r="AY170" s="1738"/>
      <c r="AZ170" s="1738"/>
      <c r="BA170" s="1738"/>
      <c r="BB170" s="1738"/>
      <c r="BC170" s="1738"/>
      <c r="BD170" s="1738"/>
      <c r="BE170" s="1738"/>
      <c r="BF170" s="1738"/>
    </row>
    <row r="171" spans="1:58" ht="11.25" customHeight="1">
      <c r="A171" s="1084" t="s">
        <v>992</v>
      </c>
      <c r="B171" s="1084"/>
      <c r="C171" s="1084"/>
      <c r="D171" s="1078"/>
      <c r="E171" s="1088"/>
      <c r="F171" s="2605"/>
      <c r="G171" s="2606"/>
      <c r="H171" s="2601" t="s">
        <v>111</v>
      </c>
      <c r="I171" s="2613"/>
      <c r="J171" s="2624"/>
      <c r="K171" s="2615"/>
      <c r="L171" s="2338"/>
      <c r="M171" s="2339"/>
      <c r="N171" s="2618"/>
      <c r="O171" s="2619"/>
      <c r="P171" s="2621"/>
      <c r="Q171" s="2573"/>
      <c r="R171" s="2573"/>
      <c r="S171" s="2623"/>
      <c r="T171" s="2573"/>
      <c r="U171" s="2573"/>
      <c r="V171" s="2573"/>
      <c r="W171" s="2573"/>
      <c r="X171" s="2573"/>
      <c r="Y171" s="2573"/>
      <c r="Z171" s="1743"/>
      <c r="AA171" s="1711">
        <v>1</v>
      </c>
      <c r="AB171" s="1097" t="s">
        <v>1036</v>
      </c>
      <c r="AC171" s="1087">
        <v>111803.889028775</v>
      </c>
      <c r="AD171" s="1097" t="str">
        <f>AB171</f>
        <v xml:space="preserve">      Прочие амортизационные отчисления</v>
      </c>
      <c r="AE171" s="1087"/>
      <c r="AF171" s="2616"/>
      <c r="AG171" s="2617"/>
      <c r="AH171" s="2617"/>
      <c r="AI171" s="2616"/>
      <c r="AJ171" s="2617"/>
      <c r="AK171" s="2617"/>
      <c r="AL171" s="1900"/>
      <c r="AM171" s="1738"/>
      <c r="AN171" s="1738"/>
      <c r="AO171" s="1738"/>
      <c r="AP171" s="1738"/>
      <c r="AQ171" s="1738"/>
      <c r="AR171" s="1738"/>
      <c r="AS171" s="1738"/>
      <c r="AT171" s="1738"/>
      <c r="AU171" s="1738"/>
      <c r="AV171" s="1738"/>
      <c r="AW171" s="1738"/>
      <c r="AX171" s="1738"/>
      <c r="AY171" s="1738"/>
      <c r="AZ171" s="1738"/>
      <c r="BA171" s="1738"/>
      <c r="BB171" s="1738"/>
      <c r="BC171" s="1738"/>
      <c r="BD171" s="1738"/>
      <c r="BE171" s="1738"/>
      <c r="BF171" s="1738"/>
    </row>
    <row r="172" spans="1:58" ht="11.25" customHeight="1">
      <c r="A172" s="1084" t="s">
        <v>992</v>
      </c>
      <c r="B172" s="1084"/>
      <c r="C172" s="1084"/>
      <c r="D172" s="1078"/>
      <c r="E172" s="1088"/>
      <c r="F172" s="2606"/>
      <c r="G172" s="2606"/>
      <c r="H172" s="2606"/>
      <c r="I172" s="2606"/>
      <c r="J172" s="2606"/>
      <c r="K172" s="2606"/>
      <c r="L172" s="2606"/>
      <c r="M172" s="2606"/>
      <c r="N172" s="2606"/>
      <c r="O172" s="2606"/>
      <c r="P172" s="2606"/>
      <c r="Q172" s="2606"/>
      <c r="R172" s="2606"/>
      <c r="S172" s="2606"/>
      <c r="T172" s="2606"/>
      <c r="U172" s="2606"/>
      <c r="V172" s="2606"/>
      <c r="W172" s="2606"/>
      <c r="X172" s="2606"/>
      <c r="Y172" s="2606"/>
      <c r="Z172" s="2054" t="s">
        <v>686</v>
      </c>
      <c r="AA172" s="1731" t="s">
        <v>109</v>
      </c>
      <c r="AB172" s="1097" t="s">
        <v>1028</v>
      </c>
      <c r="AC172" s="1087">
        <v>280921.38357122499</v>
      </c>
      <c r="AD172" s="1097" t="str">
        <f>AB172</f>
        <v xml:space="preserve">  Прочие</v>
      </c>
      <c r="AE172" s="1087"/>
      <c r="AF172" s="2625"/>
      <c r="AG172" s="2626"/>
      <c r="AH172" s="2626"/>
      <c r="AI172" s="2625"/>
      <c r="AJ172" s="2626"/>
      <c r="AK172" s="2627"/>
      <c r="AL172" s="1900"/>
      <c r="AM172" s="1738"/>
      <c r="AN172" s="1738"/>
      <c r="AO172" s="1738"/>
      <c r="AP172" s="1738"/>
      <c r="AQ172" s="1738"/>
      <c r="AR172" s="1738"/>
      <c r="AS172" s="1738"/>
      <c r="AT172" s="1738"/>
      <c r="AU172" s="1738"/>
      <c r="AV172" s="1738"/>
      <c r="AW172" s="1738"/>
      <c r="AX172" s="1738"/>
      <c r="AY172" s="1738"/>
      <c r="AZ172" s="1738"/>
      <c r="BA172" s="1738"/>
      <c r="BB172" s="1738"/>
      <c r="BC172" s="1738"/>
      <c r="BD172" s="1738"/>
      <c r="BE172" s="1738"/>
      <c r="BF172" s="1738"/>
    </row>
    <row r="173" spans="1:58" ht="11.25" customHeight="1">
      <c r="A173" s="1084" t="s">
        <v>992</v>
      </c>
      <c r="B173" s="1084"/>
      <c r="C173" s="1084"/>
      <c r="D173" s="1078"/>
      <c r="E173" s="1088"/>
      <c r="F173" s="2605"/>
      <c r="G173" s="2606"/>
      <c r="H173" s="2601" t="s">
        <v>111</v>
      </c>
      <c r="I173" s="2613"/>
      <c r="J173" s="2624"/>
      <c r="K173" s="2615"/>
      <c r="L173" s="2338"/>
      <c r="M173" s="2339"/>
      <c r="N173" s="2618"/>
      <c r="O173" s="2619"/>
      <c r="P173" s="2622"/>
      <c r="Q173" s="2573"/>
      <c r="R173" s="2573"/>
      <c r="S173" s="2623"/>
      <c r="T173" s="2573"/>
      <c r="U173" s="2573"/>
      <c r="V173" s="2573"/>
      <c r="W173" s="2573"/>
      <c r="X173" s="2573"/>
      <c r="Y173" s="2573"/>
      <c r="Z173" s="1093"/>
      <c r="AA173" s="1094"/>
      <c r="AB173" s="1159" t="s">
        <v>1029</v>
      </c>
      <c r="AC173" s="1098"/>
      <c r="AD173" s="1098"/>
      <c r="AE173" s="1100"/>
      <c r="AF173" s="2616"/>
      <c r="AG173" s="2617"/>
      <c r="AH173" s="2617"/>
      <c r="AI173" s="2616"/>
      <c r="AJ173" s="2617"/>
      <c r="AK173" s="2617"/>
      <c r="AL173" s="1900"/>
      <c r="AM173" s="1738"/>
      <c r="AN173" s="1738"/>
      <c r="AO173" s="1738"/>
      <c r="AP173" s="1738"/>
      <c r="AQ173" s="1738"/>
      <c r="AR173" s="1738"/>
      <c r="AS173" s="1738"/>
      <c r="AT173" s="1738"/>
      <c r="AU173" s="1738"/>
      <c r="AV173" s="1738"/>
      <c r="AW173" s="1738"/>
      <c r="AX173" s="1738"/>
      <c r="AY173" s="1738"/>
      <c r="AZ173" s="1738"/>
      <c r="BA173" s="1738"/>
      <c r="BB173" s="1738"/>
      <c r="BC173" s="1738"/>
      <c r="BD173" s="1738"/>
      <c r="BE173" s="1738"/>
      <c r="BF173" s="1738"/>
    </row>
    <row r="174" spans="1:58" ht="2.25" customHeight="1">
      <c r="A174" s="1084" t="s">
        <v>992</v>
      </c>
      <c r="B174" s="1084"/>
      <c r="C174" s="1084"/>
      <c r="D174" s="1078"/>
      <c r="E174" s="1088"/>
      <c r="F174" s="2605"/>
      <c r="G174" s="2606"/>
      <c r="H174" s="2601" t="s">
        <v>111</v>
      </c>
      <c r="I174" s="2613"/>
      <c r="J174" s="2624"/>
      <c r="K174" s="2615"/>
      <c r="L174" s="2338"/>
      <c r="M174" s="2339"/>
      <c r="N174" s="1093"/>
      <c r="O174" s="1094"/>
      <c r="P174" s="1086" t="s">
        <v>1030</v>
      </c>
      <c r="Q174" s="1094"/>
      <c r="R174" s="1094"/>
      <c r="S174" s="1094"/>
      <c r="T174" s="1094"/>
      <c r="U174" s="1094"/>
      <c r="V174" s="1094"/>
      <c r="W174" s="1094"/>
      <c r="X174" s="1094"/>
      <c r="Y174" s="1094"/>
      <c r="Z174" s="1094"/>
      <c r="AA174" s="1094"/>
      <c r="AB174" s="1094"/>
      <c r="AC174" s="1094"/>
      <c r="AD174" s="1094"/>
      <c r="AE174" s="1101"/>
      <c r="AF174" s="2616"/>
      <c r="AG174" s="2617"/>
      <c r="AH174" s="2617"/>
      <c r="AI174" s="2616"/>
      <c r="AJ174" s="2617"/>
      <c r="AK174" s="2617"/>
      <c r="AL174" s="1900"/>
      <c r="AM174" s="1738"/>
      <c r="AN174" s="1738"/>
      <c r="AO174" s="1738"/>
      <c r="AP174" s="1738"/>
      <c r="AQ174" s="1738"/>
      <c r="AR174" s="1738"/>
      <c r="AS174" s="1738"/>
      <c r="AT174" s="1738"/>
      <c r="AU174" s="1738"/>
      <c r="AV174" s="1738"/>
      <c r="AW174" s="1738"/>
      <c r="AX174" s="1738"/>
      <c r="AY174" s="1738"/>
      <c r="AZ174" s="1738"/>
      <c r="BA174" s="1738"/>
      <c r="BB174" s="1738"/>
      <c r="BC174" s="1738"/>
      <c r="BD174" s="1738"/>
      <c r="BE174" s="1738"/>
      <c r="BF174" s="1738"/>
    </row>
    <row r="175" spans="1:58" ht="22.5" customHeight="1">
      <c r="A175" s="1084" t="s">
        <v>992</v>
      </c>
      <c r="B175" s="1084" t="s">
        <v>1031</v>
      </c>
      <c r="C175" s="1084"/>
      <c r="D175" s="1078"/>
      <c r="E175" s="1088"/>
      <c r="F175" s="2605"/>
      <c r="G175" s="2590" t="s">
        <v>686</v>
      </c>
      <c r="H175" s="2601" t="s">
        <v>148</v>
      </c>
      <c r="I175" s="2613" t="s">
        <v>1032</v>
      </c>
      <c r="J175" s="2624" t="s">
        <v>1033</v>
      </c>
      <c r="K175" s="2615" t="s">
        <v>1044</v>
      </c>
      <c r="L175" s="2338" t="s">
        <v>19</v>
      </c>
      <c r="M175" s="2339"/>
      <c r="N175" s="1898"/>
      <c r="O175" s="1095" t="s">
        <v>373</v>
      </c>
      <c r="P175" s="1096"/>
      <c r="Q175" s="1096"/>
      <c r="R175" s="1096"/>
      <c r="S175" s="1096"/>
      <c r="T175" s="1096"/>
      <c r="U175" s="1096"/>
      <c r="V175" s="1096"/>
      <c r="W175" s="1096"/>
      <c r="X175" s="1096"/>
      <c r="Y175" s="1096"/>
      <c r="Z175" s="1096"/>
      <c r="AA175" s="1096"/>
      <c r="AB175" s="1096"/>
      <c r="AC175" s="1096"/>
      <c r="AD175" s="1096"/>
      <c r="AE175" s="1096"/>
      <c r="AF175" s="2616">
        <v>5</v>
      </c>
      <c r="AG175" s="2617" t="s">
        <v>1026</v>
      </c>
      <c r="AH175" s="2617" t="s">
        <v>1027</v>
      </c>
      <c r="AI175" s="2616"/>
      <c r="AJ175" s="2617"/>
      <c r="AK175" s="2617"/>
      <c r="AL175" s="1900"/>
      <c r="AM175" s="1738"/>
      <c r="AN175" s="1738"/>
      <c r="AO175" s="1738"/>
      <c r="AP175" s="1738"/>
      <c r="AQ175" s="1738"/>
      <c r="AR175" s="1738"/>
      <c r="AS175" s="1738"/>
      <c r="AT175" s="1738"/>
      <c r="AU175" s="1738"/>
      <c r="AV175" s="1738"/>
      <c r="AW175" s="1738"/>
      <c r="AX175" s="1738"/>
      <c r="AY175" s="1738"/>
      <c r="AZ175" s="1738"/>
      <c r="BA175" s="1738"/>
      <c r="BB175" s="1738"/>
      <c r="BC175" s="1738"/>
      <c r="BD175" s="1738"/>
      <c r="BE175" s="1738"/>
      <c r="BF175" s="1738"/>
    </row>
    <row r="176" spans="1:58" ht="20.25" customHeight="1">
      <c r="A176" s="1084" t="s">
        <v>992</v>
      </c>
      <c r="B176" s="1084"/>
      <c r="C176" s="1084"/>
      <c r="D176" s="1078"/>
      <c r="E176" s="1088"/>
      <c r="F176" s="2605"/>
      <c r="G176" s="2606"/>
      <c r="H176" s="2601" t="s">
        <v>147</v>
      </c>
      <c r="I176" s="2613"/>
      <c r="J176" s="2624"/>
      <c r="K176" s="2615"/>
      <c r="L176" s="2338"/>
      <c r="M176" s="2339"/>
      <c r="N176" s="2618"/>
      <c r="O176" s="2619">
        <v>1</v>
      </c>
      <c r="P176" s="2620" t="s">
        <v>19</v>
      </c>
      <c r="Q176" s="2573" t="s">
        <v>22</v>
      </c>
      <c r="R176" s="2573" t="s">
        <v>22</v>
      </c>
      <c r="S176" s="2573" t="s">
        <v>22</v>
      </c>
      <c r="T176" s="2573" t="s">
        <v>22</v>
      </c>
      <c r="U176" s="2573" t="s">
        <v>22</v>
      </c>
      <c r="V176" s="2573" t="s">
        <v>22</v>
      </c>
      <c r="W176" s="2573" t="s">
        <v>22</v>
      </c>
      <c r="X176" s="2573" t="s">
        <v>22</v>
      </c>
      <c r="Y176" s="2573"/>
      <c r="Z176" s="1093"/>
      <c r="AA176" s="1094"/>
      <c r="AB176" s="1094"/>
      <c r="AC176" s="1098"/>
      <c r="AD176" s="1098"/>
      <c r="AE176" s="1099"/>
      <c r="AF176" s="2616"/>
      <c r="AG176" s="2617"/>
      <c r="AH176" s="2617"/>
      <c r="AI176" s="2616"/>
      <c r="AJ176" s="2617"/>
      <c r="AK176" s="2617"/>
      <c r="AL176" s="1900"/>
      <c r="AM176" s="1738"/>
      <c r="AN176" s="1738"/>
      <c r="AO176" s="1738"/>
      <c r="AP176" s="1738"/>
      <c r="AQ176" s="1738"/>
      <c r="AR176" s="1738"/>
      <c r="AS176" s="1738"/>
      <c r="AT176" s="1738"/>
      <c r="AU176" s="1738"/>
      <c r="AV176" s="1738"/>
      <c r="AW176" s="1738"/>
      <c r="AX176" s="1738"/>
      <c r="AY176" s="1738"/>
      <c r="AZ176" s="1738"/>
      <c r="BA176" s="1738"/>
      <c r="BB176" s="1738"/>
      <c r="BC176" s="1738"/>
      <c r="BD176" s="1738"/>
      <c r="BE176" s="1738"/>
      <c r="BF176" s="1738"/>
    </row>
    <row r="177" spans="1:58" ht="33" customHeight="1">
      <c r="A177" s="1084" t="s">
        <v>992</v>
      </c>
      <c r="B177" s="1084"/>
      <c r="C177" s="1084"/>
      <c r="D177" s="1078"/>
      <c r="E177" s="1088"/>
      <c r="F177" s="2605"/>
      <c r="G177" s="2606"/>
      <c r="H177" s="2601" t="s">
        <v>147</v>
      </c>
      <c r="I177" s="2613"/>
      <c r="J177" s="2624"/>
      <c r="K177" s="2615"/>
      <c r="L177" s="2338"/>
      <c r="M177" s="2339"/>
      <c r="N177" s="2618"/>
      <c r="O177" s="2619"/>
      <c r="P177" s="2621"/>
      <c r="Q177" s="2573"/>
      <c r="R177" s="2573"/>
      <c r="S177" s="2623"/>
      <c r="T177" s="2573"/>
      <c r="U177" s="2573"/>
      <c r="V177" s="2573"/>
      <c r="W177" s="2573"/>
      <c r="X177" s="2573"/>
      <c r="Y177" s="2573"/>
      <c r="Z177" s="1743"/>
      <c r="AA177" s="1711">
        <v>1</v>
      </c>
      <c r="AB177" s="1097" t="s">
        <v>1036</v>
      </c>
      <c r="AC177" s="1087">
        <v>7030.2893652333696</v>
      </c>
      <c r="AD177" s="1097" t="str">
        <f>AB177</f>
        <v xml:space="preserve">      Прочие амортизационные отчисления</v>
      </c>
      <c r="AE177" s="1087"/>
      <c r="AF177" s="2616"/>
      <c r="AG177" s="2617"/>
      <c r="AH177" s="2617"/>
      <c r="AI177" s="2616"/>
      <c r="AJ177" s="2617"/>
      <c r="AK177" s="2617"/>
      <c r="AL177" s="1900"/>
      <c r="AM177" s="1738"/>
      <c r="AN177" s="1738"/>
      <c r="AO177" s="1738"/>
      <c r="AP177" s="1738"/>
      <c r="AQ177" s="1738"/>
      <c r="AR177" s="1738"/>
      <c r="AS177" s="1738"/>
      <c r="AT177" s="1738"/>
      <c r="AU177" s="1738"/>
      <c r="AV177" s="1738"/>
      <c r="AW177" s="1738"/>
      <c r="AX177" s="1738"/>
      <c r="AY177" s="1738"/>
      <c r="AZ177" s="1738"/>
      <c r="BA177" s="1738"/>
      <c r="BB177" s="1738"/>
      <c r="BC177" s="1738"/>
      <c r="BD177" s="1738"/>
      <c r="BE177" s="1738"/>
      <c r="BF177" s="1738"/>
    </row>
    <row r="178" spans="1:58" ht="11.25" customHeight="1">
      <c r="A178" s="1084" t="s">
        <v>992</v>
      </c>
      <c r="B178" s="1084"/>
      <c r="C178" s="1084"/>
      <c r="D178" s="1078"/>
      <c r="E178" s="1088"/>
      <c r="F178" s="2606"/>
      <c r="G178" s="2606"/>
      <c r="H178" s="2606"/>
      <c r="I178" s="2606"/>
      <c r="J178" s="2606"/>
      <c r="K178" s="2606"/>
      <c r="L178" s="2606"/>
      <c r="M178" s="2606"/>
      <c r="N178" s="2606"/>
      <c r="O178" s="2606"/>
      <c r="P178" s="2606"/>
      <c r="Q178" s="2606"/>
      <c r="R178" s="2606"/>
      <c r="S178" s="2606"/>
      <c r="T178" s="2606"/>
      <c r="U178" s="2606"/>
      <c r="V178" s="2606"/>
      <c r="W178" s="2606"/>
      <c r="X178" s="2606"/>
      <c r="Y178" s="2606"/>
      <c r="Z178" s="2054" t="s">
        <v>686</v>
      </c>
      <c r="AA178" s="1731" t="s">
        <v>109</v>
      </c>
      <c r="AB178" s="1097" t="s">
        <v>1028</v>
      </c>
      <c r="AC178" s="1087">
        <v>2402.7199999999998</v>
      </c>
      <c r="AD178" s="1097" t="str">
        <f>AB178</f>
        <v xml:space="preserve">  Прочие</v>
      </c>
      <c r="AE178" s="1087"/>
      <c r="AF178" s="2625"/>
      <c r="AG178" s="2626"/>
      <c r="AH178" s="2626"/>
      <c r="AI178" s="2625"/>
      <c r="AJ178" s="2626"/>
      <c r="AK178" s="2627"/>
      <c r="AL178" s="1900"/>
      <c r="AM178" s="1738"/>
      <c r="AN178" s="1738"/>
      <c r="AO178" s="1738"/>
      <c r="AP178" s="1738"/>
      <c r="AQ178" s="1738"/>
      <c r="AR178" s="1738"/>
      <c r="AS178" s="1738"/>
      <c r="AT178" s="1738"/>
      <c r="AU178" s="1738"/>
      <c r="AV178" s="1738"/>
      <c r="AW178" s="1738"/>
      <c r="AX178" s="1738"/>
      <c r="AY178" s="1738"/>
      <c r="AZ178" s="1738"/>
      <c r="BA178" s="1738"/>
      <c r="BB178" s="1738"/>
      <c r="BC178" s="1738"/>
      <c r="BD178" s="1738"/>
      <c r="BE178" s="1738"/>
      <c r="BF178" s="1738"/>
    </row>
    <row r="179" spans="1:58" ht="33" customHeight="1">
      <c r="A179" s="1084" t="s">
        <v>992</v>
      </c>
      <c r="B179" s="1084"/>
      <c r="C179" s="1084"/>
      <c r="D179" s="1078"/>
      <c r="E179" s="1088"/>
      <c r="F179" s="2605"/>
      <c r="G179" s="2606"/>
      <c r="H179" s="2601" t="s">
        <v>147</v>
      </c>
      <c r="I179" s="2613"/>
      <c r="J179" s="2624"/>
      <c r="K179" s="2615"/>
      <c r="L179" s="2338"/>
      <c r="M179" s="2339"/>
      <c r="N179" s="2618"/>
      <c r="O179" s="2619"/>
      <c r="P179" s="2622"/>
      <c r="Q179" s="2573"/>
      <c r="R179" s="2573"/>
      <c r="S179" s="2623"/>
      <c r="T179" s="2573"/>
      <c r="U179" s="2573"/>
      <c r="V179" s="2573"/>
      <c r="W179" s="2573"/>
      <c r="X179" s="2573"/>
      <c r="Y179" s="2573"/>
      <c r="Z179" s="1093"/>
      <c r="AA179" s="1094"/>
      <c r="AB179" s="1159" t="s">
        <v>1029</v>
      </c>
      <c r="AC179" s="1098"/>
      <c r="AD179" s="1098"/>
      <c r="AE179" s="1100"/>
      <c r="AF179" s="2616"/>
      <c r="AG179" s="2617"/>
      <c r="AH179" s="2617"/>
      <c r="AI179" s="2616"/>
      <c r="AJ179" s="2617"/>
      <c r="AK179" s="2617"/>
      <c r="AL179" s="1900"/>
      <c r="AM179" s="1738"/>
      <c r="AN179" s="1738"/>
      <c r="AO179" s="1738"/>
      <c r="AP179" s="1738"/>
      <c r="AQ179" s="1738"/>
      <c r="AR179" s="1738"/>
      <c r="AS179" s="1738"/>
      <c r="AT179" s="1738"/>
      <c r="AU179" s="1738"/>
      <c r="AV179" s="1738"/>
      <c r="AW179" s="1738"/>
      <c r="AX179" s="1738"/>
      <c r="AY179" s="1738"/>
      <c r="AZ179" s="1738"/>
      <c r="BA179" s="1738"/>
      <c r="BB179" s="1738"/>
      <c r="BC179" s="1738"/>
      <c r="BD179" s="1738"/>
      <c r="BE179" s="1738"/>
      <c r="BF179" s="1738"/>
    </row>
    <row r="180" spans="1:58" ht="28.5" customHeight="1">
      <c r="A180" s="1084" t="s">
        <v>992</v>
      </c>
      <c r="B180" s="1084"/>
      <c r="C180" s="1084"/>
      <c r="D180" s="1078"/>
      <c r="E180" s="1088"/>
      <c r="F180" s="2605"/>
      <c r="G180" s="2606"/>
      <c r="H180" s="2601" t="s">
        <v>147</v>
      </c>
      <c r="I180" s="2613"/>
      <c r="J180" s="2624"/>
      <c r="K180" s="2615"/>
      <c r="L180" s="2338"/>
      <c r="M180" s="2339"/>
      <c r="N180" s="1093"/>
      <c r="O180" s="1094"/>
      <c r="P180" s="1086" t="s">
        <v>1030</v>
      </c>
      <c r="Q180" s="1094"/>
      <c r="R180" s="1094"/>
      <c r="S180" s="1094"/>
      <c r="T180" s="1094"/>
      <c r="U180" s="1094"/>
      <c r="V180" s="1094"/>
      <c r="W180" s="1094"/>
      <c r="X180" s="1094"/>
      <c r="Y180" s="1094"/>
      <c r="Z180" s="1094"/>
      <c r="AA180" s="1094"/>
      <c r="AB180" s="1094"/>
      <c r="AC180" s="1094"/>
      <c r="AD180" s="1094"/>
      <c r="AE180" s="1101"/>
      <c r="AF180" s="2616"/>
      <c r="AG180" s="2617"/>
      <c r="AH180" s="2617"/>
      <c r="AI180" s="2616"/>
      <c r="AJ180" s="2617"/>
      <c r="AK180" s="2617"/>
      <c r="AL180" s="1900"/>
      <c r="AM180" s="1738"/>
      <c r="AN180" s="1738"/>
      <c r="AO180" s="1738"/>
      <c r="AP180" s="1738"/>
      <c r="AQ180" s="1738"/>
      <c r="AR180" s="1738"/>
      <c r="AS180" s="1738"/>
      <c r="AT180" s="1738"/>
      <c r="AU180" s="1738"/>
      <c r="AV180" s="1738"/>
      <c r="AW180" s="1738"/>
      <c r="AX180" s="1738"/>
      <c r="AY180" s="1738"/>
      <c r="AZ180" s="1738"/>
      <c r="BA180" s="1738"/>
      <c r="BB180" s="1738"/>
      <c r="BC180" s="1738"/>
      <c r="BD180" s="1738"/>
      <c r="BE180" s="1738"/>
      <c r="BF180" s="1738"/>
    </row>
    <row r="181" spans="1:58" ht="33" customHeight="1">
      <c r="A181" s="1084" t="s">
        <v>992</v>
      </c>
      <c r="B181" s="1084" t="s">
        <v>1031</v>
      </c>
      <c r="C181" s="1084"/>
      <c r="D181" s="1078"/>
      <c r="E181" s="1088"/>
      <c r="F181" s="2605"/>
      <c r="G181" s="2590" t="s">
        <v>686</v>
      </c>
      <c r="H181" s="2601" t="s">
        <v>149</v>
      </c>
      <c r="I181" s="2613" t="s">
        <v>1032</v>
      </c>
      <c r="J181" s="2624" t="s">
        <v>1033</v>
      </c>
      <c r="K181" s="2615" t="s">
        <v>1045</v>
      </c>
      <c r="L181" s="2338" t="s">
        <v>19</v>
      </c>
      <c r="M181" s="2339"/>
      <c r="N181" s="1898"/>
      <c r="O181" s="1095" t="s">
        <v>373</v>
      </c>
      <c r="P181" s="1096"/>
      <c r="Q181" s="1096"/>
      <c r="R181" s="1096"/>
      <c r="S181" s="1096"/>
      <c r="T181" s="1096"/>
      <c r="U181" s="1096"/>
      <c r="V181" s="1096"/>
      <c r="W181" s="1096"/>
      <c r="X181" s="1096"/>
      <c r="Y181" s="1096"/>
      <c r="Z181" s="1096"/>
      <c r="AA181" s="1096"/>
      <c r="AB181" s="1096"/>
      <c r="AC181" s="1096"/>
      <c r="AD181" s="1096"/>
      <c r="AE181" s="1096"/>
      <c r="AF181" s="2616">
        <v>4</v>
      </c>
      <c r="AG181" s="2617" t="s">
        <v>1026</v>
      </c>
      <c r="AH181" s="2617" t="s">
        <v>1038</v>
      </c>
      <c r="AI181" s="2616"/>
      <c r="AJ181" s="2617"/>
      <c r="AK181" s="2617"/>
      <c r="AL181" s="1900"/>
      <c r="AM181" s="1738"/>
      <c r="AN181" s="1738"/>
      <c r="AO181" s="1738"/>
      <c r="AP181" s="1738"/>
      <c r="AQ181" s="1738"/>
      <c r="AR181" s="1738"/>
      <c r="AS181" s="1738"/>
      <c r="AT181" s="1738"/>
      <c r="AU181" s="1738"/>
      <c r="AV181" s="1738"/>
      <c r="AW181" s="1738"/>
      <c r="AX181" s="1738"/>
      <c r="AY181" s="1738"/>
      <c r="AZ181" s="1738"/>
      <c r="BA181" s="1738"/>
      <c r="BB181" s="1738"/>
      <c r="BC181" s="1738"/>
      <c r="BD181" s="1738"/>
      <c r="BE181" s="1738"/>
      <c r="BF181" s="1738"/>
    </row>
    <row r="182" spans="1:58" ht="21.75" customHeight="1">
      <c r="A182" s="1084" t="s">
        <v>992</v>
      </c>
      <c r="B182" s="1084"/>
      <c r="C182" s="1084"/>
      <c r="D182" s="1078"/>
      <c r="E182" s="1088"/>
      <c r="F182" s="2605"/>
      <c r="G182" s="2606"/>
      <c r="H182" s="2601" t="s">
        <v>148</v>
      </c>
      <c r="I182" s="2613"/>
      <c r="J182" s="2624"/>
      <c r="K182" s="2615"/>
      <c r="L182" s="2338"/>
      <c r="M182" s="2339"/>
      <c r="N182" s="2618"/>
      <c r="O182" s="2619">
        <v>1</v>
      </c>
      <c r="P182" s="2620" t="s">
        <v>19</v>
      </c>
      <c r="Q182" s="2573" t="s">
        <v>22</v>
      </c>
      <c r="R182" s="2573" t="s">
        <v>22</v>
      </c>
      <c r="S182" s="2573" t="s">
        <v>22</v>
      </c>
      <c r="T182" s="2573" t="s">
        <v>22</v>
      </c>
      <c r="U182" s="2573" t="s">
        <v>22</v>
      </c>
      <c r="V182" s="2573" t="s">
        <v>22</v>
      </c>
      <c r="W182" s="2573" t="s">
        <v>22</v>
      </c>
      <c r="X182" s="2573" t="s">
        <v>22</v>
      </c>
      <c r="Y182" s="2573"/>
      <c r="Z182" s="1093"/>
      <c r="AA182" s="1094"/>
      <c r="AB182" s="1094"/>
      <c r="AC182" s="1098"/>
      <c r="AD182" s="1098"/>
      <c r="AE182" s="1099"/>
      <c r="AF182" s="2616"/>
      <c r="AG182" s="2617"/>
      <c r="AH182" s="2617"/>
      <c r="AI182" s="2616"/>
      <c r="AJ182" s="2617"/>
      <c r="AK182" s="2617"/>
      <c r="AL182" s="1900"/>
      <c r="AM182" s="1738"/>
      <c r="AN182" s="1738"/>
      <c r="AO182" s="1738"/>
      <c r="AP182" s="1738"/>
      <c r="AQ182" s="1738"/>
      <c r="AR182" s="1738"/>
      <c r="AS182" s="1738"/>
      <c r="AT182" s="1738"/>
      <c r="AU182" s="1738"/>
      <c r="AV182" s="1738"/>
      <c r="AW182" s="1738"/>
      <c r="AX182" s="1738"/>
      <c r="AY182" s="1738"/>
      <c r="AZ182" s="1738"/>
      <c r="BA182" s="1738"/>
      <c r="BB182" s="1738"/>
      <c r="BC182" s="1738"/>
      <c r="BD182" s="1738"/>
      <c r="BE182" s="1738"/>
      <c r="BF182" s="1738"/>
    </row>
    <row r="183" spans="1:58" ht="22.5" customHeight="1">
      <c r="A183" s="1084" t="s">
        <v>992</v>
      </c>
      <c r="B183" s="1084"/>
      <c r="C183" s="1084"/>
      <c r="D183" s="1078"/>
      <c r="E183" s="1088"/>
      <c r="F183" s="2605"/>
      <c r="G183" s="2606"/>
      <c r="H183" s="2601" t="s">
        <v>148</v>
      </c>
      <c r="I183" s="2613"/>
      <c r="J183" s="2624"/>
      <c r="K183" s="2615"/>
      <c r="L183" s="2338"/>
      <c r="M183" s="2339"/>
      <c r="N183" s="2618"/>
      <c r="O183" s="2619"/>
      <c r="P183" s="2621"/>
      <c r="Q183" s="2573"/>
      <c r="R183" s="2573"/>
      <c r="S183" s="2623"/>
      <c r="T183" s="2573"/>
      <c r="U183" s="2573"/>
      <c r="V183" s="2573"/>
      <c r="W183" s="2573"/>
      <c r="X183" s="2573"/>
      <c r="Y183" s="2573"/>
      <c r="Z183" s="1743"/>
      <c r="AA183" s="1711">
        <v>1</v>
      </c>
      <c r="AB183" s="1097" t="s">
        <v>1036</v>
      </c>
      <c r="AC183" s="1087">
        <v>508734.89457377698</v>
      </c>
      <c r="AD183" s="1097" t="str">
        <f>AB183</f>
        <v xml:space="preserve">      Прочие амортизационные отчисления</v>
      </c>
      <c r="AE183" s="1087"/>
      <c r="AF183" s="2616"/>
      <c r="AG183" s="2617"/>
      <c r="AH183" s="2617"/>
      <c r="AI183" s="2616"/>
      <c r="AJ183" s="2617"/>
      <c r="AK183" s="2617"/>
      <c r="AL183" s="1900"/>
      <c r="AM183" s="1738"/>
      <c r="AN183" s="1738"/>
      <c r="AO183" s="1738"/>
      <c r="AP183" s="1738"/>
      <c r="AQ183" s="1738"/>
      <c r="AR183" s="1738"/>
      <c r="AS183" s="1738"/>
      <c r="AT183" s="1738"/>
      <c r="AU183" s="1738"/>
      <c r="AV183" s="1738"/>
      <c r="AW183" s="1738"/>
      <c r="AX183" s="1738"/>
      <c r="AY183" s="1738"/>
      <c r="AZ183" s="1738"/>
      <c r="BA183" s="1738"/>
      <c r="BB183" s="1738"/>
      <c r="BC183" s="1738"/>
      <c r="BD183" s="1738"/>
      <c r="BE183" s="1738"/>
      <c r="BF183" s="1738"/>
    </row>
    <row r="184" spans="1:58" ht="11.25" customHeight="1">
      <c r="A184" s="1084" t="s">
        <v>992</v>
      </c>
      <c r="B184" s="1084"/>
      <c r="C184" s="1084"/>
      <c r="D184" s="1078"/>
      <c r="E184" s="1088"/>
      <c r="F184" s="2606"/>
      <c r="G184" s="2606"/>
      <c r="H184" s="2606"/>
      <c r="I184" s="2606"/>
      <c r="J184" s="2606"/>
      <c r="K184" s="2606"/>
      <c r="L184" s="2606"/>
      <c r="M184" s="2606"/>
      <c r="N184" s="2606"/>
      <c r="O184" s="2606"/>
      <c r="P184" s="2606"/>
      <c r="Q184" s="2606"/>
      <c r="R184" s="2606"/>
      <c r="S184" s="2606"/>
      <c r="T184" s="2606"/>
      <c r="U184" s="2606"/>
      <c r="V184" s="2606"/>
      <c r="W184" s="2606"/>
      <c r="X184" s="2606"/>
      <c r="Y184" s="2606"/>
      <c r="Z184" s="2054" t="s">
        <v>686</v>
      </c>
      <c r="AA184" s="1731" t="s">
        <v>109</v>
      </c>
      <c r="AB184" s="1097" t="s">
        <v>1028</v>
      </c>
      <c r="AC184" s="1087">
        <v>19467</v>
      </c>
      <c r="AD184" s="1097" t="str">
        <f>AB184</f>
        <v xml:space="preserve">  Прочие</v>
      </c>
      <c r="AE184" s="1087"/>
      <c r="AF184" s="2625"/>
      <c r="AG184" s="2626"/>
      <c r="AH184" s="2626"/>
      <c r="AI184" s="2625"/>
      <c r="AJ184" s="2626"/>
      <c r="AK184" s="2627"/>
      <c r="AL184" s="1900"/>
      <c r="AM184" s="1738"/>
      <c r="AN184" s="1738"/>
      <c r="AO184" s="1738"/>
      <c r="AP184" s="1738"/>
      <c r="AQ184" s="1738"/>
      <c r="AR184" s="1738"/>
      <c r="AS184" s="1738"/>
      <c r="AT184" s="1738"/>
      <c r="AU184" s="1738"/>
      <c r="AV184" s="1738"/>
      <c r="AW184" s="1738"/>
      <c r="AX184" s="1738"/>
      <c r="AY184" s="1738"/>
      <c r="AZ184" s="1738"/>
      <c r="BA184" s="1738"/>
      <c r="BB184" s="1738"/>
      <c r="BC184" s="1738"/>
      <c r="BD184" s="1738"/>
      <c r="BE184" s="1738"/>
      <c r="BF184" s="1738"/>
    </row>
    <row r="185" spans="1:58" ht="28.5" customHeight="1">
      <c r="A185" s="1084" t="s">
        <v>992</v>
      </c>
      <c r="B185" s="1084"/>
      <c r="C185" s="1084"/>
      <c r="D185" s="1078"/>
      <c r="E185" s="1088"/>
      <c r="F185" s="2605"/>
      <c r="G185" s="2606"/>
      <c r="H185" s="2601" t="s">
        <v>148</v>
      </c>
      <c r="I185" s="2613"/>
      <c r="J185" s="2624"/>
      <c r="K185" s="2615"/>
      <c r="L185" s="2338"/>
      <c r="M185" s="2339"/>
      <c r="N185" s="2618"/>
      <c r="O185" s="2619"/>
      <c r="P185" s="2622"/>
      <c r="Q185" s="2573"/>
      <c r="R185" s="2573"/>
      <c r="S185" s="2623"/>
      <c r="T185" s="2573"/>
      <c r="U185" s="2573"/>
      <c r="V185" s="2573"/>
      <c r="W185" s="2573"/>
      <c r="X185" s="2573"/>
      <c r="Y185" s="2573"/>
      <c r="Z185" s="1093"/>
      <c r="AA185" s="1094"/>
      <c r="AB185" s="1159" t="s">
        <v>1029</v>
      </c>
      <c r="AC185" s="1098"/>
      <c r="AD185" s="1098"/>
      <c r="AE185" s="1100"/>
      <c r="AF185" s="2616"/>
      <c r="AG185" s="2617"/>
      <c r="AH185" s="2617"/>
      <c r="AI185" s="2616"/>
      <c r="AJ185" s="2617"/>
      <c r="AK185" s="2617"/>
      <c r="AL185" s="1900"/>
      <c r="AM185" s="1738"/>
      <c r="AN185" s="1738"/>
      <c r="AO185" s="1738"/>
      <c r="AP185" s="1738"/>
      <c r="AQ185" s="1738"/>
      <c r="AR185" s="1738"/>
      <c r="AS185" s="1738"/>
      <c r="AT185" s="1738"/>
      <c r="AU185" s="1738"/>
      <c r="AV185" s="1738"/>
      <c r="AW185" s="1738"/>
      <c r="AX185" s="1738"/>
      <c r="AY185" s="1738"/>
      <c r="AZ185" s="1738"/>
      <c r="BA185" s="1738"/>
      <c r="BB185" s="1738"/>
      <c r="BC185" s="1738"/>
      <c r="BD185" s="1738"/>
      <c r="BE185" s="1738"/>
      <c r="BF185" s="1738"/>
    </row>
    <row r="186" spans="1:58" ht="29.25" customHeight="1">
      <c r="A186" s="1084" t="s">
        <v>992</v>
      </c>
      <c r="B186" s="1084"/>
      <c r="C186" s="1084"/>
      <c r="D186" s="1078"/>
      <c r="E186" s="1088"/>
      <c r="F186" s="2605"/>
      <c r="G186" s="2606"/>
      <c r="H186" s="2601" t="s">
        <v>148</v>
      </c>
      <c r="I186" s="2613"/>
      <c r="J186" s="2624"/>
      <c r="K186" s="2615"/>
      <c r="L186" s="2338"/>
      <c r="M186" s="2339"/>
      <c r="N186" s="1093"/>
      <c r="O186" s="1094"/>
      <c r="P186" s="1086" t="s">
        <v>1030</v>
      </c>
      <c r="Q186" s="1094"/>
      <c r="R186" s="1094"/>
      <c r="S186" s="1094"/>
      <c r="T186" s="1094"/>
      <c r="U186" s="1094"/>
      <c r="V186" s="1094"/>
      <c r="W186" s="1094"/>
      <c r="X186" s="1094"/>
      <c r="Y186" s="1094"/>
      <c r="Z186" s="1094"/>
      <c r="AA186" s="1094"/>
      <c r="AB186" s="1094"/>
      <c r="AC186" s="1094"/>
      <c r="AD186" s="1094"/>
      <c r="AE186" s="1101"/>
      <c r="AF186" s="2616"/>
      <c r="AG186" s="2617"/>
      <c r="AH186" s="2617"/>
      <c r="AI186" s="2616"/>
      <c r="AJ186" s="2617"/>
      <c r="AK186" s="2617"/>
      <c r="AL186" s="1900"/>
      <c r="AM186" s="1738"/>
      <c r="AN186" s="1738"/>
      <c r="AO186" s="1738"/>
      <c r="AP186" s="1738"/>
      <c r="AQ186" s="1738"/>
      <c r="AR186" s="1738"/>
      <c r="AS186" s="1738"/>
      <c r="AT186" s="1738"/>
      <c r="AU186" s="1738"/>
      <c r="AV186" s="1738"/>
      <c r="AW186" s="1738"/>
      <c r="AX186" s="1738"/>
      <c r="AY186" s="1738"/>
      <c r="AZ186" s="1738"/>
      <c r="BA186" s="1738"/>
      <c r="BB186" s="1738"/>
      <c r="BC186" s="1738"/>
      <c r="BD186" s="1738"/>
      <c r="BE186" s="1738"/>
      <c r="BF186" s="1738"/>
    </row>
    <row r="187" spans="1:58" ht="49.5" customHeight="1">
      <c r="A187" s="1084" t="s">
        <v>992</v>
      </c>
      <c r="B187" s="1084" t="s">
        <v>1031</v>
      </c>
      <c r="C187" s="1084"/>
      <c r="D187" s="1078"/>
      <c r="E187" s="1088"/>
      <c r="F187" s="2605"/>
      <c r="G187" s="2590" t="s">
        <v>686</v>
      </c>
      <c r="H187" s="2601" t="s">
        <v>150</v>
      </c>
      <c r="I187" s="2613" t="s">
        <v>1032</v>
      </c>
      <c r="J187" s="2624" t="s">
        <v>1033</v>
      </c>
      <c r="K187" s="2615" t="s">
        <v>1046</v>
      </c>
      <c r="L187" s="2338" t="s">
        <v>19</v>
      </c>
      <c r="M187" s="2339"/>
      <c r="N187" s="1898"/>
      <c r="O187" s="1095" t="s">
        <v>373</v>
      </c>
      <c r="P187" s="1096"/>
      <c r="Q187" s="1096"/>
      <c r="R187" s="1096"/>
      <c r="S187" s="1096"/>
      <c r="T187" s="1096"/>
      <c r="U187" s="1096"/>
      <c r="V187" s="1096"/>
      <c r="W187" s="1096"/>
      <c r="X187" s="1096"/>
      <c r="Y187" s="1096"/>
      <c r="Z187" s="1096"/>
      <c r="AA187" s="1096"/>
      <c r="AB187" s="1096"/>
      <c r="AC187" s="1096"/>
      <c r="AD187" s="1096"/>
      <c r="AE187" s="1096"/>
      <c r="AF187" s="2616">
        <v>5</v>
      </c>
      <c r="AG187" s="2617" t="s">
        <v>1026</v>
      </c>
      <c r="AH187" s="2617" t="s">
        <v>1027</v>
      </c>
      <c r="AI187" s="2616"/>
      <c r="AJ187" s="2617"/>
      <c r="AK187" s="2617"/>
      <c r="AL187" s="1900"/>
      <c r="AM187" s="1738"/>
      <c r="AN187" s="1738"/>
      <c r="AO187" s="1738"/>
      <c r="AP187" s="1738"/>
      <c r="AQ187" s="1738"/>
      <c r="AR187" s="1738"/>
      <c r="AS187" s="1738"/>
      <c r="AT187" s="1738"/>
      <c r="AU187" s="1738"/>
      <c r="AV187" s="1738"/>
      <c r="AW187" s="1738"/>
      <c r="AX187" s="1738"/>
      <c r="AY187" s="1738"/>
      <c r="AZ187" s="1738"/>
      <c r="BA187" s="1738"/>
      <c r="BB187" s="1738"/>
      <c r="BC187" s="1738"/>
      <c r="BD187" s="1738"/>
      <c r="BE187" s="1738"/>
      <c r="BF187" s="1738"/>
    </row>
    <row r="188" spans="1:58" ht="44.25" customHeight="1">
      <c r="A188" s="1084" t="s">
        <v>992</v>
      </c>
      <c r="B188" s="1084"/>
      <c r="C188" s="1084"/>
      <c r="D188" s="1078"/>
      <c r="E188" s="1088"/>
      <c r="F188" s="2605"/>
      <c r="G188" s="2606"/>
      <c r="H188" s="2601" t="s">
        <v>149</v>
      </c>
      <c r="I188" s="2613"/>
      <c r="J188" s="2624"/>
      <c r="K188" s="2615"/>
      <c r="L188" s="2338"/>
      <c r="M188" s="2339"/>
      <c r="N188" s="2618"/>
      <c r="O188" s="2619">
        <v>1</v>
      </c>
      <c r="P188" s="2620" t="s">
        <v>19</v>
      </c>
      <c r="Q188" s="2573" t="s">
        <v>22</v>
      </c>
      <c r="R188" s="2573" t="s">
        <v>22</v>
      </c>
      <c r="S188" s="2573" t="s">
        <v>22</v>
      </c>
      <c r="T188" s="2573" t="s">
        <v>22</v>
      </c>
      <c r="U188" s="2573" t="s">
        <v>22</v>
      </c>
      <c r="V188" s="2573" t="s">
        <v>22</v>
      </c>
      <c r="W188" s="2573" t="s">
        <v>22</v>
      </c>
      <c r="X188" s="2573" t="s">
        <v>22</v>
      </c>
      <c r="Y188" s="2573"/>
      <c r="Z188" s="1093"/>
      <c r="AA188" s="1094"/>
      <c r="AB188" s="1094"/>
      <c r="AC188" s="1098"/>
      <c r="AD188" s="1098"/>
      <c r="AE188" s="1099"/>
      <c r="AF188" s="2616"/>
      <c r="AG188" s="2617"/>
      <c r="AH188" s="2617"/>
      <c r="AI188" s="2616"/>
      <c r="AJ188" s="2617"/>
      <c r="AK188" s="2617"/>
      <c r="AL188" s="1900"/>
      <c r="AM188" s="1738"/>
      <c r="AN188" s="1738"/>
      <c r="AO188" s="1738"/>
      <c r="AP188" s="1738"/>
      <c r="AQ188" s="1738"/>
      <c r="AR188" s="1738"/>
      <c r="AS188" s="1738"/>
      <c r="AT188" s="1738"/>
      <c r="AU188" s="1738"/>
      <c r="AV188" s="1738"/>
      <c r="AW188" s="1738"/>
      <c r="AX188" s="1738"/>
      <c r="AY188" s="1738"/>
      <c r="AZ188" s="1738"/>
      <c r="BA188" s="1738"/>
      <c r="BB188" s="1738"/>
      <c r="BC188" s="1738"/>
      <c r="BD188" s="1738"/>
      <c r="BE188" s="1738"/>
      <c r="BF188" s="1738"/>
    </row>
    <row r="189" spans="1:58" ht="42" customHeight="1">
      <c r="A189" s="1084" t="s">
        <v>992</v>
      </c>
      <c r="B189" s="1084"/>
      <c r="C189" s="1084"/>
      <c r="D189" s="1078"/>
      <c r="E189" s="1088"/>
      <c r="F189" s="2605"/>
      <c r="G189" s="2606"/>
      <c r="H189" s="2601" t="s">
        <v>149</v>
      </c>
      <c r="I189" s="2613"/>
      <c r="J189" s="2624"/>
      <c r="K189" s="2615"/>
      <c r="L189" s="2338"/>
      <c r="M189" s="2339"/>
      <c r="N189" s="2618"/>
      <c r="O189" s="2619"/>
      <c r="P189" s="2621"/>
      <c r="Q189" s="2573"/>
      <c r="R189" s="2573"/>
      <c r="S189" s="2623"/>
      <c r="T189" s="2573"/>
      <c r="U189" s="2573"/>
      <c r="V189" s="2573"/>
      <c r="W189" s="2573"/>
      <c r="X189" s="2573"/>
      <c r="Y189" s="2573"/>
      <c r="Z189" s="1743"/>
      <c r="AA189" s="1711">
        <v>1</v>
      </c>
      <c r="AB189" s="1097" t="s">
        <v>1036</v>
      </c>
      <c r="AC189" s="1087">
        <v>40419.544675999103</v>
      </c>
      <c r="AD189" s="1097" t="str">
        <f>AB189</f>
        <v xml:space="preserve">      Прочие амортизационные отчисления</v>
      </c>
      <c r="AE189" s="1087"/>
      <c r="AF189" s="2616"/>
      <c r="AG189" s="2617"/>
      <c r="AH189" s="2617"/>
      <c r="AI189" s="2616"/>
      <c r="AJ189" s="2617"/>
      <c r="AK189" s="2617"/>
      <c r="AL189" s="1900"/>
      <c r="AM189" s="1738"/>
      <c r="AN189" s="1738"/>
      <c r="AO189" s="1738"/>
      <c r="AP189" s="1738"/>
      <c r="AQ189" s="1738"/>
      <c r="AR189" s="1738"/>
      <c r="AS189" s="1738"/>
      <c r="AT189" s="1738"/>
      <c r="AU189" s="1738"/>
      <c r="AV189" s="1738"/>
      <c r="AW189" s="1738"/>
      <c r="AX189" s="1738"/>
      <c r="AY189" s="1738"/>
      <c r="AZ189" s="1738"/>
      <c r="BA189" s="1738"/>
      <c r="BB189" s="1738"/>
      <c r="BC189" s="1738"/>
      <c r="BD189" s="1738"/>
      <c r="BE189" s="1738"/>
      <c r="BF189" s="1738"/>
    </row>
    <row r="190" spans="1:58" ht="11.25" customHeight="1">
      <c r="A190" s="1084" t="s">
        <v>992</v>
      </c>
      <c r="B190" s="1084"/>
      <c r="C190" s="1084"/>
      <c r="D190" s="1078"/>
      <c r="E190" s="1088"/>
      <c r="F190" s="2606"/>
      <c r="G190" s="2606"/>
      <c r="H190" s="2606"/>
      <c r="I190" s="2606"/>
      <c r="J190" s="2606"/>
      <c r="K190" s="2606"/>
      <c r="L190" s="2606"/>
      <c r="M190" s="2606"/>
      <c r="N190" s="2606"/>
      <c r="O190" s="2606"/>
      <c r="P190" s="2606"/>
      <c r="Q190" s="2606"/>
      <c r="R190" s="2606"/>
      <c r="S190" s="2606"/>
      <c r="T190" s="2606"/>
      <c r="U190" s="2606"/>
      <c r="V190" s="2606"/>
      <c r="W190" s="2606"/>
      <c r="X190" s="2606"/>
      <c r="Y190" s="2606"/>
      <c r="Z190" s="2054" t="s">
        <v>686</v>
      </c>
      <c r="AA190" s="1731" t="s">
        <v>109</v>
      </c>
      <c r="AB190" s="1097" t="s">
        <v>1028</v>
      </c>
      <c r="AC190" s="1087">
        <v>13402.533699380199</v>
      </c>
      <c r="AD190" s="1097" t="str">
        <f>AB190</f>
        <v xml:space="preserve">  Прочие</v>
      </c>
      <c r="AE190" s="1087"/>
      <c r="AF190" s="2625"/>
      <c r="AG190" s="2626"/>
      <c r="AH190" s="2626"/>
      <c r="AI190" s="2625"/>
      <c r="AJ190" s="2626"/>
      <c r="AK190" s="2627"/>
      <c r="AL190" s="1900"/>
      <c r="AM190" s="1738"/>
      <c r="AN190" s="1738"/>
      <c r="AO190" s="1738"/>
      <c r="AP190" s="1738"/>
      <c r="AQ190" s="1738"/>
      <c r="AR190" s="1738"/>
      <c r="AS190" s="1738"/>
      <c r="AT190" s="1738"/>
      <c r="AU190" s="1738"/>
      <c r="AV190" s="1738"/>
      <c r="AW190" s="1738"/>
      <c r="AX190" s="1738"/>
      <c r="AY190" s="1738"/>
      <c r="AZ190" s="1738"/>
      <c r="BA190" s="1738"/>
      <c r="BB190" s="1738"/>
      <c r="BC190" s="1738"/>
      <c r="BD190" s="1738"/>
      <c r="BE190" s="1738"/>
      <c r="BF190" s="1738"/>
    </row>
    <row r="191" spans="1:58" ht="39" customHeight="1">
      <c r="A191" s="1084" t="s">
        <v>992</v>
      </c>
      <c r="B191" s="1084"/>
      <c r="C191" s="1084"/>
      <c r="D191" s="1078"/>
      <c r="E191" s="1088"/>
      <c r="F191" s="2605"/>
      <c r="G191" s="2606"/>
      <c r="H191" s="2601" t="s">
        <v>149</v>
      </c>
      <c r="I191" s="2613"/>
      <c r="J191" s="2624"/>
      <c r="K191" s="2615"/>
      <c r="L191" s="2338"/>
      <c r="M191" s="2339"/>
      <c r="N191" s="2618"/>
      <c r="O191" s="2619"/>
      <c r="P191" s="2622"/>
      <c r="Q191" s="2573"/>
      <c r="R191" s="2573"/>
      <c r="S191" s="2623"/>
      <c r="T191" s="2573"/>
      <c r="U191" s="2573"/>
      <c r="V191" s="2573"/>
      <c r="W191" s="2573"/>
      <c r="X191" s="2573"/>
      <c r="Y191" s="2573"/>
      <c r="Z191" s="1093"/>
      <c r="AA191" s="1094"/>
      <c r="AB191" s="1159" t="s">
        <v>1029</v>
      </c>
      <c r="AC191" s="1098"/>
      <c r="AD191" s="1098"/>
      <c r="AE191" s="1100"/>
      <c r="AF191" s="2616"/>
      <c r="AG191" s="2617"/>
      <c r="AH191" s="2617"/>
      <c r="AI191" s="2616"/>
      <c r="AJ191" s="2617"/>
      <c r="AK191" s="2617"/>
      <c r="AL191" s="1900"/>
      <c r="AM191" s="1738"/>
      <c r="AN191" s="1738"/>
      <c r="AO191" s="1738"/>
      <c r="AP191" s="1738"/>
      <c r="AQ191" s="1738"/>
      <c r="AR191" s="1738"/>
      <c r="AS191" s="1738"/>
      <c r="AT191" s="1738"/>
      <c r="AU191" s="1738"/>
      <c r="AV191" s="1738"/>
      <c r="AW191" s="1738"/>
      <c r="AX191" s="1738"/>
      <c r="AY191" s="1738"/>
      <c r="AZ191" s="1738"/>
      <c r="BA191" s="1738"/>
      <c r="BB191" s="1738"/>
      <c r="BC191" s="1738"/>
      <c r="BD191" s="1738"/>
      <c r="BE191" s="1738"/>
      <c r="BF191" s="1738"/>
    </row>
    <row r="192" spans="1:58" ht="36" customHeight="1">
      <c r="A192" s="1084" t="s">
        <v>992</v>
      </c>
      <c r="B192" s="1084"/>
      <c r="C192" s="1084"/>
      <c r="D192" s="1078"/>
      <c r="E192" s="1088"/>
      <c r="F192" s="2605"/>
      <c r="G192" s="2606"/>
      <c r="H192" s="2601" t="s">
        <v>149</v>
      </c>
      <c r="I192" s="2613"/>
      <c r="J192" s="2624"/>
      <c r="K192" s="2615"/>
      <c r="L192" s="2338"/>
      <c r="M192" s="2339"/>
      <c r="N192" s="1093"/>
      <c r="O192" s="1094"/>
      <c r="P192" s="1086" t="s">
        <v>1030</v>
      </c>
      <c r="Q192" s="1094"/>
      <c r="R192" s="1094"/>
      <c r="S192" s="1094"/>
      <c r="T192" s="1094"/>
      <c r="U192" s="1094"/>
      <c r="V192" s="1094"/>
      <c r="W192" s="1094"/>
      <c r="X192" s="1094"/>
      <c r="Y192" s="1094"/>
      <c r="Z192" s="1094"/>
      <c r="AA192" s="1094"/>
      <c r="AB192" s="1094"/>
      <c r="AC192" s="1094"/>
      <c r="AD192" s="1094"/>
      <c r="AE192" s="1101"/>
      <c r="AF192" s="2616"/>
      <c r="AG192" s="2617"/>
      <c r="AH192" s="2617"/>
      <c r="AI192" s="2616"/>
      <c r="AJ192" s="2617"/>
      <c r="AK192" s="2617"/>
      <c r="AL192" s="1900"/>
      <c r="AM192" s="1738"/>
      <c r="AN192" s="1738"/>
      <c r="AO192" s="1738"/>
      <c r="AP192" s="1738"/>
      <c r="AQ192" s="1738"/>
      <c r="AR192" s="1738"/>
      <c r="AS192" s="1738"/>
      <c r="AT192" s="1738"/>
      <c r="AU192" s="1738"/>
      <c r="AV192" s="1738"/>
      <c r="AW192" s="1738"/>
      <c r="AX192" s="1738"/>
      <c r="AY192" s="1738"/>
      <c r="AZ192" s="1738"/>
      <c r="BA192" s="1738"/>
      <c r="BB192" s="1738"/>
      <c r="BC192" s="1738"/>
      <c r="BD192" s="1738"/>
      <c r="BE192" s="1738"/>
      <c r="BF192" s="1738"/>
    </row>
    <row r="193" spans="1:58" ht="11.25" customHeight="1">
      <c r="A193" s="1084" t="s">
        <v>992</v>
      </c>
      <c r="B193" s="1084" t="s">
        <v>1031</v>
      </c>
      <c r="C193" s="1084"/>
      <c r="D193" s="1078"/>
      <c r="E193" s="1088"/>
      <c r="F193" s="2605"/>
      <c r="G193" s="2590" t="s">
        <v>686</v>
      </c>
      <c r="H193" s="2601" t="s">
        <v>151</v>
      </c>
      <c r="I193" s="2613" t="s">
        <v>1032</v>
      </c>
      <c r="J193" s="2624" t="s">
        <v>1033</v>
      </c>
      <c r="K193" s="2615" t="s">
        <v>1047</v>
      </c>
      <c r="L193" s="2338" t="s">
        <v>19</v>
      </c>
      <c r="M193" s="2339"/>
      <c r="N193" s="1898"/>
      <c r="O193" s="1095" t="s">
        <v>373</v>
      </c>
      <c r="P193" s="1096"/>
      <c r="Q193" s="1096"/>
      <c r="R193" s="1096"/>
      <c r="S193" s="1096"/>
      <c r="T193" s="1096"/>
      <c r="U193" s="1096"/>
      <c r="V193" s="1096"/>
      <c r="W193" s="1096"/>
      <c r="X193" s="1096"/>
      <c r="Y193" s="1096"/>
      <c r="Z193" s="1096"/>
      <c r="AA193" s="1096"/>
      <c r="AB193" s="1096"/>
      <c r="AC193" s="1096"/>
      <c r="AD193" s="1096"/>
      <c r="AE193" s="1096"/>
      <c r="AF193" s="2616">
        <v>4</v>
      </c>
      <c r="AG193" s="2617" t="s">
        <v>1026</v>
      </c>
      <c r="AH193" s="2617" t="s">
        <v>1038</v>
      </c>
      <c r="AI193" s="2616"/>
      <c r="AJ193" s="2617"/>
      <c r="AK193" s="2617"/>
      <c r="AL193" s="1900"/>
      <c r="AM193" s="1738"/>
      <c r="AN193" s="1738"/>
      <c r="AO193" s="1738"/>
      <c r="AP193" s="1738"/>
      <c r="AQ193" s="1738"/>
      <c r="AR193" s="1738"/>
      <c r="AS193" s="1738"/>
      <c r="AT193" s="1738"/>
      <c r="AU193" s="1738"/>
      <c r="AV193" s="1738"/>
      <c r="AW193" s="1738"/>
      <c r="AX193" s="1738"/>
      <c r="AY193" s="1738"/>
      <c r="AZ193" s="1738"/>
      <c r="BA193" s="1738"/>
      <c r="BB193" s="1738"/>
      <c r="BC193" s="1738"/>
      <c r="BD193" s="1738"/>
      <c r="BE193" s="1738"/>
      <c r="BF193" s="1738"/>
    </row>
    <row r="194" spans="1:58" ht="11.25" customHeight="1">
      <c r="A194" s="1084" t="s">
        <v>992</v>
      </c>
      <c r="B194" s="1084"/>
      <c r="C194" s="1084"/>
      <c r="D194" s="1078"/>
      <c r="E194" s="1088"/>
      <c r="F194" s="2605"/>
      <c r="G194" s="2606"/>
      <c r="H194" s="2601" t="s">
        <v>150</v>
      </c>
      <c r="I194" s="2613"/>
      <c r="J194" s="2624"/>
      <c r="K194" s="2615"/>
      <c r="L194" s="2338"/>
      <c r="M194" s="2339"/>
      <c r="N194" s="2618"/>
      <c r="O194" s="2619">
        <v>1</v>
      </c>
      <c r="P194" s="2620" t="s">
        <v>19</v>
      </c>
      <c r="Q194" s="2573" t="s">
        <v>22</v>
      </c>
      <c r="R194" s="2573" t="s">
        <v>22</v>
      </c>
      <c r="S194" s="2573" t="s">
        <v>22</v>
      </c>
      <c r="T194" s="2573" t="s">
        <v>22</v>
      </c>
      <c r="U194" s="2573" t="s">
        <v>22</v>
      </c>
      <c r="V194" s="2573" t="s">
        <v>22</v>
      </c>
      <c r="W194" s="2573" t="s">
        <v>22</v>
      </c>
      <c r="X194" s="2573" t="s">
        <v>22</v>
      </c>
      <c r="Y194" s="2573"/>
      <c r="Z194" s="1093"/>
      <c r="AA194" s="1094"/>
      <c r="AB194" s="1094"/>
      <c r="AC194" s="1098"/>
      <c r="AD194" s="1098"/>
      <c r="AE194" s="1099"/>
      <c r="AF194" s="2616"/>
      <c r="AG194" s="2617"/>
      <c r="AH194" s="2617"/>
      <c r="AI194" s="2616"/>
      <c r="AJ194" s="2617"/>
      <c r="AK194" s="2617"/>
      <c r="AL194" s="1900"/>
      <c r="AM194" s="1738"/>
      <c r="AN194" s="1738"/>
      <c r="AO194" s="1738"/>
      <c r="AP194" s="1738"/>
      <c r="AQ194" s="1738"/>
      <c r="AR194" s="1738"/>
      <c r="AS194" s="1738"/>
      <c r="AT194" s="1738"/>
      <c r="AU194" s="1738"/>
      <c r="AV194" s="1738"/>
      <c r="AW194" s="1738"/>
      <c r="AX194" s="1738"/>
      <c r="AY194" s="1738"/>
      <c r="AZ194" s="1738"/>
      <c r="BA194" s="1738"/>
      <c r="BB194" s="1738"/>
      <c r="BC194" s="1738"/>
      <c r="BD194" s="1738"/>
      <c r="BE194" s="1738"/>
      <c r="BF194" s="1738"/>
    </row>
    <row r="195" spans="1:58" ht="11.25" customHeight="1">
      <c r="A195" s="1084" t="s">
        <v>992</v>
      </c>
      <c r="B195" s="1084"/>
      <c r="C195" s="1084"/>
      <c r="D195" s="1078"/>
      <c r="E195" s="1088"/>
      <c r="F195" s="2605"/>
      <c r="G195" s="2606"/>
      <c r="H195" s="2601" t="s">
        <v>150</v>
      </c>
      <c r="I195" s="2613"/>
      <c r="J195" s="2624"/>
      <c r="K195" s="2615"/>
      <c r="L195" s="2338"/>
      <c r="M195" s="2339"/>
      <c r="N195" s="2618"/>
      <c r="O195" s="2619"/>
      <c r="P195" s="2621"/>
      <c r="Q195" s="2573"/>
      <c r="R195" s="2573"/>
      <c r="S195" s="2623"/>
      <c r="T195" s="2573"/>
      <c r="U195" s="2573"/>
      <c r="V195" s="2573"/>
      <c r="W195" s="2573"/>
      <c r="X195" s="2573"/>
      <c r="Y195" s="2573"/>
      <c r="Z195" s="1743"/>
      <c r="AA195" s="1711">
        <v>1</v>
      </c>
      <c r="AB195" s="1097" t="s">
        <v>1036</v>
      </c>
      <c r="AC195" s="1087">
        <v>47696.352440399998</v>
      </c>
      <c r="AD195" s="1097" t="str">
        <f>AB195</f>
        <v xml:space="preserve">      Прочие амортизационные отчисления</v>
      </c>
      <c r="AE195" s="1087"/>
      <c r="AF195" s="2616"/>
      <c r="AG195" s="2617"/>
      <c r="AH195" s="2617"/>
      <c r="AI195" s="2616"/>
      <c r="AJ195" s="2617"/>
      <c r="AK195" s="2617"/>
      <c r="AL195" s="1900"/>
      <c r="AM195" s="1738"/>
      <c r="AN195" s="1738"/>
      <c r="AO195" s="1738"/>
      <c r="AP195" s="1738"/>
      <c r="AQ195" s="1738"/>
      <c r="AR195" s="1738"/>
      <c r="AS195" s="1738"/>
      <c r="AT195" s="1738"/>
      <c r="AU195" s="1738"/>
      <c r="AV195" s="1738"/>
      <c r="AW195" s="1738"/>
      <c r="AX195" s="1738"/>
      <c r="AY195" s="1738"/>
      <c r="AZ195" s="1738"/>
      <c r="BA195" s="1738"/>
      <c r="BB195" s="1738"/>
      <c r="BC195" s="1738"/>
      <c r="BD195" s="1738"/>
      <c r="BE195" s="1738"/>
      <c r="BF195" s="1738"/>
    </row>
    <row r="196" spans="1:58" ht="11.25" customHeight="1">
      <c r="A196" s="1084" t="s">
        <v>992</v>
      </c>
      <c r="B196" s="1084"/>
      <c r="C196" s="1084"/>
      <c r="D196" s="1078"/>
      <c r="E196" s="1088"/>
      <c r="F196" s="2606"/>
      <c r="G196" s="2606"/>
      <c r="H196" s="2606"/>
      <c r="I196" s="2606"/>
      <c r="J196" s="2606"/>
      <c r="K196" s="2606"/>
      <c r="L196" s="2606"/>
      <c r="M196" s="2606"/>
      <c r="N196" s="2606"/>
      <c r="O196" s="2606"/>
      <c r="P196" s="2606"/>
      <c r="Q196" s="2606"/>
      <c r="R196" s="2606"/>
      <c r="S196" s="2606"/>
      <c r="T196" s="2606"/>
      <c r="U196" s="2606"/>
      <c r="V196" s="2606"/>
      <c r="W196" s="2606"/>
      <c r="X196" s="2606"/>
      <c r="Y196" s="2606"/>
      <c r="Z196" s="2054" t="s">
        <v>686</v>
      </c>
      <c r="AA196" s="1731" t="s">
        <v>109</v>
      </c>
      <c r="AB196" s="1097" t="s">
        <v>1028</v>
      </c>
      <c r="AC196" s="1087">
        <v>51291.489027600001</v>
      </c>
      <c r="AD196" s="1097" t="str">
        <f>AB196</f>
        <v xml:space="preserve">  Прочие</v>
      </c>
      <c r="AE196" s="1087"/>
      <c r="AF196" s="2625"/>
      <c r="AG196" s="2626"/>
      <c r="AH196" s="2626"/>
      <c r="AI196" s="2625"/>
      <c r="AJ196" s="2626"/>
      <c r="AK196" s="2627"/>
      <c r="AL196" s="1900"/>
      <c r="AM196" s="1738"/>
      <c r="AN196" s="1738"/>
      <c r="AO196" s="1738"/>
      <c r="AP196" s="1738"/>
      <c r="AQ196" s="1738"/>
      <c r="AR196" s="1738"/>
      <c r="AS196" s="1738"/>
      <c r="AT196" s="1738"/>
      <c r="AU196" s="1738"/>
      <c r="AV196" s="1738"/>
      <c r="AW196" s="1738"/>
      <c r="AX196" s="1738"/>
      <c r="AY196" s="1738"/>
      <c r="AZ196" s="1738"/>
      <c r="BA196" s="1738"/>
      <c r="BB196" s="1738"/>
      <c r="BC196" s="1738"/>
      <c r="BD196" s="1738"/>
      <c r="BE196" s="1738"/>
      <c r="BF196" s="1738"/>
    </row>
    <row r="197" spans="1:58" ht="11.25" customHeight="1">
      <c r="A197" s="1084" t="s">
        <v>992</v>
      </c>
      <c r="B197" s="1084"/>
      <c r="C197" s="1084"/>
      <c r="D197" s="1078"/>
      <c r="E197" s="1088"/>
      <c r="F197" s="2605"/>
      <c r="G197" s="2606"/>
      <c r="H197" s="2601" t="s">
        <v>150</v>
      </c>
      <c r="I197" s="2613"/>
      <c r="J197" s="2624"/>
      <c r="K197" s="2615"/>
      <c r="L197" s="2338"/>
      <c r="M197" s="2339"/>
      <c r="N197" s="2618"/>
      <c r="O197" s="2619"/>
      <c r="P197" s="2622"/>
      <c r="Q197" s="2573"/>
      <c r="R197" s="2573"/>
      <c r="S197" s="2623"/>
      <c r="T197" s="2573"/>
      <c r="U197" s="2573"/>
      <c r="V197" s="2573"/>
      <c r="W197" s="2573"/>
      <c r="X197" s="2573"/>
      <c r="Y197" s="2573"/>
      <c r="Z197" s="1093"/>
      <c r="AA197" s="1094"/>
      <c r="AB197" s="1159" t="s">
        <v>1029</v>
      </c>
      <c r="AC197" s="1098"/>
      <c r="AD197" s="1098"/>
      <c r="AE197" s="1100"/>
      <c r="AF197" s="2616"/>
      <c r="AG197" s="2617"/>
      <c r="AH197" s="2617"/>
      <c r="AI197" s="2616"/>
      <c r="AJ197" s="2617"/>
      <c r="AK197" s="2617"/>
      <c r="AL197" s="1900"/>
      <c r="AM197" s="1738"/>
      <c r="AN197" s="1738"/>
      <c r="AO197" s="1738"/>
      <c r="AP197" s="1738"/>
      <c r="AQ197" s="1738"/>
      <c r="AR197" s="1738"/>
      <c r="AS197" s="1738"/>
      <c r="AT197" s="1738"/>
      <c r="AU197" s="1738"/>
      <c r="AV197" s="1738"/>
      <c r="AW197" s="1738"/>
      <c r="AX197" s="1738"/>
      <c r="AY197" s="1738"/>
      <c r="AZ197" s="1738"/>
      <c r="BA197" s="1738"/>
      <c r="BB197" s="1738"/>
      <c r="BC197" s="1738"/>
      <c r="BD197" s="1738"/>
      <c r="BE197" s="1738"/>
      <c r="BF197" s="1738"/>
    </row>
    <row r="198" spans="1:58" ht="11.25" customHeight="1">
      <c r="A198" s="1084" t="s">
        <v>992</v>
      </c>
      <c r="B198" s="1084"/>
      <c r="C198" s="1084"/>
      <c r="D198" s="1078"/>
      <c r="E198" s="1088"/>
      <c r="F198" s="2605"/>
      <c r="G198" s="2606"/>
      <c r="H198" s="2601" t="s">
        <v>150</v>
      </c>
      <c r="I198" s="2613"/>
      <c r="J198" s="2624"/>
      <c r="K198" s="2615"/>
      <c r="L198" s="2338"/>
      <c r="M198" s="2339"/>
      <c r="N198" s="1093"/>
      <c r="O198" s="1094"/>
      <c r="P198" s="1086" t="s">
        <v>1030</v>
      </c>
      <c r="Q198" s="1094"/>
      <c r="R198" s="1094"/>
      <c r="S198" s="1094"/>
      <c r="T198" s="1094"/>
      <c r="U198" s="1094"/>
      <c r="V198" s="1094"/>
      <c r="W198" s="1094"/>
      <c r="X198" s="1094"/>
      <c r="Y198" s="1094"/>
      <c r="Z198" s="1094"/>
      <c r="AA198" s="1094"/>
      <c r="AB198" s="1094"/>
      <c r="AC198" s="1094"/>
      <c r="AD198" s="1094"/>
      <c r="AE198" s="1101"/>
      <c r="AF198" s="2616"/>
      <c r="AG198" s="2617"/>
      <c r="AH198" s="2617"/>
      <c r="AI198" s="2616"/>
      <c r="AJ198" s="2617"/>
      <c r="AK198" s="2617"/>
      <c r="AL198" s="1900"/>
      <c r="AM198" s="1738"/>
      <c r="AN198" s="1738"/>
      <c r="AO198" s="1738"/>
      <c r="AP198" s="1738"/>
      <c r="AQ198" s="1738"/>
      <c r="AR198" s="1738"/>
      <c r="AS198" s="1738"/>
      <c r="AT198" s="1738"/>
      <c r="AU198" s="1738"/>
      <c r="AV198" s="1738"/>
      <c r="AW198" s="1738"/>
      <c r="AX198" s="1738"/>
      <c r="AY198" s="1738"/>
      <c r="AZ198" s="1738"/>
      <c r="BA198" s="1738"/>
      <c r="BB198" s="1738"/>
      <c r="BC198" s="1738"/>
      <c r="BD198" s="1738"/>
      <c r="BE198" s="1738"/>
      <c r="BF198" s="1738"/>
    </row>
    <row r="199" spans="1:58" ht="11.25" customHeight="1">
      <c r="A199" s="1084" t="s">
        <v>992</v>
      </c>
      <c r="B199" s="1084" t="s">
        <v>1031</v>
      </c>
      <c r="C199" s="1084"/>
      <c r="D199" s="1078"/>
      <c r="E199" s="1088"/>
      <c r="F199" s="2605"/>
      <c r="G199" s="2590" t="s">
        <v>686</v>
      </c>
      <c r="H199" s="2601" t="s">
        <v>152</v>
      </c>
      <c r="I199" s="2613" t="s">
        <v>1032</v>
      </c>
      <c r="J199" s="2624" t="s">
        <v>1033</v>
      </c>
      <c r="K199" s="2615" t="s">
        <v>1049</v>
      </c>
      <c r="L199" s="2338" t="s">
        <v>19</v>
      </c>
      <c r="M199" s="2339"/>
      <c r="N199" s="1898"/>
      <c r="O199" s="1095" t="s">
        <v>373</v>
      </c>
      <c r="P199" s="1096"/>
      <c r="Q199" s="1096"/>
      <c r="R199" s="1096"/>
      <c r="S199" s="1096"/>
      <c r="T199" s="1096"/>
      <c r="U199" s="1096"/>
      <c r="V199" s="1096"/>
      <c r="W199" s="1096"/>
      <c r="X199" s="1096"/>
      <c r="Y199" s="1096"/>
      <c r="Z199" s="1096"/>
      <c r="AA199" s="1096"/>
      <c r="AB199" s="1096"/>
      <c r="AC199" s="1096"/>
      <c r="AD199" s="1096"/>
      <c r="AE199" s="1096"/>
      <c r="AF199" s="2616">
        <v>3</v>
      </c>
      <c r="AG199" s="2617" t="s">
        <v>1026</v>
      </c>
      <c r="AH199" s="2617" t="s">
        <v>1038</v>
      </c>
      <c r="AI199" s="2616"/>
      <c r="AJ199" s="2617"/>
      <c r="AK199" s="2617"/>
      <c r="AL199" s="1900"/>
      <c r="AM199" s="1738"/>
      <c r="AN199" s="1738"/>
      <c r="AO199" s="1738"/>
      <c r="AP199" s="1738"/>
      <c r="AQ199" s="1738"/>
      <c r="AR199" s="1738"/>
      <c r="AS199" s="1738"/>
      <c r="AT199" s="1738"/>
      <c r="AU199" s="1738"/>
      <c r="AV199" s="1738"/>
      <c r="AW199" s="1738"/>
      <c r="AX199" s="1738"/>
      <c r="AY199" s="1738"/>
      <c r="AZ199" s="1738"/>
      <c r="BA199" s="1738"/>
      <c r="BB199" s="1738"/>
      <c r="BC199" s="1738"/>
      <c r="BD199" s="1738"/>
      <c r="BE199" s="1738"/>
      <c r="BF199" s="1738"/>
    </row>
    <row r="200" spans="1:58" ht="11.25" customHeight="1">
      <c r="A200" s="1084" t="s">
        <v>992</v>
      </c>
      <c r="B200" s="1084"/>
      <c r="C200" s="1084"/>
      <c r="D200" s="1078"/>
      <c r="E200" s="1088"/>
      <c r="F200" s="2605"/>
      <c r="G200" s="2606"/>
      <c r="H200" s="2601" t="s">
        <v>151</v>
      </c>
      <c r="I200" s="2613"/>
      <c r="J200" s="2624"/>
      <c r="K200" s="2615"/>
      <c r="L200" s="2338"/>
      <c r="M200" s="2339"/>
      <c r="N200" s="2618"/>
      <c r="O200" s="2619">
        <v>1</v>
      </c>
      <c r="P200" s="2620" t="s">
        <v>19</v>
      </c>
      <c r="Q200" s="2573" t="s">
        <v>22</v>
      </c>
      <c r="R200" s="2573" t="s">
        <v>22</v>
      </c>
      <c r="S200" s="2573" t="s">
        <v>22</v>
      </c>
      <c r="T200" s="2573" t="s">
        <v>22</v>
      </c>
      <c r="U200" s="2573" t="s">
        <v>22</v>
      </c>
      <c r="V200" s="2573" t="s">
        <v>22</v>
      </c>
      <c r="W200" s="2573" t="s">
        <v>22</v>
      </c>
      <c r="X200" s="2573" t="s">
        <v>22</v>
      </c>
      <c r="Y200" s="2573"/>
      <c r="Z200" s="1093"/>
      <c r="AA200" s="1094"/>
      <c r="AB200" s="1094"/>
      <c r="AC200" s="1098"/>
      <c r="AD200" s="1098"/>
      <c r="AE200" s="1099"/>
      <c r="AF200" s="2616"/>
      <c r="AG200" s="2617"/>
      <c r="AH200" s="2617"/>
      <c r="AI200" s="2616"/>
      <c r="AJ200" s="2617"/>
      <c r="AK200" s="2617"/>
      <c r="AL200" s="1900"/>
      <c r="AM200" s="1738"/>
      <c r="AN200" s="1738"/>
      <c r="AO200" s="1738"/>
      <c r="AP200" s="1738"/>
      <c r="AQ200" s="1738"/>
      <c r="AR200" s="1738"/>
      <c r="AS200" s="1738"/>
      <c r="AT200" s="1738"/>
      <c r="AU200" s="1738"/>
      <c r="AV200" s="1738"/>
      <c r="AW200" s="1738"/>
      <c r="AX200" s="1738"/>
      <c r="AY200" s="1738"/>
      <c r="AZ200" s="1738"/>
      <c r="BA200" s="1738"/>
      <c r="BB200" s="1738"/>
      <c r="BC200" s="1738"/>
      <c r="BD200" s="1738"/>
      <c r="BE200" s="1738"/>
      <c r="BF200" s="1738"/>
    </row>
    <row r="201" spans="1:58" ht="11.25" customHeight="1">
      <c r="A201" s="1084" t="s">
        <v>992</v>
      </c>
      <c r="B201" s="1084"/>
      <c r="C201" s="1084"/>
      <c r="D201" s="1078"/>
      <c r="E201" s="1088"/>
      <c r="F201" s="2605"/>
      <c r="G201" s="2606"/>
      <c r="H201" s="2601" t="s">
        <v>151</v>
      </c>
      <c r="I201" s="2613"/>
      <c r="J201" s="2624"/>
      <c r="K201" s="2615"/>
      <c r="L201" s="2338"/>
      <c r="M201" s="2339"/>
      <c r="N201" s="2618"/>
      <c r="O201" s="2619"/>
      <c r="P201" s="2621"/>
      <c r="Q201" s="2573"/>
      <c r="R201" s="2573"/>
      <c r="S201" s="2623"/>
      <c r="T201" s="2573"/>
      <c r="U201" s="2573"/>
      <c r="V201" s="2573"/>
      <c r="W201" s="2573"/>
      <c r="X201" s="2573"/>
      <c r="Y201" s="2573"/>
      <c r="Z201" s="1743"/>
      <c r="AA201" s="1711">
        <v>1</v>
      </c>
      <c r="AB201" s="1097" t="s">
        <v>1028</v>
      </c>
      <c r="AC201" s="1087">
        <v>15116.82</v>
      </c>
      <c r="AD201" s="1097" t="str">
        <f>AB201</f>
        <v xml:space="preserve">  Прочие</v>
      </c>
      <c r="AE201" s="1087"/>
      <c r="AF201" s="2616"/>
      <c r="AG201" s="2617"/>
      <c r="AH201" s="2617"/>
      <c r="AI201" s="2616"/>
      <c r="AJ201" s="2617"/>
      <c r="AK201" s="2617"/>
      <c r="AL201" s="1900"/>
      <c r="AM201" s="1738"/>
      <c r="AN201" s="1738"/>
      <c r="AO201" s="1738"/>
      <c r="AP201" s="1738"/>
      <c r="AQ201" s="1738"/>
      <c r="AR201" s="1738"/>
      <c r="AS201" s="1738"/>
      <c r="AT201" s="1738"/>
      <c r="AU201" s="1738"/>
      <c r="AV201" s="1738"/>
      <c r="AW201" s="1738"/>
      <c r="AX201" s="1738"/>
      <c r="AY201" s="1738"/>
      <c r="AZ201" s="1738"/>
      <c r="BA201" s="1738"/>
      <c r="BB201" s="1738"/>
      <c r="BC201" s="1738"/>
      <c r="BD201" s="1738"/>
      <c r="BE201" s="1738"/>
      <c r="BF201" s="1738"/>
    </row>
    <row r="202" spans="1:58" ht="11.25" customHeight="1">
      <c r="A202" s="1084" t="s">
        <v>992</v>
      </c>
      <c r="B202" s="1084"/>
      <c r="C202" s="1084"/>
      <c r="D202" s="1078"/>
      <c r="E202" s="1088"/>
      <c r="F202" s="2605"/>
      <c r="G202" s="2606"/>
      <c r="H202" s="2601" t="s">
        <v>151</v>
      </c>
      <c r="I202" s="2613"/>
      <c r="J202" s="2624"/>
      <c r="K202" s="2615"/>
      <c r="L202" s="2338"/>
      <c r="M202" s="2339"/>
      <c r="N202" s="2618"/>
      <c r="O202" s="2619"/>
      <c r="P202" s="2622"/>
      <c r="Q202" s="2573"/>
      <c r="R202" s="2573"/>
      <c r="S202" s="2623"/>
      <c r="T202" s="2573"/>
      <c r="U202" s="2573"/>
      <c r="V202" s="2573"/>
      <c r="W202" s="2573"/>
      <c r="X202" s="2573"/>
      <c r="Y202" s="2573"/>
      <c r="Z202" s="1093"/>
      <c r="AA202" s="1094"/>
      <c r="AB202" s="1159" t="s">
        <v>1029</v>
      </c>
      <c r="AC202" s="1098"/>
      <c r="AD202" s="1098"/>
      <c r="AE202" s="1100"/>
      <c r="AF202" s="2616"/>
      <c r="AG202" s="2617"/>
      <c r="AH202" s="2617"/>
      <c r="AI202" s="2616"/>
      <c r="AJ202" s="2617"/>
      <c r="AK202" s="2617"/>
      <c r="AL202" s="1900"/>
      <c r="AM202" s="1738"/>
      <c r="AN202" s="1738"/>
      <c r="AO202" s="1738"/>
      <c r="AP202" s="1738"/>
      <c r="AQ202" s="1738"/>
      <c r="AR202" s="1738"/>
      <c r="AS202" s="1738"/>
      <c r="AT202" s="1738"/>
      <c r="AU202" s="1738"/>
      <c r="AV202" s="1738"/>
      <c r="AW202" s="1738"/>
      <c r="AX202" s="1738"/>
      <c r="AY202" s="1738"/>
      <c r="AZ202" s="1738"/>
      <c r="BA202" s="1738"/>
      <c r="BB202" s="1738"/>
      <c r="BC202" s="1738"/>
      <c r="BD202" s="1738"/>
      <c r="BE202" s="1738"/>
      <c r="BF202" s="1738"/>
    </row>
    <row r="203" spans="1:58" ht="11.25" customHeight="1">
      <c r="A203" s="1084" t="s">
        <v>992</v>
      </c>
      <c r="B203" s="1084"/>
      <c r="C203" s="1084"/>
      <c r="D203" s="1078"/>
      <c r="E203" s="1088"/>
      <c r="F203" s="2605"/>
      <c r="G203" s="2606"/>
      <c r="H203" s="2601" t="s">
        <v>151</v>
      </c>
      <c r="I203" s="2613"/>
      <c r="J203" s="2624"/>
      <c r="K203" s="2615"/>
      <c r="L203" s="2338"/>
      <c r="M203" s="2339"/>
      <c r="N203" s="1093"/>
      <c r="O203" s="1094"/>
      <c r="P203" s="1086" t="s">
        <v>1030</v>
      </c>
      <c r="Q203" s="1094"/>
      <c r="R203" s="1094"/>
      <c r="S203" s="1094"/>
      <c r="T203" s="1094"/>
      <c r="U203" s="1094"/>
      <c r="V203" s="1094"/>
      <c r="W203" s="1094"/>
      <c r="X203" s="1094"/>
      <c r="Y203" s="1094"/>
      <c r="Z203" s="1094"/>
      <c r="AA203" s="1094"/>
      <c r="AB203" s="1094"/>
      <c r="AC203" s="1094"/>
      <c r="AD203" s="1094"/>
      <c r="AE203" s="1101"/>
      <c r="AF203" s="2616"/>
      <c r="AG203" s="2617"/>
      <c r="AH203" s="2617"/>
      <c r="AI203" s="2616"/>
      <c r="AJ203" s="2617"/>
      <c r="AK203" s="2617"/>
      <c r="AL203" s="1900"/>
      <c r="AM203" s="1738"/>
      <c r="AN203" s="1738"/>
      <c r="AO203" s="1738"/>
      <c r="AP203" s="1738"/>
      <c r="AQ203" s="1738"/>
      <c r="AR203" s="1738"/>
      <c r="AS203" s="1738"/>
      <c r="AT203" s="1738"/>
      <c r="AU203" s="1738"/>
      <c r="AV203" s="1738"/>
      <c r="AW203" s="1738"/>
      <c r="AX203" s="1738"/>
      <c r="AY203" s="1738"/>
      <c r="AZ203" s="1738"/>
      <c r="BA203" s="1738"/>
      <c r="BB203" s="1738"/>
      <c r="BC203" s="1738"/>
      <c r="BD203" s="1738"/>
      <c r="BE203" s="1738"/>
      <c r="BF203" s="1738"/>
    </row>
    <row r="204" spans="1:58" ht="30.75" customHeight="1">
      <c r="A204" s="1084" t="s">
        <v>992</v>
      </c>
      <c r="B204" s="1084" t="s">
        <v>1031</v>
      </c>
      <c r="C204" s="1084"/>
      <c r="D204" s="1078"/>
      <c r="E204" s="1088"/>
      <c r="F204" s="2605"/>
      <c r="G204" s="2590" t="s">
        <v>686</v>
      </c>
      <c r="H204" s="2601" t="s">
        <v>1054</v>
      </c>
      <c r="I204" s="2613" t="s">
        <v>1032</v>
      </c>
      <c r="J204" s="2624" t="s">
        <v>1033</v>
      </c>
      <c r="K204" s="2615" t="s">
        <v>1068</v>
      </c>
      <c r="L204" s="2338" t="s">
        <v>19</v>
      </c>
      <c r="M204" s="2339"/>
      <c r="N204" s="1898"/>
      <c r="O204" s="1095" t="s">
        <v>373</v>
      </c>
      <c r="P204" s="1096"/>
      <c r="Q204" s="1096"/>
      <c r="R204" s="1096"/>
      <c r="S204" s="1096"/>
      <c r="T204" s="1096"/>
      <c r="U204" s="1096"/>
      <c r="V204" s="1096"/>
      <c r="W204" s="1096"/>
      <c r="X204" s="1096"/>
      <c r="Y204" s="1096"/>
      <c r="Z204" s="1096"/>
      <c r="AA204" s="1096"/>
      <c r="AB204" s="1096"/>
      <c r="AC204" s="1096"/>
      <c r="AD204" s="1096"/>
      <c r="AE204" s="1096"/>
      <c r="AF204" s="2616">
        <v>4</v>
      </c>
      <c r="AG204" s="2617" t="s">
        <v>1026</v>
      </c>
      <c r="AH204" s="2617" t="s">
        <v>1035</v>
      </c>
      <c r="AI204" s="2616"/>
      <c r="AJ204" s="2617"/>
      <c r="AK204" s="2617"/>
      <c r="AL204" s="1900"/>
      <c r="AM204" s="1738"/>
      <c r="AN204" s="1738"/>
      <c r="AO204" s="1738"/>
      <c r="AP204" s="1738"/>
      <c r="AQ204" s="1738"/>
      <c r="AR204" s="1738"/>
      <c r="AS204" s="1738"/>
      <c r="AT204" s="1738"/>
      <c r="AU204" s="1738"/>
      <c r="AV204" s="1738"/>
      <c r="AW204" s="1738"/>
      <c r="AX204" s="1738"/>
      <c r="AY204" s="1738"/>
      <c r="AZ204" s="1738"/>
      <c r="BA204" s="1738"/>
      <c r="BB204" s="1738"/>
      <c r="BC204" s="1738"/>
      <c r="BD204" s="1738"/>
      <c r="BE204" s="1738"/>
      <c r="BF204" s="1738"/>
    </row>
    <row r="205" spans="1:58" ht="15.75" customHeight="1">
      <c r="A205" s="1084" t="s">
        <v>992</v>
      </c>
      <c r="B205" s="1084"/>
      <c r="C205" s="1084"/>
      <c r="D205" s="1078"/>
      <c r="E205" s="1088"/>
      <c r="F205" s="2605"/>
      <c r="G205" s="2606"/>
      <c r="H205" s="2601" t="s">
        <v>1056</v>
      </c>
      <c r="I205" s="2613"/>
      <c r="J205" s="2624"/>
      <c r="K205" s="2615"/>
      <c r="L205" s="2338"/>
      <c r="M205" s="2339"/>
      <c r="N205" s="2618"/>
      <c r="O205" s="2619">
        <v>1</v>
      </c>
      <c r="P205" s="2620" t="s">
        <v>19</v>
      </c>
      <c r="Q205" s="2573" t="s">
        <v>22</v>
      </c>
      <c r="R205" s="2573" t="s">
        <v>22</v>
      </c>
      <c r="S205" s="2573" t="s">
        <v>22</v>
      </c>
      <c r="T205" s="2573" t="s">
        <v>22</v>
      </c>
      <c r="U205" s="2573" t="s">
        <v>22</v>
      </c>
      <c r="V205" s="2573" t="s">
        <v>22</v>
      </c>
      <c r="W205" s="2573" t="s">
        <v>22</v>
      </c>
      <c r="X205" s="2573" t="s">
        <v>22</v>
      </c>
      <c r="Y205" s="2573"/>
      <c r="Z205" s="1093"/>
      <c r="AA205" s="1094"/>
      <c r="AB205" s="1094"/>
      <c r="AC205" s="1098"/>
      <c r="AD205" s="1098"/>
      <c r="AE205" s="1099"/>
      <c r="AF205" s="2616"/>
      <c r="AG205" s="2617"/>
      <c r="AH205" s="2617"/>
      <c r="AI205" s="2616"/>
      <c r="AJ205" s="2617"/>
      <c r="AK205" s="2617"/>
      <c r="AL205" s="1900"/>
      <c r="AM205" s="1738"/>
      <c r="AN205" s="1738"/>
      <c r="AO205" s="1738"/>
      <c r="AP205" s="1738"/>
      <c r="AQ205" s="1738"/>
      <c r="AR205" s="1738"/>
      <c r="AS205" s="1738"/>
      <c r="AT205" s="1738"/>
      <c r="AU205" s="1738"/>
      <c r="AV205" s="1738"/>
      <c r="AW205" s="1738"/>
      <c r="AX205" s="1738"/>
      <c r="AY205" s="1738"/>
      <c r="AZ205" s="1738"/>
      <c r="BA205" s="1738"/>
      <c r="BB205" s="1738"/>
      <c r="BC205" s="1738"/>
      <c r="BD205" s="1738"/>
      <c r="BE205" s="1738"/>
      <c r="BF205" s="1738"/>
    </row>
    <row r="206" spans="1:58" ht="11.25" customHeight="1">
      <c r="A206" s="1084" t="s">
        <v>992</v>
      </c>
      <c r="B206" s="1084"/>
      <c r="C206" s="1084"/>
      <c r="D206" s="1078"/>
      <c r="E206" s="1088"/>
      <c r="F206" s="2605"/>
      <c r="G206" s="2606"/>
      <c r="H206" s="2601" t="s">
        <v>1056</v>
      </c>
      <c r="I206" s="2613"/>
      <c r="J206" s="2624"/>
      <c r="K206" s="2615"/>
      <c r="L206" s="2338"/>
      <c r="M206" s="2339"/>
      <c r="N206" s="2618"/>
      <c r="O206" s="2619"/>
      <c r="P206" s="2621"/>
      <c r="Q206" s="2573"/>
      <c r="R206" s="2573"/>
      <c r="S206" s="2623"/>
      <c r="T206" s="2573"/>
      <c r="U206" s="2573"/>
      <c r="V206" s="2573"/>
      <c r="W206" s="2573"/>
      <c r="X206" s="2573"/>
      <c r="Y206" s="2573"/>
      <c r="Z206" s="1743"/>
      <c r="AA206" s="1711">
        <v>1</v>
      </c>
      <c r="AB206" s="1097" t="s">
        <v>1036</v>
      </c>
      <c r="AC206" s="1087">
        <v>2038.5760363536499</v>
      </c>
      <c r="AD206" s="1097" t="str">
        <f>AB206</f>
        <v xml:space="preserve">      Прочие амортизационные отчисления</v>
      </c>
      <c r="AE206" s="1087"/>
      <c r="AF206" s="2616"/>
      <c r="AG206" s="2617"/>
      <c r="AH206" s="2617"/>
      <c r="AI206" s="2616"/>
      <c r="AJ206" s="2617"/>
      <c r="AK206" s="2617"/>
      <c r="AL206" s="1900"/>
      <c r="AM206" s="1738"/>
      <c r="AN206" s="1738"/>
      <c r="AO206" s="1738"/>
      <c r="AP206" s="1738"/>
      <c r="AQ206" s="1738"/>
      <c r="AR206" s="1738"/>
      <c r="AS206" s="1738"/>
      <c r="AT206" s="1738"/>
      <c r="AU206" s="1738"/>
      <c r="AV206" s="1738"/>
      <c r="AW206" s="1738"/>
      <c r="AX206" s="1738"/>
      <c r="AY206" s="1738"/>
      <c r="AZ206" s="1738"/>
      <c r="BA206" s="1738"/>
      <c r="BB206" s="1738"/>
      <c r="BC206" s="1738"/>
      <c r="BD206" s="1738"/>
      <c r="BE206" s="1738"/>
      <c r="BF206" s="1738"/>
    </row>
    <row r="207" spans="1:58" ht="11.25" customHeight="1">
      <c r="A207" s="1084" t="s">
        <v>992</v>
      </c>
      <c r="B207" s="1084"/>
      <c r="C207" s="1084"/>
      <c r="D207" s="1078"/>
      <c r="E207" s="1088"/>
      <c r="F207" s="2606"/>
      <c r="G207" s="2606"/>
      <c r="H207" s="2606"/>
      <c r="I207" s="2606"/>
      <c r="J207" s="2606"/>
      <c r="K207" s="2606"/>
      <c r="L207" s="2606"/>
      <c r="M207" s="2606"/>
      <c r="N207" s="2606"/>
      <c r="O207" s="2606"/>
      <c r="P207" s="2606"/>
      <c r="Q207" s="2606"/>
      <c r="R207" s="2606"/>
      <c r="S207" s="2606"/>
      <c r="T207" s="2606"/>
      <c r="U207" s="2606"/>
      <c r="V207" s="2606"/>
      <c r="W207" s="2606"/>
      <c r="X207" s="2606"/>
      <c r="Y207" s="2606"/>
      <c r="Z207" s="2054" t="s">
        <v>686</v>
      </c>
      <c r="AA207" s="1731" t="s">
        <v>109</v>
      </c>
      <c r="AB207" s="1097" t="s">
        <v>1028</v>
      </c>
      <c r="AC207" s="1087">
        <v>2589.22543116917</v>
      </c>
      <c r="AD207" s="1097" t="str">
        <f>AB207</f>
        <v xml:space="preserve">  Прочие</v>
      </c>
      <c r="AE207" s="1087"/>
      <c r="AF207" s="2625"/>
      <c r="AG207" s="2626"/>
      <c r="AH207" s="2626"/>
      <c r="AI207" s="2625"/>
      <c r="AJ207" s="2626"/>
      <c r="AK207" s="2627"/>
      <c r="AL207" s="1900"/>
      <c r="AM207" s="1738"/>
      <c r="AN207" s="1738"/>
      <c r="AO207" s="1738"/>
      <c r="AP207" s="1738"/>
      <c r="AQ207" s="1738"/>
      <c r="AR207" s="1738"/>
      <c r="AS207" s="1738"/>
      <c r="AT207" s="1738"/>
      <c r="AU207" s="1738"/>
      <c r="AV207" s="1738"/>
      <c r="AW207" s="1738"/>
      <c r="AX207" s="1738"/>
      <c r="AY207" s="1738"/>
      <c r="AZ207" s="1738"/>
      <c r="BA207" s="1738"/>
      <c r="BB207" s="1738"/>
      <c r="BC207" s="1738"/>
      <c r="BD207" s="1738"/>
      <c r="BE207" s="1738"/>
      <c r="BF207" s="1738"/>
    </row>
    <row r="208" spans="1:58" ht="11.25" customHeight="1">
      <c r="A208" s="1084" t="s">
        <v>992</v>
      </c>
      <c r="B208" s="1084"/>
      <c r="C208" s="1084"/>
      <c r="D208" s="1078"/>
      <c r="E208" s="1088"/>
      <c r="F208" s="2605"/>
      <c r="G208" s="2606"/>
      <c r="H208" s="2601" t="s">
        <v>1056</v>
      </c>
      <c r="I208" s="2613"/>
      <c r="J208" s="2624"/>
      <c r="K208" s="2615"/>
      <c r="L208" s="2338"/>
      <c r="M208" s="2339"/>
      <c r="N208" s="2618"/>
      <c r="O208" s="2619"/>
      <c r="P208" s="2622"/>
      <c r="Q208" s="2573"/>
      <c r="R208" s="2573"/>
      <c r="S208" s="2623"/>
      <c r="T208" s="2573"/>
      <c r="U208" s="2573"/>
      <c r="V208" s="2573"/>
      <c r="W208" s="2573"/>
      <c r="X208" s="2573"/>
      <c r="Y208" s="2573"/>
      <c r="Z208" s="1093"/>
      <c r="AA208" s="1094"/>
      <c r="AB208" s="1159" t="s">
        <v>1029</v>
      </c>
      <c r="AC208" s="1098"/>
      <c r="AD208" s="1098"/>
      <c r="AE208" s="1100"/>
      <c r="AF208" s="2616"/>
      <c r="AG208" s="2617"/>
      <c r="AH208" s="2617"/>
      <c r="AI208" s="2616"/>
      <c r="AJ208" s="2617"/>
      <c r="AK208" s="2617"/>
      <c r="AL208" s="1900"/>
      <c r="AM208" s="1738"/>
      <c r="AN208" s="1738"/>
      <c r="AO208" s="1738"/>
      <c r="AP208" s="1738"/>
      <c r="AQ208" s="1738"/>
      <c r="AR208" s="1738"/>
      <c r="AS208" s="1738"/>
      <c r="AT208" s="1738"/>
      <c r="AU208" s="1738"/>
      <c r="AV208" s="1738"/>
      <c r="AW208" s="1738"/>
      <c r="AX208" s="1738"/>
      <c r="AY208" s="1738"/>
      <c r="AZ208" s="1738"/>
      <c r="BA208" s="1738"/>
      <c r="BB208" s="1738"/>
      <c r="BC208" s="1738"/>
      <c r="BD208" s="1738"/>
      <c r="BE208" s="1738"/>
      <c r="BF208" s="1738"/>
    </row>
    <row r="209" spans="1:58" ht="11.25" customHeight="1">
      <c r="A209" s="1084" t="s">
        <v>992</v>
      </c>
      <c r="B209" s="1084"/>
      <c r="C209" s="1084"/>
      <c r="D209" s="1078"/>
      <c r="E209" s="1088"/>
      <c r="F209" s="2605"/>
      <c r="G209" s="2606"/>
      <c r="H209" s="2601" t="s">
        <v>1056</v>
      </c>
      <c r="I209" s="2613"/>
      <c r="J209" s="2624"/>
      <c r="K209" s="2615"/>
      <c r="L209" s="2338"/>
      <c r="M209" s="2339"/>
      <c r="N209" s="1093"/>
      <c r="O209" s="1094"/>
      <c r="P209" s="1086" t="s">
        <v>1030</v>
      </c>
      <c r="Q209" s="1094"/>
      <c r="R209" s="1094"/>
      <c r="S209" s="1094"/>
      <c r="T209" s="1094"/>
      <c r="U209" s="1094"/>
      <c r="V209" s="1094"/>
      <c r="W209" s="1094"/>
      <c r="X209" s="1094"/>
      <c r="Y209" s="1094"/>
      <c r="Z209" s="1094"/>
      <c r="AA209" s="1094"/>
      <c r="AB209" s="1094"/>
      <c r="AC209" s="1094"/>
      <c r="AD209" s="1094"/>
      <c r="AE209" s="1101"/>
      <c r="AF209" s="2616"/>
      <c r="AG209" s="2617"/>
      <c r="AH209" s="2617"/>
      <c r="AI209" s="2616"/>
      <c r="AJ209" s="2617"/>
      <c r="AK209" s="2617"/>
      <c r="AL209" s="1900"/>
      <c r="AM209" s="1738"/>
      <c r="AN209" s="1738"/>
      <c r="AO209" s="1738"/>
      <c r="AP209" s="1738"/>
      <c r="AQ209" s="1738"/>
      <c r="AR209" s="1738"/>
      <c r="AS209" s="1738"/>
      <c r="AT209" s="1738"/>
      <c r="AU209" s="1738"/>
      <c r="AV209" s="1738"/>
      <c r="AW209" s="1738"/>
      <c r="AX209" s="1738"/>
      <c r="AY209" s="1738"/>
      <c r="AZ209" s="1738"/>
      <c r="BA209" s="1738"/>
      <c r="BB209" s="1738"/>
      <c r="BC209" s="1738"/>
      <c r="BD209" s="1738"/>
      <c r="BE209" s="1738"/>
      <c r="BF209" s="1738"/>
    </row>
    <row r="210" spans="1:58" ht="11.25" customHeight="1">
      <c r="A210" s="1084" t="s">
        <v>992</v>
      </c>
      <c r="B210" s="1084" t="s">
        <v>22</v>
      </c>
      <c r="C210" s="1084"/>
      <c r="D210" s="1078"/>
      <c r="E210" s="1088"/>
      <c r="F210" s="2605"/>
      <c r="G210" s="2590" t="s">
        <v>686</v>
      </c>
      <c r="H210" s="2601" t="s">
        <v>1056</v>
      </c>
      <c r="I210" s="2613" t="s">
        <v>1050</v>
      </c>
      <c r="J210" s="2614" t="s">
        <v>22</v>
      </c>
      <c r="K210" s="2615" t="s">
        <v>1051</v>
      </c>
      <c r="L210" s="2338" t="s">
        <v>19</v>
      </c>
      <c r="M210" s="2339"/>
      <c r="N210" s="1898"/>
      <c r="O210" s="1095" t="s">
        <v>373</v>
      </c>
      <c r="P210" s="1096"/>
      <c r="Q210" s="1096"/>
      <c r="R210" s="1096"/>
      <c r="S210" s="1096"/>
      <c r="T210" s="1096"/>
      <c r="U210" s="1096"/>
      <c r="V210" s="1096"/>
      <c r="W210" s="1096"/>
      <c r="X210" s="1096"/>
      <c r="Y210" s="1096"/>
      <c r="Z210" s="1096"/>
      <c r="AA210" s="1096"/>
      <c r="AB210" s="1096"/>
      <c r="AC210" s="1096"/>
      <c r="AD210" s="1096"/>
      <c r="AE210" s="1096"/>
      <c r="AF210" s="2616">
        <v>14</v>
      </c>
      <c r="AG210" s="2617" t="s">
        <v>1026</v>
      </c>
      <c r="AH210" s="2617" t="s">
        <v>1035</v>
      </c>
      <c r="AI210" s="2616"/>
      <c r="AJ210" s="2617"/>
      <c r="AK210" s="2617"/>
      <c r="AL210" s="1900"/>
      <c r="AM210" s="1738"/>
      <c r="AN210" s="1738"/>
      <c r="AO210" s="1738"/>
      <c r="AP210" s="1738"/>
      <c r="AQ210" s="1738"/>
      <c r="AR210" s="1738"/>
      <c r="AS210" s="1738"/>
      <c r="AT210" s="1738"/>
      <c r="AU210" s="1738"/>
      <c r="AV210" s="1738"/>
      <c r="AW210" s="1738"/>
      <c r="AX210" s="1738"/>
      <c r="AY210" s="1738"/>
      <c r="AZ210" s="1738"/>
      <c r="BA210" s="1738"/>
      <c r="BB210" s="1738"/>
      <c r="BC210" s="1738"/>
      <c r="BD210" s="1738"/>
      <c r="BE210" s="1738"/>
      <c r="BF210" s="1738"/>
    </row>
    <row r="211" spans="1:58" ht="11.25" customHeight="1">
      <c r="A211" s="1084" t="s">
        <v>992</v>
      </c>
      <c r="B211" s="1084"/>
      <c r="C211" s="1084"/>
      <c r="D211" s="1078"/>
      <c r="E211" s="1088"/>
      <c r="F211" s="2605"/>
      <c r="G211" s="2606"/>
      <c r="H211" s="2601" t="s">
        <v>1059</v>
      </c>
      <c r="I211" s="2613"/>
      <c r="J211" s="2614"/>
      <c r="K211" s="2615"/>
      <c r="L211" s="2338"/>
      <c r="M211" s="2339"/>
      <c r="N211" s="2618"/>
      <c r="O211" s="2619">
        <v>1</v>
      </c>
      <c r="P211" s="2620" t="s">
        <v>19</v>
      </c>
      <c r="Q211" s="2573" t="s">
        <v>22</v>
      </c>
      <c r="R211" s="2573" t="s">
        <v>22</v>
      </c>
      <c r="S211" s="2573" t="s">
        <v>22</v>
      </c>
      <c r="T211" s="2573" t="s">
        <v>22</v>
      </c>
      <c r="U211" s="2573" t="s">
        <v>22</v>
      </c>
      <c r="V211" s="2573" t="s">
        <v>22</v>
      </c>
      <c r="W211" s="2573" t="s">
        <v>22</v>
      </c>
      <c r="X211" s="2573" t="s">
        <v>22</v>
      </c>
      <c r="Y211" s="2573"/>
      <c r="Z211" s="1093"/>
      <c r="AA211" s="1094"/>
      <c r="AB211" s="1094"/>
      <c r="AC211" s="1098"/>
      <c r="AD211" s="1098"/>
      <c r="AE211" s="1099"/>
      <c r="AF211" s="2616"/>
      <c r="AG211" s="2617"/>
      <c r="AH211" s="2617"/>
      <c r="AI211" s="2616"/>
      <c r="AJ211" s="2617"/>
      <c r="AK211" s="2617"/>
      <c r="AL211" s="1900"/>
      <c r="AM211" s="1738"/>
      <c r="AN211" s="1738"/>
      <c r="AO211" s="1738"/>
      <c r="AP211" s="1738"/>
      <c r="AQ211" s="1738"/>
      <c r="AR211" s="1738"/>
      <c r="AS211" s="1738"/>
      <c r="AT211" s="1738"/>
      <c r="AU211" s="1738"/>
      <c r="AV211" s="1738"/>
      <c r="AW211" s="1738"/>
      <c r="AX211" s="1738"/>
      <c r="AY211" s="1738"/>
      <c r="AZ211" s="1738"/>
      <c r="BA211" s="1738"/>
      <c r="BB211" s="1738"/>
      <c r="BC211" s="1738"/>
      <c r="BD211" s="1738"/>
      <c r="BE211" s="1738"/>
      <c r="BF211" s="1738"/>
    </row>
    <row r="212" spans="1:58" ht="11.25" customHeight="1">
      <c r="A212" s="1084" t="s">
        <v>992</v>
      </c>
      <c r="B212" s="1084"/>
      <c r="C212" s="1084"/>
      <c r="D212" s="1078"/>
      <c r="E212" s="1088"/>
      <c r="F212" s="2605"/>
      <c r="G212" s="2606"/>
      <c r="H212" s="2601" t="s">
        <v>1059</v>
      </c>
      <c r="I212" s="2613"/>
      <c r="J212" s="2614"/>
      <c r="K212" s="2615"/>
      <c r="L212" s="2338"/>
      <c r="M212" s="2339"/>
      <c r="N212" s="2618"/>
      <c r="O212" s="2619"/>
      <c r="P212" s="2621"/>
      <c r="Q212" s="2573"/>
      <c r="R212" s="2573"/>
      <c r="S212" s="2623"/>
      <c r="T212" s="2573"/>
      <c r="U212" s="2573"/>
      <c r="V212" s="2573"/>
      <c r="W212" s="2573"/>
      <c r="X212" s="2573"/>
      <c r="Y212" s="2573"/>
      <c r="Z212" s="1743"/>
      <c r="AA212" s="1711">
        <v>1</v>
      </c>
      <c r="AB212" s="1097" t="s">
        <v>1036</v>
      </c>
      <c r="AC212" s="1087">
        <v>3802.5882637464902</v>
      </c>
      <c r="AD212" s="1097" t="str">
        <f>AB212</f>
        <v xml:space="preserve">      Прочие амортизационные отчисления</v>
      </c>
      <c r="AE212" s="1087"/>
      <c r="AF212" s="2616"/>
      <c r="AG212" s="2617"/>
      <c r="AH212" s="2617"/>
      <c r="AI212" s="2616"/>
      <c r="AJ212" s="2617"/>
      <c r="AK212" s="2617"/>
      <c r="AL212" s="1900"/>
      <c r="AM212" s="1738"/>
      <c r="AN212" s="1738"/>
      <c r="AO212" s="1738"/>
      <c r="AP212" s="1738"/>
      <c r="AQ212" s="1738"/>
      <c r="AR212" s="1738"/>
      <c r="AS212" s="1738"/>
      <c r="AT212" s="1738"/>
      <c r="AU212" s="1738"/>
      <c r="AV212" s="1738"/>
      <c r="AW212" s="1738"/>
      <c r="AX212" s="1738"/>
      <c r="AY212" s="1738"/>
      <c r="AZ212" s="1738"/>
      <c r="BA212" s="1738"/>
      <c r="BB212" s="1738"/>
      <c r="BC212" s="1738"/>
      <c r="BD212" s="1738"/>
      <c r="BE212" s="1738"/>
      <c r="BF212" s="1738"/>
    </row>
    <row r="213" spans="1:58" ht="11.25" customHeight="1">
      <c r="A213" s="1084" t="s">
        <v>992</v>
      </c>
      <c r="B213" s="1084"/>
      <c r="C213" s="1084"/>
      <c r="D213" s="1078"/>
      <c r="E213" s="1088"/>
      <c r="F213" s="2606"/>
      <c r="G213" s="2606"/>
      <c r="H213" s="2606"/>
      <c r="I213" s="2606"/>
      <c r="J213" s="2606"/>
      <c r="K213" s="2606"/>
      <c r="L213" s="2606"/>
      <c r="M213" s="2606"/>
      <c r="N213" s="2606"/>
      <c r="O213" s="2606"/>
      <c r="P213" s="2606"/>
      <c r="Q213" s="2606"/>
      <c r="R213" s="2606"/>
      <c r="S213" s="2606"/>
      <c r="T213" s="2606"/>
      <c r="U213" s="2606"/>
      <c r="V213" s="2606"/>
      <c r="W213" s="2606"/>
      <c r="X213" s="2606"/>
      <c r="Y213" s="2606"/>
      <c r="Z213" s="2054" t="s">
        <v>686</v>
      </c>
      <c r="AA213" s="1731" t="s">
        <v>109</v>
      </c>
      <c r="AB213" s="1097" t="s">
        <v>1028</v>
      </c>
      <c r="AC213" s="1087">
        <v>68260.867736253495</v>
      </c>
      <c r="AD213" s="1097" t="str">
        <f>AB213</f>
        <v xml:space="preserve">  Прочие</v>
      </c>
      <c r="AE213" s="1087"/>
      <c r="AF213" s="2625"/>
      <c r="AG213" s="2626"/>
      <c r="AH213" s="2626"/>
      <c r="AI213" s="2625"/>
      <c r="AJ213" s="2626"/>
      <c r="AK213" s="2627"/>
      <c r="AL213" s="1900"/>
      <c r="AM213" s="1738"/>
      <c r="AN213" s="1738"/>
      <c r="AO213" s="1738"/>
      <c r="AP213" s="1738"/>
      <c r="AQ213" s="1738"/>
      <c r="AR213" s="1738"/>
      <c r="AS213" s="1738"/>
      <c r="AT213" s="1738"/>
      <c r="AU213" s="1738"/>
      <c r="AV213" s="1738"/>
      <c r="AW213" s="1738"/>
      <c r="AX213" s="1738"/>
      <c r="AY213" s="1738"/>
      <c r="AZ213" s="1738"/>
      <c r="BA213" s="1738"/>
      <c r="BB213" s="1738"/>
      <c r="BC213" s="1738"/>
      <c r="BD213" s="1738"/>
      <c r="BE213" s="1738"/>
      <c r="BF213" s="1738"/>
    </row>
    <row r="214" spans="1:58" ht="11.25" customHeight="1">
      <c r="A214" s="1084" t="s">
        <v>992</v>
      </c>
      <c r="B214" s="1084"/>
      <c r="C214" s="1084"/>
      <c r="D214" s="1078"/>
      <c r="E214" s="1088"/>
      <c r="F214" s="2605"/>
      <c r="G214" s="2606"/>
      <c r="H214" s="2601" t="s">
        <v>1059</v>
      </c>
      <c r="I214" s="2613"/>
      <c r="J214" s="2614"/>
      <c r="K214" s="2615"/>
      <c r="L214" s="2338"/>
      <c r="M214" s="2339"/>
      <c r="N214" s="2618"/>
      <c r="O214" s="2619"/>
      <c r="P214" s="2622"/>
      <c r="Q214" s="2573"/>
      <c r="R214" s="2573"/>
      <c r="S214" s="2623"/>
      <c r="T214" s="2573"/>
      <c r="U214" s="2573"/>
      <c r="V214" s="2573"/>
      <c r="W214" s="2573"/>
      <c r="X214" s="2573"/>
      <c r="Y214" s="2573"/>
      <c r="Z214" s="1093"/>
      <c r="AA214" s="1094"/>
      <c r="AB214" s="1159" t="s">
        <v>1029</v>
      </c>
      <c r="AC214" s="1098"/>
      <c r="AD214" s="1098"/>
      <c r="AE214" s="1100"/>
      <c r="AF214" s="2616"/>
      <c r="AG214" s="2617"/>
      <c r="AH214" s="2617"/>
      <c r="AI214" s="2616"/>
      <c r="AJ214" s="2617"/>
      <c r="AK214" s="2617"/>
      <c r="AL214" s="1900"/>
      <c r="AM214" s="1738"/>
      <c r="AN214" s="1738"/>
      <c r="AO214" s="1738"/>
      <c r="AP214" s="1738"/>
      <c r="AQ214" s="1738"/>
      <c r="AR214" s="1738"/>
      <c r="AS214" s="1738"/>
      <c r="AT214" s="1738"/>
      <c r="AU214" s="1738"/>
      <c r="AV214" s="1738"/>
      <c r="AW214" s="1738"/>
      <c r="AX214" s="1738"/>
      <c r="AY214" s="1738"/>
      <c r="AZ214" s="1738"/>
      <c r="BA214" s="1738"/>
      <c r="BB214" s="1738"/>
      <c r="BC214" s="1738"/>
      <c r="BD214" s="1738"/>
      <c r="BE214" s="1738"/>
      <c r="BF214" s="1738"/>
    </row>
    <row r="215" spans="1:58" ht="11.25" customHeight="1">
      <c r="A215" s="1084" t="s">
        <v>992</v>
      </c>
      <c r="B215" s="1084"/>
      <c r="C215" s="1084"/>
      <c r="D215" s="1078"/>
      <c r="E215" s="1088"/>
      <c r="F215" s="2605"/>
      <c r="G215" s="2606"/>
      <c r="H215" s="2601" t="s">
        <v>1059</v>
      </c>
      <c r="I215" s="2613"/>
      <c r="J215" s="2614"/>
      <c r="K215" s="2615"/>
      <c r="L215" s="2338"/>
      <c r="M215" s="2339"/>
      <c r="N215" s="1093"/>
      <c r="O215" s="1094"/>
      <c r="P215" s="1086" t="s">
        <v>1030</v>
      </c>
      <c r="Q215" s="1094"/>
      <c r="R215" s="1094"/>
      <c r="S215" s="1094"/>
      <c r="T215" s="1094"/>
      <c r="U215" s="1094"/>
      <c r="V215" s="1094"/>
      <c r="W215" s="1094"/>
      <c r="X215" s="1094"/>
      <c r="Y215" s="1094"/>
      <c r="Z215" s="1094"/>
      <c r="AA215" s="1094"/>
      <c r="AB215" s="1094"/>
      <c r="AC215" s="1094"/>
      <c r="AD215" s="1094"/>
      <c r="AE215" s="1101"/>
      <c r="AF215" s="2616"/>
      <c r="AG215" s="2617"/>
      <c r="AH215" s="2617"/>
      <c r="AI215" s="2616"/>
      <c r="AJ215" s="2617"/>
      <c r="AK215" s="2617"/>
      <c r="AL215" s="1900"/>
      <c r="AM215" s="1738"/>
      <c r="AN215" s="1738"/>
      <c r="AO215" s="1738"/>
      <c r="AP215" s="1738"/>
      <c r="AQ215" s="1738"/>
      <c r="AR215" s="1738"/>
      <c r="AS215" s="1738"/>
      <c r="AT215" s="1738"/>
      <c r="AU215" s="1738"/>
      <c r="AV215" s="1738"/>
      <c r="AW215" s="1738"/>
      <c r="AX215" s="1738"/>
      <c r="AY215" s="1738"/>
      <c r="AZ215" s="1738"/>
      <c r="BA215" s="1738"/>
      <c r="BB215" s="1738"/>
      <c r="BC215" s="1738"/>
      <c r="BD215" s="1738"/>
      <c r="BE215" s="1738"/>
      <c r="BF215" s="1738"/>
    </row>
    <row r="216" spans="1:58" ht="21" customHeight="1">
      <c r="A216" s="1084" t="s">
        <v>992</v>
      </c>
      <c r="B216" s="1084" t="s">
        <v>22</v>
      </c>
      <c r="C216" s="1084"/>
      <c r="D216" s="1078"/>
      <c r="E216" s="1088"/>
      <c r="F216" s="2605"/>
      <c r="G216" s="2590" t="s">
        <v>686</v>
      </c>
      <c r="H216" s="2601" t="s">
        <v>1059</v>
      </c>
      <c r="I216" s="2613" t="s">
        <v>1050</v>
      </c>
      <c r="J216" s="2614" t="s">
        <v>22</v>
      </c>
      <c r="K216" s="2615" t="s">
        <v>1069</v>
      </c>
      <c r="L216" s="2338" t="s">
        <v>19</v>
      </c>
      <c r="M216" s="2339"/>
      <c r="N216" s="1898"/>
      <c r="O216" s="1095" t="s">
        <v>373</v>
      </c>
      <c r="P216" s="1096"/>
      <c r="Q216" s="1096"/>
      <c r="R216" s="1096"/>
      <c r="S216" s="1096"/>
      <c r="T216" s="1096"/>
      <c r="U216" s="1096"/>
      <c r="V216" s="1096"/>
      <c r="W216" s="1096"/>
      <c r="X216" s="1096"/>
      <c r="Y216" s="1096"/>
      <c r="Z216" s="1096"/>
      <c r="AA216" s="1096"/>
      <c r="AB216" s="1096"/>
      <c r="AC216" s="1096"/>
      <c r="AD216" s="1096"/>
      <c r="AE216" s="1096"/>
      <c r="AF216" s="2616">
        <v>4</v>
      </c>
      <c r="AG216" s="2617" t="s">
        <v>1026</v>
      </c>
      <c r="AH216" s="2617" t="s">
        <v>1035</v>
      </c>
      <c r="AI216" s="2616"/>
      <c r="AJ216" s="2617"/>
      <c r="AK216" s="2617"/>
      <c r="AL216" s="1900"/>
      <c r="AM216" s="1738"/>
      <c r="AN216" s="1738"/>
      <c r="AO216" s="1738"/>
      <c r="AP216" s="1738"/>
      <c r="AQ216" s="1738"/>
      <c r="AR216" s="1738"/>
      <c r="AS216" s="1738"/>
      <c r="AT216" s="1738"/>
      <c r="AU216" s="1738"/>
      <c r="AV216" s="1738"/>
      <c r="AW216" s="1738"/>
      <c r="AX216" s="1738"/>
      <c r="AY216" s="1738"/>
      <c r="AZ216" s="1738"/>
      <c r="BA216" s="1738"/>
      <c r="BB216" s="1738"/>
      <c r="BC216" s="1738"/>
      <c r="BD216" s="1738"/>
      <c r="BE216" s="1738"/>
      <c r="BF216" s="1738"/>
    </row>
    <row r="217" spans="1:58" ht="11.25" customHeight="1">
      <c r="A217" s="1084" t="s">
        <v>992</v>
      </c>
      <c r="B217" s="1084"/>
      <c r="C217" s="1084"/>
      <c r="D217" s="1078"/>
      <c r="E217" s="1088"/>
      <c r="F217" s="2605"/>
      <c r="G217" s="2606"/>
      <c r="H217" s="2601" t="s">
        <v>1061</v>
      </c>
      <c r="I217" s="2613"/>
      <c r="J217" s="2614"/>
      <c r="K217" s="2615"/>
      <c r="L217" s="2338"/>
      <c r="M217" s="2339"/>
      <c r="N217" s="2618"/>
      <c r="O217" s="2619">
        <v>1</v>
      </c>
      <c r="P217" s="2620" t="s">
        <v>19</v>
      </c>
      <c r="Q217" s="2573" t="s">
        <v>22</v>
      </c>
      <c r="R217" s="2573" t="s">
        <v>22</v>
      </c>
      <c r="S217" s="2573" t="s">
        <v>22</v>
      </c>
      <c r="T217" s="2573" t="s">
        <v>22</v>
      </c>
      <c r="U217" s="2573" t="s">
        <v>22</v>
      </c>
      <c r="V217" s="2573" t="s">
        <v>22</v>
      </c>
      <c r="W217" s="2573" t="s">
        <v>22</v>
      </c>
      <c r="X217" s="2573" t="s">
        <v>22</v>
      </c>
      <c r="Y217" s="2573"/>
      <c r="Z217" s="1093"/>
      <c r="AA217" s="1094"/>
      <c r="AB217" s="1094"/>
      <c r="AC217" s="1098"/>
      <c r="AD217" s="1098"/>
      <c r="AE217" s="1099"/>
      <c r="AF217" s="2616"/>
      <c r="AG217" s="2617"/>
      <c r="AH217" s="2617"/>
      <c r="AI217" s="2616"/>
      <c r="AJ217" s="2617"/>
      <c r="AK217" s="2617"/>
      <c r="AL217" s="1900"/>
      <c r="AM217" s="1738"/>
      <c r="AN217" s="1738"/>
      <c r="AO217" s="1738"/>
      <c r="AP217" s="1738"/>
      <c r="AQ217" s="1738"/>
      <c r="AR217" s="1738"/>
      <c r="AS217" s="1738"/>
      <c r="AT217" s="1738"/>
      <c r="AU217" s="1738"/>
      <c r="AV217" s="1738"/>
      <c r="AW217" s="1738"/>
      <c r="AX217" s="1738"/>
      <c r="AY217" s="1738"/>
      <c r="AZ217" s="1738"/>
      <c r="BA217" s="1738"/>
      <c r="BB217" s="1738"/>
      <c r="BC217" s="1738"/>
      <c r="BD217" s="1738"/>
      <c r="BE217" s="1738"/>
      <c r="BF217" s="1738"/>
    </row>
    <row r="218" spans="1:58" ht="11.25" customHeight="1">
      <c r="A218" s="1084" t="s">
        <v>992</v>
      </c>
      <c r="B218" s="1084"/>
      <c r="C218" s="1084"/>
      <c r="D218" s="1078"/>
      <c r="E218" s="1088"/>
      <c r="F218" s="2605"/>
      <c r="G218" s="2606"/>
      <c r="H218" s="2601" t="s">
        <v>1061</v>
      </c>
      <c r="I218" s="2613"/>
      <c r="J218" s="2614"/>
      <c r="K218" s="2615"/>
      <c r="L218" s="2338"/>
      <c r="M218" s="2339"/>
      <c r="N218" s="2618"/>
      <c r="O218" s="2619"/>
      <c r="P218" s="2621"/>
      <c r="Q218" s="2573"/>
      <c r="R218" s="2573"/>
      <c r="S218" s="2623"/>
      <c r="T218" s="2573"/>
      <c r="U218" s="2573"/>
      <c r="V218" s="2573"/>
      <c r="W218" s="2573"/>
      <c r="X218" s="2573"/>
      <c r="Y218" s="2573"/>
      <c r="Z218" s="1743"/>
      <c r="AA218" s="1711">
        <v>1</v>
      </c>
      <c r="AB218" s="1097" t="s">
        <v>1028</v>
      </c>
      <c r="AC218" s="1087">
        <v>900</v>
      </c>
      <c r="AD218" s="1097" t="str">
        <f>AB218</f>
        <v xml:space="preserve">  Прочие</v>
      </c>
      <c r="AE218" s="1087"/>
      <c r="AF218" s="2616"/>
      <c r="AG218" s="2617"/>
      <c r="AH218" s="2617"/>
      <c r="AI218" s="2616"/>
      <c r="AJ218" s="2617"/>
      <c r="AK218" s="2617"/>
      <c r="AL218" s="1900"/>
      <c r="AM218" s="1738"/>
      <c r="AN218" s="1738"/>
      <c r="AO218" s="1738"/>
      <c r="AP218" s="1738"/>
      <c r="AQ218" s="1738"/>
      <c r="AR218" s="1738"/>
      <c r="AS218" s="1738"/>
      <c r="AT218" s="1738"/>
      <c r="AU218" s="1738"/>
      <c r="AV218" s="1738"/>
      <c r="AW218" s="1738"/>
      <c r="AX218" s="1738"/>
      <c r="AY218" s="1738"/>
      <c r="AZ218" s="1738"/>
      <c r="BA218" s="1738"/>
      <c r="BB218" s="1738"/>
      <c r="BC218" s="1738"/>
      <c r="BD218" s="1738"/>
      <c r="BE218" s="1738"/>
      <c r="BF218" s="1738"/>
    </row>
    <row r="219" spans="1:58" ht="11.25" customHeight="1">
      <c r="A219" s="1084" t="s">
        <v>992</v>
      </c>
      <c r="B219" s="1084"/>
      <c r="C219" s="1084"/>
      <c r="D219" s="1078"/>
      <c r="E219" s="1088"/>
      <c r="F219" s="2605"/>
      <c r="G219" s="2606"/>
      <c r="H219" s="2601" t="s">
        <v>1061</v>
      </c>
      <c r="I219" s="2613"/>
      <c r="J219" s="2614"/>
      <c r="K219" s="2615"/>
      <c r="L219" s="2338"/>
      <c r="M219" s="2339"/>
      <c r="N219" s="2618"/>
      <c r="O219" s="2619"/>
      <c r="P219" s="2622"/>
      <c r="Q219" s="2573"/>
      <c r="R219" s="2573"/>
      <c r="S219" s="2623"/>
      <c r="T219" s="2573"/>
      <c r="U219" s="2573"/>
      <c r="V219" s="2573"/>
      <c r="W219" s="2573"/>
      <c r="X219" s="2573"/>
      <c r="Y219" s="2573"/>
      <c r="Z219" s="1093"/>
      <c r="AA219" s="1094"/>
      <c r="AB219" s="1159" t="s">
        <v>1029</v>
      </c>
      <c r="AC219" s="1098"/>
      <c r="AD219" s="1098"/>
      <c r="AE219" s="1100"/>
      <c r="AF219" s="2616"/>
      <c r="AG219" s="2617"/>
      <c r="AH219" s="2617"/>
      <c r="AI219" s="2616"/>
      <c r="AJ219" s="2617"/>
      <c r="AK219" s="2617"/>
      <c r="AL219" s="1900"/>
      <c r="AM219" s="1738"/>
      <c r="AN219" s="1738"/>
      <c r="AO219" s="1738"/>
      <c r="AP219" s="1738"/>
      <c r="AQ219" s="1738"/>
      <c r="AR219" s="1738"/>
      <c r="AS219" s="1738"/>
      <c r="AT219" s="1738"/>
      <c r="AU219" s="1738"/>
      <c r="AV219" s="1738"/>
      <c r="AW219" s="1738"/>
      <c r="AX219" s="1738"/>
      <c r="AY219" s="1738"/>
      <c r="AZ219" s="1738"/>
      <c r="BA219" s="1738"/>
      <c r="BB219" s="1738"/>
      <c r="BC219" s="1738"/>
      <c r="BD219" s="1738"/>
      <c r="BE219" s="1738"/>
      <c r="BF219" s="1738"/>
    </row>
    <row r="220" spans="1:58" ht="11.25" customHeight="1">
      <c r="A220" s="1084" t="s">
        <v>992</v>
      </c>
      <c r="B220" s="1084"/>
      <c r="C220" s="1084"/>
      <c r="D220" s="1078"/>
      <c r="E220" s="1088"/>
      <c r="F220" s="2605"/>
      <c r="G220" s="2606"/>
      <c r="H220" s="2601" t="s">
        <v>1061</v>
      </c>
      <c r="I220" s="2613"/>
      <c r="J220" s="2614"/>
      <c r="K220" s="2615"/>
      <c r="L220" s="2338"/>
      <c r="M220" s="2339"/>
      <c r="N220" s="1093"/>
      <c r="O220" s="1094"/>
      <c r="P220" s="1086" t="s">
        <v>1030</v>
      </c>
      <c r="Q220" s="1094"/>
      <c r="R220" s="1094"/>
      <c r="S220" s="1094"/>
      <c r="T220" s="1094"/>
      <c r="U220" s="1094"/>
      <c r="V220" s="1094"/>
      <c r="W220" s="1094"/>
      <c r="X220" s="1094"/>
      <c r="Y220" s="1094"/>
      <c r="Z220" s="1094"/>
      <c r="AA220" s="1094"/>
      <c r="AB220" s="1094"/>
      <c r="AC220" s="1094"/>
      <c r="AD220" s="1094"/>
      <c r="AE220" s="1101"/>
      <c r="AF220" s="2616"/>
      <c r="AG220" s="2617"/>
      <c r="AH220" s="2617"/>
      <c r="AI220" s="2616"/>
      <c r="AJ220" s="2617"/>
      <c r="AK220" s="2617"/>
      <c r="AL220" s="1900"/>
      <c r="AM220" s="1738"/>
      <c r="AN220" s="1738"/>
      <c r="AO220" s="1738"/>
      <c r="AP220" s="1738"/>
      <c r="AQ220" s="1738"/>
      <c r="AR220" s="1738"/>
      <c r="AS220" s="1738"/>
      <c r="AT220" s="1738"/>
      <c r="AU220" s="1738"/>
      <c r="AV220" s="1738"/>
      <c r="AW220" s="1738"/>
      <c r="AX220" s="1738"/>
      <c r="AY220" s="1738"/>
      <c r="AZ220" s="1738"/>
      <c r="BA220" s="1738"/>
      <c r="BB220" s="1738"/>
      <c r="BC220" s="1738"/>
      <c r="BD220" s="1738"/>
      <c r="BE220" s="1738"/>
      <c r="BF220" s="1738"/>
    </row>
    <row r="221" spans="1:58" ht="11.25" customHeight="1">
      <c r="A221" s="1084" t="s">
        <v>992</v>
      </c>
      <c r="B221" s="1084" t="s">
        <v>22</v>
      </c>
      <c r="C221" s="1084"/>
      <c r="D221" s="1078"/>
      <c r="E221" s="1088"/>
      <c r="F221" s="2605"/>
      <c r="G221" s="2590" t="s">
        <v>686</v>
      </c>
      <c r="H221" s="2601" t="s">
        <v>1061</v>
      </c>
      <c r="I221" s="2613" t="s">
        <v>1052</v>
      </c>
      <c r="J221" s="2614" t="s">
        <v>22</v>
      </c>
      <c r="K221" s="2615" t="s">
        <v>1053</v>
      </c>
      <c r="L221" s="2338" t="s">
        <v>19</v>
      </c>
      <c r="M221" s="2339"/>
      <c r="N221" s="1898"/>
      <c r="O221" s="1095" t="s">
        <v>373</v>
      </c>
      <c r="P221" s="1096"/>
      <c r="Q221" s="1096"/>
      <c r="R221" s="1096"/>
      <c r="S221" s="1096"/>
      <c r="T221" s="1096"/>
      <c r="U221" s="1096"/>
      <c r="V221" s="1096"/>
      <c r="W221" s="1096"/>
      <c r="X221" s="1096"/>
      <c r="Y221" s="1096"/>
      <c r="Z221" s="1096"/>
      <c r="AA221" s="1096"/>
      <c r="AB221" s="1096"/>
      <c r="AC221" s="1096"/>
      <c r="AD221" s="1096"/>
      <c r="AE221" s="1096"/>
      <c r="AF221" s="2616">
        <v>5</v>
      </c>
      <c r="AG221" s="2617" t="s">
        <v>1026</v>
      </c>
      <c r="AH221" s="2617" t="s">
        <v>1048</v>
      </c>
      <c r="AI221" s="2616"/>
      <c r="AJ221" s="2617"/>
      <c r="AK221" s="2617"/>
      <c r="AL221" s="1900"/>
      <c r="AM221" s="1738"/>
      <c r="AN221" s="1738"/>
      <c r="AO221" s="1738"/>
      <c r="AP221" s="1738"/>
      <c r="AQ221" s="1738"/>
      <c r="AR221" s="1738"/>
      <c r="AS221" s="1738"/>
      <c r="AT221" s="1738"/>
      <c r="AU221" s="1738"/>
      <c r="AV221" s="1738"/>
      <c r="AW221" s="1738"/>
      <c r="AX221" s="1738"/>
      <c r="AY221" s="1738"/>
      <c r="AZ221" s="1738"/>
      <c r="BA221" s="1738"/>
      <c r="BB221" s="1738"/>
      <c r="BC221" s="1738"/>
      <c r="BD221" s="1738"/>
      <c r="BE221" s="1738"/>
      <c r="BF221" s="1738"/>
    </row>
    <row r="222" spans="1:58" ht="11.25" customHeight="1">
      <c r="A222" s="1084" t="s">
        <v>992</v>
      </c>
      <c r="B222" s="1084"/>
      <c r="C222" s="1084"/>
      <c r="D222" s="1078"/>
      <c r="E222" s="1088"/>
      <c r="F222" s="2605"/>
      <c r="G222" s="2606"/>
      <c r="H222" s="2601" t="s">
        <v>1070</v>
      </c>
      <c r="I222" s="2613"/>
      <c r="J222" s="2614"/>
      <c r="K222" s="2615"/>
      <c r="L222" s="2338"/>
      <c r="M222" s="2339"/>
      <c r="N222" s="2618"/>
      <c r="O222" s="2619">
        <v>1</v>
      </c>
      <c r="P222" s="2620" t="s">
        <v>19</v>
      </c>
      <c r="Q222" s="2573" t="s">
        <v>22</v>
      </c>
      <c r="R222" s="2573" t="s">
        <v>22</v>
      </c>
      <c r="S222" s="2573" t="s">
        <v>22</v>
      </c>
      <c r="T222" s="2573" t="s">
        <v>22</v>
      </c>
      <c r="U222" s="2573" t="s">
        <v>22</v>
      </c>
      <c r="V222" s="2573" t="s">
        <v>22</v>
      </c>
      <c r="W222" s="2573" t="s">
        <v>22</v>
      </c>
      <c r="X222" s="2573" t="s">
        <v>22</v>
      </c>
      <c r="Y222" s="2573"/>
      <c r="Z222" s="1093"/>
      <c r="AA222" s="1094"/>
      <c r="AB222" s="1094"/>
      <c r="AC222" s="1098"/>
      <c r="AD222" s="1098"/>
      <c r="AE222" s="1099"/>
      <c r="AF222" s="2616"/>
      <c r="AG222" s="2617"/>
      <c r="AH222" s="2617"/>
      <c r="AI222" s="2616"/>
      <c r="AJ222" s="2617"/>
      <c r="AK222" s="2617"/>
      <c r="AL222" s="1900"/>
      <c r="AM222" s="1738"/>
      <c r="AN222" s="1738"/>
      <c r="AO222" s="1738"/>
      <c r="AP222" s="1738"/>
      <c r="AQ222" s="1738"/>
      <c r="AR222" s="1738"/>
      <c r="AS222" s="1738"/>
      <c r="AT222" s="1738"/>
      <c r="AU222" s="1738"/>
      <c r="AV222" s="1738"/>
      <c r="AW222" s="1738"/>
      <c r="AX222" s="1738"/>
      <c r="AY222" s="1738"/>
      <c r="AZ222" s="1738"/>
      <c r="BA222" s="1738"/>
      <c r="BB222" s="1738"/>
      <c r="BC222" s="1738"/>
      <c r="BD222" s="1738"/>
      <c r="BE222" s="1738"/>
      <c r="BF222" s="1738"/>
    </row>
    <row r="223" spans="1:58" ht="11.25" customHeight="1">
      <c r="A223" s="1084" t="s">
        <v>992</v>
      </c>
      <c r="B223" s="1084"/>
      <c r="C223" s="1084"/>
      <c r="D223" s="1078"/>
      <c r="E223" s="1088"/>
      <c r="F223" s="2605"/>
      <c r="G223" s="2606"/>
      <c r="H223" s="2601" t="s">
        <v>1070</v>
      </c>
      <c r="I223" s="2613"/>
      <c r="J223" s="2614"/>
      <c r="K223" s="2615"/>
      <c r="L223" s="2338"/>
      <c r="M223" s="2339"/>
      <c r="N223" s="2618"/>
      <c r="O223" s="2619"/>
      <c r="P223" s="2621"/>
      <c r="Q223" s="2573"/>
      <c r="R223" s="2573"/>
      <c r="S223" s="2623"/>
      <c r="T223" s="2573"/>
      <c r="U223" s="2573"/>
      <c r="V223" s="2573"/>
      <c r="W223" s="2573"/>
      <c r="X223" s="2573"/>
      <c r="Y223" s="2573"/>
      <c r="Z223" s="1743"/>
      <c r="AA223" s="1711">
        <v>1</v>
      </c>
      <c r="AB223" s="1097" t="s">
        <v>1036</v>
      </c>
      <c r="AC223" s="1087">
        <v>180551.40082800001</v>
      </c>
      <c r="AD223" s="1097" t="str">
        <f>AB223</f>
        <v xml:space="preserve">      Прочие амортизационные отчисления</v>
      </c>
      <c r="AE223" s="1087"/>
      <c r="AF223" s="2616"/>
      <c r="AG223" s="2617"/>
      <c r="AH223" s="2617"/>
      <c r="AI223" s="2616"/>
      <c r="AJ223" s="2617"/>
      <c r="AK223" s="2617"/>
      <c r="AL223" s="1900"/>
      <c r="AM223" s="1738"/>
      <c r="AN223" s="1738"/>
      <c r="AO223" s="1738"/>
      <c r="AP223" s="1738"/>
      <c r="AQ223" s="1738"/>
      <c r="AR223" s="1738"/>
      <c r="AS223" s="1738"/>
      <c r="AT223" s="1738"/>
      <c r="AU223" s="1738"/>
      <c r="AV223" s="1738"/>
      <c r="AW223" s="1738"/>
      <c r="AX223" s="1738"/>
      <c r="AY223" s="1738"/>
      <c r="AZ223" s="1738"/>
      <c r="BA223" s="1738"/>
      <c r="BB223" s="1738"/>
      <c r="BC223" s="1738"/>
      <c r="BD223" s="1738"/>
      <c r="BE223" s="1738"/>
      <c r="BF223" s="1738"/>
    </row>
    <row r="224" spans="1:58" ht="11.25" customHeight="1">
      <c r="A224" s="1084" t="s">
        <v>992</v>
      </c>
      <c r="B224" s="1084"/>
      <c r="C224" s="1084"/>
      <c r="D224" s="1078"/>
      <c r="E224" s="1088"/>
      <c r="F224" s="2605"/>
      <c r="G224" s="2606"/>
      <c r="H224" s="2601" t="s">
        <v>1070</v>
      </c>
      <c r="I224" s="2613"/>
      <c r="J224" s="2614"/>
      <c r="K224" s="2615"/>
      <c r="L224" s="2338"/>
      <c r="M224" s="2339"/>
      <c r="N224" s="2618"/>
      <c r="O224" s="2619"/>
      <c r="P224" s="2622"/>
      <c r="Q224" s="2573"/>
      <c r="R224" s="2573"/>
      <c r="S224" s="2623"/>
      <c r="T224" s="2573"/>
      <c r="U224" s="2573"/>
      <c r="V224" s="2573"/>
      <c r="W224" s="2573"/>
      <c r="X224" s="2573"/>
      <c r="Y224" s="2573"/>
      <c r="Z224" s="1093"/>
      <c r="AA224" s="1094"/>
      <c r="AB224" s="1159" t="s">
        <v>1029</v>
      </c>
      <c r="AC224" s="1098"/>
      <c r="AD224" s="1098"/>
      <c r="AE224" s="1100"/>
      <c r="AF224" s="2616"/>
      <c r="AG224" s="2617"/>
      <c r="AH224" s="2617"/>
      <c r="AI224" s="2616"/>
      <c r="AJ224" s="2617"/>
      <c r="AK224" s="2617"/>
      <c r="AL224" s="1900"/>
      <c r="AM224" s="1738"/>
      <c r="AN224" s="1738"/>
      <c r="AO224" s="1738"/>
      <c r="AP224" s="1738"/>
      <c r="AQ224" s="1738"/>
      <c r="AR224" s="1738"/>
      <c r="AS224" s="1738"/>
      <c r="AT224" s="1738"/>
      <c r="AU224" s="1738"/>
      <c r="AV224" s="1738"/>
      <c r="AW224" s="1738"/>
      <c r="AX224" s="1738"/>
      <c r="AY224" s="1738"/>
      <c r="AZ224" s="1738"/>
      <c r="BA224" s="1738"/>
      <c r="BB224" s="1738"/>
      <c r="BC224" s="1738"/>
      <c r="BD224" s="1738"/>
      <c r="BE224" s="1738"/>
      <c r="BF224" s="1738"/>
    </row>
    <row r="225" spans="1:58" ht="11.25" customHeight="1">
      <c r="A225" s="1084" t="s">
        <v>992</v>
      </c>
      <c r="B225" s="1084"/>
      <c r="C225" s="1084"/>
      <c r="D225" s="1078"/>
      <c r="E225" s="1088"/>
      <c r="F225" s="2605"/>
      <c r="G225" s="2606"/>
      <c r="H225" s="2601" t="s">
        <v>1070</v>
      </c>
      <c r="I225" s="2613"/>
      <c r="J225" s="2614"/>
      <c r="K225" s="2615"/>
      <c r="L225" s="2338"/>
      <c r="M225" s="2339"/>
      <c r="N225" s="1093"/>
      <c r="O225" s="1094"/>
      <c r="P225" s="1086" t="s">
        <v>1030</v>
      </c>
      <c r="Q225" s="1094"/>
      <c r="R225" s="1094"/>
      <c r="S225" s="1094"/>
      <c r="T225" s="1094"/>
      <c r="U225" s="1094"/>
      <c r="V225" s="1094"/>
      <c r="W225" s="1094"/>
      <c r="X225" s="1094"/>
      <c r="Y225" s="1094"/>
      <c r="Z225" s="1094"/>
      <c r="AA225" s="1094"/>
      <c r="AB225" s="1094"/>
      <c r="AC225" s="1094"/>
      <c r="AD225" s="1094"/>
      <c r="AE225" s="1101"/>
      <c r="AF225" s="2616"/>
      <c r="AG225" s="2617"/>
      <c r="AH225" s="2617"/>
      <c r="AI225" s="2616"/>
      <c r="AJ225" s="2617"/>
      <c r="AK225" s="2617"/>
      <c r="AL225" s="1900"/>
      <c r="AM225" s="1738"/>
      <c r="AN225" s="1738"/>
      <c r="AO225" s="1738"/>
      <c r="AP225" s="1738"/>
      <c r="AQ225" s="1738"/>
      <c r="AR225" s="1738"/>
      <c r="AS225" s="1738"/>
      <c r="AT225" s="1738"/>
      <c r="AU225" s="1738"/>
      <c r="AV225" s="1738"/>
      <c r="AW225" s="1738"/>
      <c r="AX225" s="1738"/>
      <c r="AY225" s="1738"/>
      <c r="AZ225" s="1738"/>
      <c r="BA225" s="1738"/>
      <c r="BB225" s="1738"/>
      <c r="BC225" s="1738"/>
      <c r="BD225" s="1738"/>
      <c r="BE225" s="1738"/>
      <c r="BF225" s="1738"/>
    </row>
    <row r="226" spans="1:58" ht="11.25" customHeight="1">
      <c r="A226" s="1084" t="s">
        <v>992</v>
      </c>
      <c r="B226" s="1084" t="s">
        <v>22</v>
      </c>
      <c r="C226" s="1084"/>
      <c r="D226" s="1078"/>
      <c r="E226" s="1088"/>
      <c r="F226" s="2605"/>
      <c r="G226" s="2590" t="s">
        <v>686</v>
      </c>
      <c r="H226" s="2601" t="s">
        <v>1070</v>
      </c>
      <c r="I226" s="2613" t="s">
        <v>1052</v>
      </c>
      <c r="J226" s="2614" t="s">
        <v>22</v>
      </c>
      <c r="K226" s="2615" t="s">
        <v>1055</v>
      </c>
      <c r="L226" s="2338" t="s">
        <v>19</v>
      </c>
      <c r="M226" s="2339"/>
      <c r="N226" s="1898"/>
      <c r="O226" s="1095" t="s">
        <v>373</v>
      </c>
      <c r="P226" s="1096"/>
      <c r="Q226" s="1096"/>
      <c r="R226" s="1096"/>
      <c r="S226" s="1096"/>
      <c r="T226" s="1096"/>
      <c r="U226" s="1096"/>
      <c r="V226" s="1096"/>
      <c r="W226" s="1096"/>
      <c r="X226" s="1096"/>
      <c r="Y226" s="1096"/>
      <c r="Z226" s="1096"/>
      <c r="AA226" s="1096"/>
      <c r="AB226" s="1096"/>
      <c r="AC226" s="1096"/>
      <c r="AD226" s="1096"/>
      <c r="AE226" s="1096"/>
      <c r="AF226" s="2616">
        <v>7</v>
      </c>
      <c r="AG226" s="2617" t="s">
        <v>1026</v>
      </c>
      <c r="AH226" s="2617" t="s">
        <v>1038</v>
      </c>
      <c r="AI226" s="2616"/>
      <c r="AJ226" s="2617"/>
      <c r="AK226" s="2617"/>
      <c r="AL226" s="1900"/>
      <c r="AM226" s="1738"/>
      <c r="AN226" s="1738"/>
      <c r="AO226" s="1738"/>
      <c r="AP226" s="1738"/>
      <c r="AQ226" s="1738"/>
      <c r="AR226" s="1738"/>
      <c r="AS226" s="1738"/>
      <c r="AT226" s="1738"/>
      <c r="AU226" s="1738"/>
      <c r="AV226" s="1738"/>
      <c r="AW226" s="1738"/>
      <c r="AX226" s="1738"/>
      <c r="AY226" s="1738"/>
      <c r="AZ226" s="1738"/>
      <c r="BA226" s="1738"/>
      <c r="BB226" s="1738"/>
      <c r="BC226" s="1738"/>
      <c r="BD226" s="1738"/>
      <c r="BE226" s="1738"/>
      <c r="BF226" s="1738"/>
    </row>
    <row r="227" spans="1:58" ht="11.25" customHeight="1">
      <c r="A227" s="1084" t="s">
        <v>992</v>
      </c>
      <c r="B227" s="1084"/>
      <c r="C227" s="1084"/>
      <c r="D227" s="1078"/>
      <c r="E227" s="1088"/>
      <c r="F227" s="2605"/>
      <c r="G227" s="2606"/>
      <c r="H227" s="2601" t="s">
        <v>1071</v>
      </c>
      <c r="I227" s="2613"/>
      <c r="J227" s="2614"/>
      <c r="K227" s="2615"/>
      <c r="L227" s="2338"/>
      <c r="M227" s="2339"/>
      <c r="N227" s="2618"/>
      <c r="O227" s="2619">
        <v>1</v>
      </c>
      <c r="P227" s="2620" t="s">
        <v>19</v>
      </c>
      <c r="Q227" s="2573" t="s">
        <v>22</v>
      </c>
      <c r="R227" s="2573" t="s">
        <v>22</v>
      </c>
      <c r="S227" s="2573" t="s">
        <v>22</v>
      </c>
      <c r="T227" s="2573" t="s">
        <v>22</v>
      </c>
      <c r="U227" s="2573" t="s">
        <v>22</v>
      </c>
      <c r="V227" s="2573" t="s">
        <v>22</v>
      </c>
      <c r="W227" s="2573" t="s">
        <v>22</v>
      </c>
      <c r="X227" s="2573" t="s">
        <v>22</v>
      </c>
      <c r="Y227" s="2573"/>
      <c r="Z227" s="1093"/>
      <c r="AA227" s="1094"/>
      <c r="AB227" s="1094"/>
      <c r="AC227" s="1098"/>
      <c r="AD227" s="1098"/>
      <c r="AE227" s="1099"/>
      <c r="AF227" s="2616"/>
      <c r="AG227" s="2617"/>
      <c r="AH227" s="2617"/>
      <c r="AI227" s="2616"/>
      <c r="AJ227" s="2617"/>
      <c r="AK227" s="2617"/>
      <c r="AL227" s="1900"/>
      <c r="AM227" s="1738"/>
      <c r="AN227" s="1738"/>
      <c r="AO227" s="1738"/>
      <c r="AP227" s="1738"/>
      <c r="AQ227" s="1738"/>
      <c r="AR227" s="1738"/>
      <c r="AS227" s="1738"/>
      <c r="AT227" s="1738"/>
      <c r="AU227" s="1738"/>
      <c r="AV227" s="1738"/>
      <c r="AW227" s="1738"/>
      <c r="AX227" s="1738"/>
      <c r="AY227" s="1738"/>
      <c r="AZ227" s="1738"/>
      <c r="BA227" s="1738"/>
      <c r="BB227" s="1738"/>
      <c r="BC227" s="1738"/>
      <c r="BD227" s="1738"/>
      <c r="BE227" s="1738"/>
      <c r="BF227" s="1738"/>
    </row>
    <row r="228" spans="1:58" ht="11.25" customHeight="1">
      <c r="A228" s="1084" t="s">
        <v>992</v>
      </c>
      <c r="B228" s="1084"/>
      <c r="C228" s="1084"/>
      <c r="D228" s="1078"/>
      <c r="E228" s="1088"/>
      <c r="F228" s="2605"/>
      <c r="G228" s="2606"/>
      <c r="H228" s="2601" t="s">
        <v>1071</v>
      </c>
      <c r="I228" s="2613"/>
      <c r="J228" s="2614"/>
      <c r="K228" s="2615"/>
      <c r="L228" s="2338"/>
      <c r="M228" s="2339"/>
      <c r="N228" s="2618"/>
      <c r="O228" s="2619"/>
      <c r="P228" s="2621"/>
      <c r="Q228" s="2573"/>
      <c r="R228" s="2573"/>
      <c r="S228" s="2623"/>
      <c r="T228" s="2573"/>
      <c r="U228" s="2573"/>
      <c r="V228" s="2573"/>
      <c r="W228" s="2573"/>
      <c r="X228" s="2573"/>
      <c r="Y228" s="2573"/>
      <c r="Z228" s="1743"/>
      <c r="AA228" s="1711">
        <v>1</v>
      </c>
      <c r="AB228" s="1097" t="s">
        <v>1036</v>
      </c>
      <c r="AC228" s="1087">
        <v>10000</v>
      </c>
      <c r="AD228" s="1097" t="str">
        <f>AB228</f>
        <v xml:space="preserve">      Прочие амортизационные отчисления</v>
      </c>
      <c r="AE228" s="1087"/>
      <c r="AF228" s="2616"/>
      <c r="AG228" s="2617"/>
      <c r="AH228" s="2617"/>
      <c r="AI228" s="2616"/>
      <c r="AJ228" s="2617"/>
      <c r="AK228" s="2617"/>
      <c r="AL228" s="1900"/>
      <c r="AM228" s="1738"/>
      <c r="AN228" s="1738"/>
      <c r="AO228" s="1738"/>
      <c r="AP228" s="1738"/>
      <c r="AQ228" s="1738"/>
      <c r="AR228" s="1738"/>
      <c r="AS228" s="1738"/>
      <c r="AT228" s="1738"/>
      <c r="AU228" s="1738"/>
      <c r="AV228" s="1738"/>
      <c r="AW228" s="1738"/>
      <c r="AX228" s="1738"/>
      <c r="AY228" s="1738"/>
      <c r="AZ228" s="1738"/>
      <c r="BA228" s="1738"/>
      <c r="BB228" s="1738"/>
      <c r="BC228" s="1738"/>
      <c r="BD228" s="1738"/>
      <c r="BE228" s="1738"/>
      <c r="BF228" s="1738"/>
    </row>
    <row r="229" spans="1:58" ht="11.25" customHeight="1">
      <c r="A229" s="1084" t="s">
        <v>992</v>
      </c>
      <c r="B229" s="1084"/>
      <c r="C229" s="1084"/>
      <c r="D229" s="1078"/>
      <c r="E229" s="1088"/>
      <c r="F229" s="2606"/>
      <c r="G229" s="2606"/>
      <c r="H229" s="2606"/>
      <c r="I229" s="2606"/>
      <c r="J229" s="2606"/>
      <c r="K229" s="2606"/>
      <c r="L229" s="2606"/>
      <c r="M229" s="2606"/>
      <c r="N229" s="2606"/>
      <c r="O229" s="2606"/>
      <c r="P229" s="2606"/>
      <c r="Q229" s="2606"/>
      <c r="R229" s="2606"/>
      <c r="S229" s="2606"/>
      <c r="T229" s="2606"/>
      <c r="U229" s="2606"/>
      <c r="V229" s="2606"/>
      <c r="W229" s="2606"/>
      <c r="X229" s="2606"/>
      <c r="Y229" s="2606"/>
      <c r="Z229" s="2054" t="s">
        <v>686</v>
      </c>
      <c r="AA229" s="1731" t="s">
        <v>109</v>
      </c>
      <c r="AB229" s="1097" t="s">
        <v>1039</v>
      </c>
      <c r="AC229" s="1087">
        <v>93343.330881471702</v>
      </c>
      <c r="AD229" s="1097" t="str">
        <f>AB229</f>
        <v xml:space="preserve">  Прочие собственные средства</v>
      </c>
      <c r="AE229" s="1087"/>
      <c r="AF229" s="2625"/>
      <c r="AG229" s="2626"/>
      <c r="AH229" s="2626"/>
      <c r="AI229" s="2625"/>
      <c r="AJ229" s="2626"/>
      <c r="AK229" s="2627"/>
      <c r="AL229" s="1900"/>
      <c r="AM229" s="1738"/>
      <c r="AN229" s="1738"/>
      <c r="AO229" s="1738"/>
      <c r="AP229" s="1738"/>
      <c r="AQ229" s="1738"/>
      <c r="AR229" s="1738"/>
      <c r="AS229" s="1738"/>
      <c r="AT229" s="1738"/>
      <c r="AU229" s="1738"/>
      <c r="AV229" s="1738"/>
      <c r="AW229" s="1738"/>
      <c r="AX229" s="1738"/>
      <c r="AY229" s="1738"/>
      <c r="AZ229" s="1738"/>
      <c r="BA229" s="1738"/>
      <c r="BB229" s="1738"/>
      <c r="BC229" s="1738"/>
      <c r="BD229" s="1738"/>
      <c r="BE229" s="1738"/>
      <c r="BF229" s="1738"/>
    </row>
    <row r="230" spans="1:58" ht="11.25" customHeight="1">
      <c r="A230" s="1084" t="s">
        <v>992</v>
      </c>
      <c r="B230" s="1084"/>
      <c r="C230" s="1084"/>
      <c r="D230" s="1078"/>
      <c r="E230" s="1088"/>
      <c r="F230" s="2606"/>
      <c r="G230" s="2606"/>
      <c r="H230" s="2606"/>
      <c r="I230" s="2606"/>
      <c r="J230" s="2606"/>
      <c r="K230" s="2606"/>
      <c r="L230" s="2606"/>
      <c r="M230" s="2606"/>
      <c r="N230" s="2606"/>
      <c r="O230" s="2606"/>
      <c r="P230" s="2606"/>
      <c r="Q230" s="2606"/>
      <c r="R230" s="2606"/>
      <c r="S230" s="2606"/>
      <c r="T230" s="2606"/>
      <c r="U230" s="2606"/>
      <c r="V230" s="2606"/>
      <c r="W230" s="2606"/>
      <c r="X230" s="2606"/>
      <c r="Y230" s="2606"/>
      <c r="Z230" s="2054" t="s">
        <v>686</v>
      </c>
      <c r="AA230" s="1731" t="s">
        <v>92</v>
      </c>
      <c r="AB230" s="1097" t="s">
        <v>1028</v>
      </c>
      <c r="AC230" s="1087">
        <v>182386.90911852801</v>
      </c>
      <c r="AD230" s="1097" t="str">
        <f>AB230</f>
        <v xml:space="preserve">  Прочие</v>
      </c>
      <c r="AE230" s="1087"/>
      <c r="AF230" s="2625"/>
      <c r="AG230" s="2626"/>
      <c r="AH230" s="2626"/>
      <c r="AI230" s="2625"/>
      <c r="AJ230" s="2626"/>
      <c r="AK230" s="2627"/>
      <c r="AL230" s="1900"/>
      <c r="AM230" s="1738"/>
      <c r="AN230" s="1738"/>
      <c r="AO230" s="1738"/>
      <c r="AP230" s="1738"/>
      <c r="AQ230" s="1738"/>
      <c r="AR230" s="1738"/>
      <c r="AS230" s="1738"/>
      <c r="AT230" s="1738"/>
      <c r="AU230" s="1738"/>
      <c r="AV230" s="1738"/>
      <c r="AW230" s="1738"/>
      <c r="AX230" s="1738"/>
      <c r="AY230" s="1738"/>
      <c r="AZ230" s="1738"/>
      <c r="BA230" s="1738"/>
      <c r="BB230" s="1738"/>
      <c r="BC230" s="1738"/>
      <c r="BD230" s="1738"/>
      <c r="BE230" s="1738"/>
      <c r="BF230" s="1738"/>
    </row>
    <row r="231" spans="1:58" ht="11.25" customHeight="1">
      <c r="A231" s="1084" t="s">
        <v>992</v>
      </c>
      <c r="B231" s="1084"/>
      <c r="C231" s="1084"/>
      <c r="D231" s="1078"/>
      <c r="E231" s="1088"/>
      <c r="F231" s="2605"/>
      <c r="G231" s="2606"/>
      <c r="H231" s="2601" t="s">
        <v>1071</v>
      </c>
      <c r="I231" s="2613"/>
      <c r="J231" s="2614"/>
      <c r="K231" s="2615"/>
      <c r="L231" s="2338"/>
      <c r="M231" s="2339"/>
      <c r="N231" s="2618"/>
      <c r="O231" s="2619"/>
      <c r="P231" s="2622"/>
      <c r="Q231" s="2573"/>
      <c r="R231" s="2573"/>
      <c r="S231" s="2623"/>
      <c r="T231" s="2573"/>
      <c r="U231" s="2573"/>
      <c r="V231" s="2573"/>
      <c r="W231" s="2573"/>
      <c r="X231" s="2573"/>
      <c r="Y231" s="2573"/>
      <c r="Z231" s="1093"/>
      <c r="AA231" s="1094"/>
      <c r="AB231" s="1159" t="s">
        <v>1029</v>
      </c>
      <c r="AC231" s="1098"/>
      <c r="AD231" s="1098"/>
      <c r="AE231" s="1100"/>
      <c r="AF231" s="2616"/>
      <c r="AG231" s="2617"/>
      <c r="AH231" s="2617"/>
      <c r="AI231" s="2616"/>
      <c r="AJ231" s="2617"/>
      <c r="AK231" s="2617"/>
      <c r="AL231" s="1900"/>
      <c r="AM231" s="1738"/>
      <c r="AN231" s="1738"/>
      <c r="AO231" s="1738"/>
      <c r="AP231" s="1738"/>
      <c r="AQ231" s="1738"/>
      <c r="AR231" s="1738"/>
      <c r="AS231" s="1738"/>
      <c r="AT231" s="1738"/>
      <c r="AU231" s="1738"/>
      <c r="AV231" s="1738"/>
      <c r="AW231" s="1738"/>
      <c r="AX231" s="1738"/>
      <c r="AY231" s="1738"/>
      <c r="AZ231" s="1738"/>
      <c r="BA231" s="1738"/>
      <c r="BB231" s="1738"/>
      <c r="BC231" s="1738"/>
      <c r="BD231" s="1738"/>
      <c r="BE231" s="1738"/>
      <c r="BF231" s="1738"/>
    </row>
    <row r="232" spans="1:58" ht="11.25" customHeight="1">
      <c r="A232" s="1084" t="s">
        <v>992</v>
      </c>
      <c r="B232" s="1084"/>
      <c r="C232" s="1084"/>
      <c r="D232" s="1078"/>
      <c r="E232" s="1088"/>
      <c r="F232" s="2605"/>
      <c r="G232" s="2606"/>
      <c r="H232" s="2601" t="s">
        <v>1071</v>
      </c>
      <c r="I232" s="2613"/>
      <c r="J232" s="2614"/>
      <c r="K232" s="2615"/>
      <c r="L232" s="2338"/>
      <c r="M232" s="2339"/>
      <c r="N232" s="1093"/>
      <c r="O232" s="1094"/>
      <c r="P232" s="1086" t="s">
        <v>1030</v>
      </c>
      <c r="Q232" s="1094"/>
      <c r="R232" s="1094"/>
      <c r="S232" s="1094"/>
      <c r="T232" s="1094"/>
      <c r="U232" s="1094"/>
      <c r="V232" s="1094"/>
      <c r="W232" s="1094"/>
      <c r="X232" s="1094"/>
      <c r="Y232" s="1094"/>
      <c r="Z232" s="1094"/>
      <c r="AA232" s="1094"/>
      <c r="AB232" s="1094"/>
      <c r="AC232" s="1094"/>
      <c r="AD232" s="1094"/>
      <c r="AE232" s="1101"/>
      <c r="AF232" s="2616"/>
      <c r="AG232" s="2617"/>
      <c r="AH232" s="2617"/>
      <c r="AI232" s="2616"/>
      <c r="AJ232" s="2617"/>
      <c r="AK232" s="2617"/>
      <c r="AL232" s="1900"/>
      <c r="AM232" s="1738"/>
      <c r="AN232" s="1738"/>
      <c r="AO232" s="1738"/>
      <c r="AP232" s="1738"/>
      <c r="AQ232" s="1738"/>
      <c r="AR232" s="1738"/>
      <c r="AS232" s="1738"/>
      <c r="AT232" s="1738"/>
      <c r="AU232" s="1738"/>
      <c r="AV232" s="1738"/>
      <c r="AW232" s="1738"/>
      <c r="AX232" s="1738"/>
      <c r="AY232" s="1738"/>
      <c r="AZ232" s="1738"/>
      <c r="BA232" s="1738"/>
      <c r="BB232" s="1738"/>
      <c r="BC232" s="1738"/>
      <c r="BD232" s="1738"/>
      <c r="BE232" s="1738"/>
      <c r="BF232" s="1738"/>
    </row>
    <row r="233" spans="1:58" ht="11.25" customHeight="1">
      <c r="A233" s="1084" t="s">
        <v>992</v>
      </c>
      <c r="B233" s="1084" t="s">
        <v>22</v>
      </c>
      <c r="C233" s="1084"/>
      <c r="D233" s="1078"/>
      <c r="E233" s="1088"/>
      <c r="F233" s="2605"/>
      <c r="G233" s="2590" t="s">
        <v>686</v>
      </c>
      <c r="H233" s="2601" t="s">
        <v>1071</v>
      </c>
      <c r="I233" s="2613" t="s">
        <v>1052</v>
      </c>
      <c r="J233" s="2614" t="s">
        <v>22</v>
      </c>
      <c r="K233" s="2615" t="s">
        <v>1060</v>
      </c>
      <c r="L233" s="2338" t="s">
        <v>19</v>
      </c>
      <c r="M233" s="2339"/>
      <c r="N233" s="1898"/>
      <c r="O233" s="1095" t="s">
        <v>373</v>
      </c>
      <c r="P233" s="1096"/>
      <c r="Q233" s="1096"/>
      <c r="R233" s="1096"/>
      <c r="S233" s="1096"/>
      <c r="T233" s="1096"/>
      <c r="U233" s="1096"/>
      <c r="V233" s="1096"/>
      <c r="W233" s="1096"/>
      <c r="X233" s="1096"/>
      <c r="Y233" s="1096"/>
      <c r="Z233" s="1096"/>
      <c r="AA233" s="1096"/>
      <c r="AB233" s="1096"/>
      <c r="AC233" s="1096"/>
      <c r="AD233" s="1096"/>
      <c r="AE233" s="1096"/>
      <c r="AF233" s="2616">
        <v>3</v>
      </c>
      <c r="AG233" s="2617" t="s">
        <v>1026</v>
      </c>
      <c r="AH233" s="2617" t="s">
        <v>1048</v>
      </c>
      <c r="AI233" s="2616"/>
      <c r="AJ233" s="2617"/>
      <c r="AK233" s="2617"/>
      <c r="AL233" s="1900"/>
      <c r="AM233" s="1738"/>
      <c r="AN233" s="1738"/>
      <c r="AO233" s="1738"/>
      <c r="AP233" s="1738"/>
      <c r="AQ233" s="1738"/>
      <c r="AR233" s="1738"/>
      <c r="AS233" s="1738"/>
      <c r="AT233" s="1738"/>
      <c r="AU233" s="1738"/>
      <c r="AV233" s="1738"/>
      <c r="AW233" s="1738"/>
      <c r="AX233" s="1738"/>
      <c r="AY233" s="1738"/>
      <c r="AZ233" s="1738"/>
      <c r="BA233" s="1738"/>
      <c r="BB233" s="1738"/>
      <c r="BC233" s="1738"/>
      <c r="BD233" s="1738"/>
      <c r="BE233" s="1738"/>
      <c r="BF233" s="1738"/>
    </row>
    <row r="234" spans="1:58" ht="11.25" customHeight="1">
      <c r="A234" s="1084" t="s">
        <v>992</v>
      </c>
      <c r="B234" s="1084"/>
      <c r="C234" s="1084"/>
      <c r="D234" s="1078"/>
      <c r="E234" s="1088"/>
      <c r="F234" s="2605"/>
      <c r="G234" s="2606"/>
      <c r="H234" s="2601" t="s">
        <v>1072</v>
      </c>
      <c r="I234" s="2613"/>
      <c r="J234" s="2614"/>
      <c r="K234" s="2615"/>
      <c r="L234" s="2338"/>
      <c r="M234" s="2339"/>
      <c r="N234" s="2618"/>
      <c r="O234" s="2619">
        <v>1</v>
      </c>
      <c r="P234" s="2620" t="s">
        <v>19</v>
      </c>
      <c r="Q234" s="2573" t="s">
        <v>22</v>
      </c>
      <c r="R234" s="2573" t="s">
        <v>22</v>
      </c>
      <c r="S234" s="2573" t="s">
        <v>22</v>
      </c>
      <c r="T234" s="2573" t="s">
        <v>22</v>
      </c>
      <c r="U234" s="2573" t="s">
        <v>22</v>
      </c>
      <c r="V234" s="2573" t="s">
        <v>22</v>
      </c>
      <c r="W234" s="2573" t="s">
        <v>22</v>
      </c>
      <c r="X234" s="2573" t="s">
        <v>22</v>
      </c>
      <c r="Y234" s="2573"/>
      <c r="Z234" s="1093"/>
      <c r="AA234" s="1094"/>
      <c r="AB234" s="1094"/>
      <c r="AC234" s="1098"/>
      <c r="AD234" s="1098"/>
      <c r="AE234" s="1099"/>
      <c r="AF234" s="2616"/>
      <c r="AG234" s="2617"/>
      <c r="AH234" s="2617"/>
      <c r="AI234" s="2616"/>
      <c r="AJ234" s="2617"/>
      <c r="AK234" s="2617"/>
      <c r="AL234" s="1900"/>
      <c r="AM234" s="1738"/>
      <c r="AN234" s="1738"/>
      <c r="AO234" s="1738"/>
      <c r="AP234" s="1738"/>
      <c r="AQ234" s="1738"/>
      <c r="AR234" s="1738"/>
      <c r="AS234" s="1738"/>
      <c r="AT234" s="1738"/>
      <c r="AU234" s="1738"/>
      <c r="AV234" s="1738"/>
      <c r="AW234" s="1738"/>
      <c r="AX234" s="1738"/>
      <c r="AY234" s="1738"/>
      <c r="AZ234" s="1738"/>
      <c r="BA234" s="1738"/>
      <c r="BB234" s="1738"/>
      <c r="BC234" s="1738"/>
      <c r="BD234" s="1738"/>
      <c r="BE234" s="1738"/>
      <c r="BF234" s="1738"/>
    </row>
    <row r="235" spans="1:58" ht="11.25" customHeight="1">
      <c r="A235" s="1084" t="s">
        <v>992</v>
      </c>
      <c r="B235" s="1084"/>
      <c r="C235" s="1084"/>
      <c r="D235" s="1078"/>
      <c r="E235" s="1088"/>
      <c r="F235" s="2605"/>
      <c r="G235" s="2606"/>
      <c r="H235" s="2601" t="s">
        <v>1072</v>
      </c>
      <c r="I235" s="2613"/>
      <c r="J235" s="2614"/>
      <c r="K235" s="2615"/>
      <c r="L235" s="2338"/>
      <c r="M235" s="2339"/>
      <c r="N235" s="2618"/>
      <c r="O235" s="2619"/>
      <c r="P235" s="2621"/>
      <c r="Q235" s="2573"/>
      <c r="R235" s="2573"/>
      <c r="S235" s="2623"/>
      <c r="T235" s="2573"/>
      <c r="U235" s="2573"/>
      <c r="V235" s="2573"/>
      <c r="W235" s="2573"/>
      <c r="X235" s="2573"/>
      <c r="Y235" s="2573"/>
      <c r="Z235" s="1743"/>
      <c r="AA235" s="1711">
        <v>1</v>
      </c>
      <c r="AB235" s="1097" t="s">
        <v>1036</v>
      </c>
      <c r="AC235" s="1087">
        <v>7051.6484818848003</v>
      </c>
      <c r="AD235" s="1097" t="str">
        <f>AB235</f>
        <v xml:space="preserve">      Прочие амортизационные отчисления</v>
      </c>
      <c r="AE235" s="1087"/>
      <c r="AF235" s="2616"/>
      <c r="AG235" s="2617"/>
      <c r="AH235" s="2617"/>
      <c r="AI235" s="2616"/>
      <c r="AJ235" s="2617"/>
      <c r="AK235" s="2617"/>
      <c r="AL235" s="1900"/>
      <c r="AM235" s="1738"/>
      <c r="AN235" s="1738"/>
      <c r="AO235" s="1738"/>
      <c r="AP235" s="1738"/>
      <c r="AQ235" s="1738"/>
      <c r="AR235" s="1738"/>
      <c r="AS235" s="1738"/>
      <c r="AT235" s="1738"/>
      <c r="AU235" s="1738"/>
      <c r="AV235" s="1738"/>
      <c r="AW235" s="1738"/>
      <c r="AX235" s="1738"/>
      <c r="AY235" s="1738"/>
      <c r="AZ235" s="1738"/>
      <c r="BA235" s="1738"/>
      <c r="BB235" s="1738"/>
      <c r="BC235" s="1738"/>
      <c r="BD235" s="1738"/>
      <c r="BE235" s="1738"/>
      <c r="BF235" s="1738"/>
    </row>
    <row r="236" spans="1:58" ht="11.25" customHeight="1">
      <c r="A236" s="1084" t="s">
        <v>992</v>
      </c>
      <c r="B236" s="1084"/>
      <c r="C236" s="1084"/>
      <c r="D236" s="1078"/>
      <c r="E236" s="1088"/>
      <c r="F236" s="2606"/>
      <c r="G236" s="2606"/>
      <c r="H236" s="2606"/>
      <c r="I236" s="2606"/>
      <c r="J236" s="2606"/>
      <c r="K236" s="2606"/>
      <c r="L236" s="2606"/>
      <c r="M236" s="2606"/>
      <c r="N236" s="2606"/>
      <c r="O236" s="2606"/>
      <c r="P236" s="2606"/>
      <c r="Q236" s="2606"/>
      <c r="R236" s="2606"/>
      <c r="S236" s="2606"/>
      <c r="T236" s="2606"/>
      <c r="U236" s="2606"/>
      <c r="V236" s="2606"/>
      <c r="W236" s="2606"/>
      <c r="X236" s="2606"/>
      <c r="Y236" s="2606"/>
      <c r="Z236" s="2054" t="s">
        <v>686</v>
      </c>
      <c r="AA236" s="1731" t="s">
        <v>109</v>
      </c>
      <c r="AB236" s="1097" t="s">
        <v>1039</v>
      </c>
      <c r="AC236" s="1087">
        <v>222524.89738471899</v>
      </c>
      <c r="AD236" s="1097" t="str">
        <f>AB236</f>
        <v xml:space="preserve">  Прочие собственные средства</v>
      </c>
      <c r="AE236" s="1087"/>
      <c r="AF236" s="2625"/>
      <c r="AG236" s="2626"/>
      <c r="AH236" s="2626"/>
      <c r="AI236" s="2625"/>
      <c r="AJ236" s="2626"/>
      <c r="AK236" s="2627"/>
      <c r="AL236" s="1900"/>
      <c r="AM236" s="1738"/>
      <c r="AN236" s="1738"/>
      <c r="AO236" s="1738"/>
      <c r="AP236" s="1738"/>
      <c r="AQ236" s="1738"/>
      <c r="AR236" s="1738"/>
      <c r="AS236" s="1738"/>
      <c r="AT236" s="1738"/>
      <c r="AU236" s="1738"/>
      <c r="AV236" s="1738"/>
      <c r="AW236" s="1738"/>
      <c r="AX236" s="1738"/>
      <c r="AY236" s="1738"/>
      <c r="AZ236" s="1738"/>
      <c r="BA236" s="1738"/>
      <c r="BB236" s="1738"/>
      <c r="BC236" s="1738"/>
      <c r="BD236" s="1738"/>
      <c r="BE236" s="1738"/>
      <c r="BF236" s="1738"/>
    </row>
    <row r="237" spans="1:58" ht="11.25" customHeight="1">
      <c r="A237" s="1084" t="s">
        <v>992</v>
      </c>
      <c r="B237" s="1084"/>
      <c r="C237" s="1084"/>
      <c r="D237" s="1078"/>
      <c r="E237" s="1088"/>
      <c r="F237" s="2606"/>
      <c r="G237" s="2606"/>
      <c r="H237" s="2606"/>
      <c r="I237" s="2606"/>
      <c r="J237" s="2606"/>
      <c r="K237" s="2606"/>
      <c r="L237" s="2606"/>
      <c r="M237" s="2606"/>
      <c r="N237" s="2606"/>
      <c r="O237" s="2606"/>
      <c r="P237" s="2606"/>
      <c r="Q237" s="2606"/>
      <c r="R237" s="2606"/>
      <c r="S237" s="2606"/>
      <c r="T237" s="2606"/>
      <c r="U237" s="2606"/>
      <c r="V237" s="2606"/>
      <c r="W237" s="2606"/>
      <c r="X237" s="2606"/>
      <c r="Y237" s="2606"/>
      <c r="Z237" s="2054" t="s">
        <v>686</v>
      </c>
      <c r="AA237" s="1731" t="s">
        <v>92</v>
      </c>
      <c r="AB237" s="1097" t="s">
        <v>1028</v>
      </c>
      <c r="AC237" s="1087">
        <v>30805.454133396201</v>
      </c>
      <c r="AD237" s="1097" t="str">
        <f>AB237</f>
        <v xml:space="preserve">  Прочие</v>
      </c>
      <c r="AE237" s="1087"/>
      <c r="AF237" s="2625"/>
      <c r="AG237" s="2626"/>
      <c r="AH237" s="2626"/>
      <c r="AI237" s="2625"/>
      <c r="AJ237" s="2626"/>
      <c r="AK237" s="2627"/>
      <c r="AL237" s="1900"/>
      <c r="AM237" s="1738"/>
      <c r="AN237" s="1738"/>
      <c r="AO237" s="1738"/>
      <c r="AP237" s="1738"/>
      <c r="AQ237" s="1738"/>
      <c r="AR237" s="1738"/>
      <c r="AS237" s="1738"/>
      <c r="AT237" s="1738"/>
      <c r="AU237" s="1738"/>
      <c r="AV237" s="1738"/>
      <c r="AW237" s="1738"/>
      <c r="AX237" s="1738"/>
      <c r="AY237" s="1738"/>
      <c r="AZ237" s="1738"/>
      <c r="BA237" s="1738"/>
      <c r="BB237" s="1738"/>
      <c r="BC237" s="1738"/>
      <c r="BD237" s="1738"/>
      <c r="BE237" s="1738"/>
      <c r="BF237" s="1738"/>
    </row>
    <row r="238" spans="1:58" ht="11.25" customHeight="1">
      <c r="A238" s="1084" t="s">
        <v>992</v>
      </c>
      <c r="B238" s="1084"/>
      <c r="C238" s="1084"/>
      <c r="D238" s="1078"/>
      <c r="E238" s="1088"/>
      <c r="F238" s="2605"/>
      <c r="G238" s="2606"/>
      <c r="H238" s="2601" t="s">
        <v>1072</v>
      </c>
      <c r="I238" s="2613"/>
      <c r="J238" s="2614"/>
      <c r="K238" s="2615"/>
      <c r="L238" s="2338"/>
      <c r="M238" s="2339"/>
      <c r="N238" s="2618"/>
      <c r="O238" s="2619"/>
      <c r="P238" s="2622"/>
      <c r="Q238" s="2573"/>
      <c r="R238" s="2573"/>
      <c r="S238" s="2623"/>
      <c r="T238" s="2573"/>
      <c r="U238" s="2573"/>
      <c r="V238" s="2573"/>
      <c r="W238" s="2573"/>
      <c r="X238" s="2573"/>
      <c r="Y238" s="2573"/>
      <c r="Z238" s="1093"/>
      <c r="AA238" s="1094"/>
      <c r="AB238" s="1159" t="s">
        <v>1029</v>
      </c>
      <c r="AC238" s="1098"/>
      <c r="AD238" s="1098"/>
      <c r="AE238" s="1100"/>
      <c r="AF238" s="2616"/>
      <c r="AG238" s="2617"/>
      <c r="AH238" s="2617"/>
      <c r="AI238" s="2616"/>
      <c r="AJ238" s="2617"/>
      <c r="AK238" s="2617"/>
      <c r="AL238" s="1900"/>
      <c r="AM238" s="1738"/>
      <c r="AN238" s="1738"/>
      <c r="AO238" s="1738"/>
      <c r="AP238" s="1738"/>
      <c r="AQ238" s="1738"/>
      <c r="AR238" s="1738"/>
      <c r="AS238" s="1738"/>
      <c r="AT238" s="1738"/>
      <c r="AU238" s="1738"/>
      <c r="AV238" s="1738"/>
      <c r="AW238" s="1738"/>
      <c r="AX238" s="1738"/>
      <c r="AY238" s="1738"/>
      <c r="AZ238" s="1738"/>
      <c r="BA238" s="1738"/>
      <c r="BB238" s="1738"/>
      <c r="BC238" s="1738"/>
      <c r="BD238" s="1738"/>
      <c r="BE238" s="1738"/>
      <c r="BF238" s="1738"/>
    </row>
    <row r="239" spans="1:58" ht="11.25" customHeight="1">
      <c r="A239" s="1084" t="s">
        <v>992</v>
      </c>
      <c r="B239" s="1084"/>
      <c r="C239" s="1084"/>
      <c r="D239" s="1078"/>
      <c r="E239" s="1088"/>
      <c r="F239" s="2605"/>
      <c r="G239" s="2606"/>
      <c r="H239" s="2601" t="s">
        <v>1072</v>
      </c>
      <c r="I239" s="2613"/>
      <c r="J239" s="2614"/>
      <c r="K239" s="2615"/>
      <c r="L239" s="2338"/>
      <c r="M239" s="2339"/>
      <c r="N239" s="1093"/>
      <c r="O239" s="1094"/>
      <c r="P239" s="1086" t="s">
        <v>1030</v>
      </c>
      <c r="Q239" s="1094"/>
      <c r="R239" s="1094"/>
      <c r="S239" s="1094"/>
      <c r="T239" s="1094"/>
      <c r="U239" s="1094"/>
      <c r="V239" s="1094"/>
      <c r="W239" s="1094"/>
      <c r="X239" s="1094"/>
      <c r="Y239" s="1094"/>
      <c r="Z239" s="1094"/>
      <c r="AA239" s="1094"/>
      <c r="AB239" s="1094"/>
      <c r="AC239" s="1094"/>
      <c r="AD239" s="1094"/>
      <c r="AE239" s="1101"/>
      <c r="AF239" s="2616"/>
      <c r="AG239" s="2617"/>
      <c r="AH239" s="2617"/>
      <c r="AI239" s="2616"/>
      <c r="AJ239" s="2617"/>
      <c r="AK239" s="2617"/>
      <c r="AL239" s="1900"/>
      <c r="AM239" s="1738"/>
      <c r="AN239" s="1738"/>
      <c r="AO239" s="1738"/>
      <c r="AP239" s="1738"/>
      <c r="AQ239" s="1738"/>
      <c r="AR239" s="1738"/>
      <c r="AS239" s="1738"/>
      <c r="AT239" s="1738"/>
      <c r="AU239" s="1738"/>
      <c r="AV239" s="1738"/>
      <c r="AW239" s="1738"/>
      <c r="AX239" s="1738"/>
      <c r="AY239" s="1738"/>
      <c r="AZ239" s="1738"/>
      <c r="BA239" s="1738"/>
      <c r="BB239" s="1738"/>
      <c r="BC239" s="1738"/>
      <c r="BD239" s="1738"/>
      <c r="BE239" s="1738"/>
      <c r="BF239" s="1738"/>
    </row>
    <row r="240" spans="1:58" ht="11.25" customHeight="1">
      <c r="A240" s="1084" t="s">
        <v>992</v>
      </c>
      <c r="B240" s="1084" t="s">
        <v>22</v>
      </c>
      <c r="C240" s="1084"/>
      <c r="D240" s="1078"/>
      <c r="E240" s="1088"/>
      <c r="F240" s="2605"/>
      <c r="G240" s="2590" t="s">
        <v>686</v>
      </c>
      <c r="H240" s="2601" t="s">
        <v>1072</v>
      </c>
      <c r="I240" s="2613" t="s">
        <v>1052</v>
      </c>
      <c r="J240" s="2614" t="s">
        <v>22</v>
      </c>
      <c r="K240" s="2615" t="s">
        <v>1062</v>
      </c>
      <c r="L240" s="2338" t="s">
        <v>19</v>
      </c>
      <c r="M240" s="2339"/>
      <c r="N240" s="1898"/>
      <c r="O240" s="1095" t="s">
        <v>373</v>
      </c>
      <c r="P240" s="1096"/>
      <c r="Q240" s="1096"/>
      <c r="R240" s="1096"/>
      <c r="S240" s="1096"/>
      <c r="T240" s="1096"/>
      <c r="U240" s="1096"/>
      <c r="V240" s="1096"/>
      <c r="W240" s="1096"/>
      <c r="X240" s="1096"/>
      <c r="Y240" s="1096"/>
      <c r="Z240" s="1096"/>
      <c r="AA240" s="1096"/>
      <c r="AB240" s="1096"/>
      <c r="AC240" s="1096"/>
      <c r="AD240" s="1096"/>
      <c r="AE240" s="1096"/>
      <c r="AF240" s="2616">
        <v>3</v>
      </c>
      <c r="AG240" s="2617" t="s">
        <v>1026</v>
      </c>
      <c r="AH240" s="2617" t="s">
        <v>1038</v>
      </c>
      <c r="AI240" s="2616"/>
      <c r="AJ240" s="2617"/>
      <c r="AK240" s="2617"/>
      <c r="AL240" s="1900"/>
      <c r="AM240" s="1738"/>
      <c r="AN240" s="1738"/>
      <c r="AO240" s="1738"/>
      <c r="AP240" s="1738"/>
      <c r="AQ240" s="1738"/>
      <c r="AR240" s="1738"/>
      <c r="AS240" s="1738"/>
      <c r="AT240" s="1738"/>
      <c r="AU240" s="1738"/>
      <c r="AV240" s="1738"/>
      <c r="AW240" s="1738"/>
      <c r="AX240" s="1738"/>
      <c r="AY240" s="1738"/>
      <c r="AZ240" s="1738"/>
      <c r="BA240" s="1738"/>
      <c r="BB240" s="1738"/>
      <c r="BC240" s="1738"/>
      <c r="BD240" s="1738"/>
      <c r="BE240" s="1738"/>
      <c r="BF240" s="1738"/>
    </row>
    <row r="241" spans="1:58" ht="11.25" customHeight="1">
      <c r="A241" s="1084" t="s">
        <v>992</v>
      </c>
      <c r="B241" s="1084"/>
      <c r="C241" s="1084"/>
      <c r="D241" s="1078"/>
      <c r="E241" s="1088"/>
      <c r="F241" s="2605"/>
      <c r="G241" s="2606"/>
      <c r="H241" s="2601" t="s">
        <v>1073</v>
      </c>
      <c r="I241" s="2613"/>
      <c r="J241" s="2614"/>
      <c r="K241" s="2615"/>
      <c r="L241" s="2338"/>
      <c r="M241" s="2339"/>
      <c r="N241" s="2618"/>
      <c r="O241" s="2619">
        <v>1</v>
      </c>
      <c r="P241" s="2620" t="s">
        <v>19</v>
      </c>
      <c r="Q241" s="2573" t="s">
        <v>22</v>
      </c>
      <c r="R241" s="2573" t="s">
        <v>22</v>
      </c>
      <c r="S241" s="2573" t="s">
        <v>22</v>
      </c>
      <c r="T241" s="2573" t="s">
        <v>22</v>
      </c>
      <c r="U241" s="2573" t="s">
        <v>22</v>
      </c>
      <c r="V241" s="2573" t="s">
        <v>22</v>
      </c>
      <c r="W241" s="2573" t="s">
        <v>22</v>
      </c>
      <c r="X241" s="2573" t="s">
        <v>22</v>
      </c>
      <c r="Y241" s="2573"/>
      <c r="Z241" s="1093"/>
      <c r="AA241" s="1094"/>
      <c r="AB241" s="1094"/>
      <c r="AC241" s="1098"/>
      <c r="AD241" s="1098"/>
      <c r="AE241" s="1099"/>
      <c r="AF241" s="2616"/>
      <c r="AG241" s="2617"/>
      <c r="AH241" s="2617"/>
      <c r="AI241" s="2616"/>
      <c r="AJ241" s="2617"/>
      <c r="AK241" s="2617"/>
      <c r="AL241" s="1900"/>
      <c r="AM241" s="1738"/>
      <c r="AN241" s="1738"/>
      <c r="AO241" s="1738"/>
      <c r="AP241" s="1738"/>
      <c r="AQ241" s="1738"/>
      <c r="AR241" s="1738"/>
      <c r="AS241" s="1738"/>
      <c r="AT241" s="1738"/>
      <c r="AU241" s="1738"/>
      <c r="AV241" s="1738"/>
      <c r="AW241" s="1738"/>
      <c r="AX241" s="1738"/>
      <c r="AY241" s="1738"/>
      <c r="AZ241" s="1738"/>
      <c r="BA241" s="1738"/>
      <c r="BB241" s="1738"/>
      <c r="BC241" s="1738"/>
      <c r="BD241" s="1738"/>
      <c r="BE241" s="1738"/>
      <c r="BF241" s="1738"/>
    </row>
    <row r="242" spans="1:58" ht="11.25" customHeight="1">
      <c r="A242" s="1084" t="s">
        <v>992</v>
      </c>
      <c r="B242" s="1084"/>
      <c r="C242" s="1084"/>
      <c r="D242" s="1078"/>
      <c r="E242" s="1088"/>
      <c r="F242" s="2605"/>
      <c r="G242" s="2606"/>
      <c r="H242" s="2601" t="s">
        <v>1073</v>
      </c>
      <c r="I242" s="2613"/>
      <c r="J242" s="2614"/>
      <c r="K242" s="2615"/>
      <c r="L242" s="2338"/>
      <c r="M242" s="2339"/>
      <c r="N242" s="2618"/>
      <c r="O242" s="2619"/>
      <c r="P242" s="2621"/>
      <c r="Q242" s="2573"/>
      <c r="R242" s="2573"/>
      <c r="S242" s="2623"/>
      <c r="T242" s="2573"/>
      <c r="U242" s="2573"/>
      <c r="V242" s="2573"/>
      <c r="W242" s="2573"/>
      <c r="X242" s="2573"/>
      <c r="Y242" s="2573"/>
      <c r="Z242" s="1743"/>
      <c r="AA242" s="1711">
        <v>1</v>
      </c>
      <c r="AB242" s="1097" t="s">
        <v>1039</v>
      </c>
      <c r="AC242" s="1087">
        <v>40853.681831054899</v>
      </c>
      <c r="AD242" s="1097" t="str">
        <f>AB242</f>
        <v xml:space="preserve">  Прочие собственные средства</v>
      </c>
      <c r="AE242" s="1087"/>
      <c r="AF242" s="2616"/>
      <c r="AG242" s="2617"/>
      <c r="AH242" s="2617"/>
      <c r="AI242" s="2616"/>
      <c r="AJ242" s="2617"/>
      <c r="AK242" s="2617"/>
      <c r="AL242" s="1900"/>
      <c r="AM242" s="1738"/>
      <c r="AN242" s="1738"/>
      <c r="AO242" s="1738"/>
      <c r="AP242" s="1738"/>
      <c r="AQ242" s="1738"/>
      <c r="AR242" s="1738"/>
      <c r="AS242" s="1738"/>
      <c r="AT242" s="1738"/>
      <c r="AU242" s="1738"/>
      <c r="AV242" s="1738"/>
      <c r="AW242" s="1738"/>
      <c r="AX242" s="1738"/>
      <c r="AY242" s="1738"/>
      <c r="AZ242" s="1738"/>
      <c r="BA242" s="1738"/>
      <c r="BB242" s="1738"/>
      <c r="BC242" s="1738"/>
      <c r="BD242" s="1738"/>
      <c r="BE242" s="1738"/>
      <c r="BF242" s="1738"/>
    </row>
    <row r="243" spans="1:58" ht="11.25" customHeight="1">
      <c r="A243" s="1084" t="s">
        <v>992</v>
      </c>
      <c r="B243" s="1084"/>
      <c r="C243" s="1084"/>
      <c r="D243" s="1078"/>
      <c r="E243" s="1088"/>
      <c r="F243" s="2606"/>
      <c r="G243" s="2606"/>
      <c r="H243" s="2606"/>
      <c r="I243" s="2606"/>
      <c r="J243" s="2606"/>
      <c r="K243" s="2606"/>
      <c r="L243" s="2606"/>
      <c r="M243" s="2606"/>
      <c r="N243" s="2606"/>
      <c r="O243" s="2606"/>
      <c r="P243" s="2606"/>
      <c r="Q243" s="2606"/>
      <c r="R243" s="2606"/>
      <c r="S243" s="2606"/>
      <c r="T243" s="2606"/>
      <c r="U243" s="2606"/>
      <c r="V243" s="2606"/>
      <c r="W243" s="2606"/>
      <c r="X243" s="2606"/>
      <c r="Y243" s="2606"/>
      <c r="Z243" s="2054" t="s">
        <v>686</v>
      </c>
      <c r="AA243" s="1731" t="s">
        <v>109</v>
      </c>
      <c r="AB243" s="1097" t="s">
        <v>1036</v>
      </c>
      <c r="AC243" s="1087">
        <v>12111.6615287284</v>
      </c>
      <c r="AD243" s="1097" t="str">
        <f>AB243</f>
        <v xml:space="preserve">      Прочие амортизационные отчисления</v>
      </c>
      <c r="AE243" s="1087"/>
      <c r="AF243" s="2625"/>
      <c r="AG243" s="2626"/>
      <c r="AH243" s="2626"/>
      <c r="AI243" s="2625"/>
      <c r="AJ243" s="2626"/>
      <c r="AK243" s="2627"/>
      <c r="AL243" s="1900"/>
      <c r="AM243" s="1738"/>
      <c r="AN243" s="1738"/>
      <c r="AO243" s="1738"/>
      <c r="AP243" s="1738"/>
      <c r="AQ243" s="1738"/>
      <c r="AR243" s="1738"/>
      <c r="AS243" s="1738"/>
      <c r="AT243" s="1738"/>
      <c r="AU243" s="1738"/>
      <c r="AV243" s="1738"/>
      <c r="AW243" s="1738"/>
      <c r="AX243" s="1738"/>
      <c r="AY243" s="1738"/>
      <c r="AZ243" s="1738"/>
      <c r="BA243" s="1738"/>
      <c r="BB243" s="1738"/>
      <c r="BC243" s="1738"/>
      <c r="BD243" s="1738"/>
      <c r="BE243" s="1738"/>
      <c r="BF243" s="1738"/>
    </row>
    <row r="244" spans="1:58" ht="11.25" customHeight="1">
      <c r="A244" s="1084" t="s">
        <v>992</v>
      </c>
      <c r="B244" s="1084"/>
      <c r="C244" s="1084"/>
      <c r="D244" s="1078"/>
      <c r="E244" s="1088"/>
      <c r="F244" s="2606"/>
      <c r="G244" s="2606"/>
      <c r="H244" s="2606"/>
      <c r="I244" s="2606"/>
      <c r="J244" s="2606"/>
      <c r="K244" s="2606"/>
      <c r="L244" s="2606"/>
      <c r="M244" s="2606"/>
      <c r="N244" s="2606"/>
      <c r="O244" s="2606"/>
      <c r="P244" s="2606"/>
      <c r="Q244" s="2606"/>
      <c r="R244" s="2606"/>
      <c r="S244" s="2606"/>
      <c r="T244" s="2606"/>
      <c r="U244" s="2606"/>
      <c r="V244" s="2606"/>
      <c r="W244" s="2606"/>
      <c r="X244" s="2606"/>
      <c r="Y244" s="2606"/>
      <c r="Z244" s="2054" t="s">
        <v>686</v>
      </c>
      <c r="AA244" s="1731" t="s">
        <v>92</v>
      </c>
      <c r="AB244" s="1097" t="s">
        <v>1028</v>
      </c>
      <c r="AC244" s="1087">
        <v>28835.009437482</v>
      </c>
      <c r="AD244" s="1097" t="str">
        <f>AB244</f>
        <v xml:space="preserve">  Прочие</v>
      </c>
      <c r="AE244" s="1087"/>
      <c r="AF244" s="2625"/>
      <c r="AG244" s="2626"/>
      <c r="AH244" s="2626"/>
      <c r="AI244" s="2625"/>
      <c r="AJ244" s="2626"/>
      <c r="AK244" s="2627"/>
      <c r="AL244" s="1900"/>
      <c r="AM244" s="1738"/>
      <c r="AN244" s="1738"/>
      <c r="AO244" s="1738"/>
      <c r="AP244" s="1738"/>
      <c r="AQ244" s="1738"/>
      <c r="AR244" s="1738"/>
      <c r="AS244" s="1738"/>
      <c r="AT244" s="1738"/>
      <c r="AU244" s="1738"/>
      <c r="AV244" s="1738"/>
      <c r="AW244" s="1738"/>
      <c r="AX244" s="1738"/>
      <c r="AY244" s="1738"/>
      <c r="AZ244" s="1738"/>
      <c r="BA244" s="1738"/>
      <c r="BB244" s="1738"/>
      <c r="BC244" s="1738"/>
      <c r="BD244" s="1738"/>
      <c r="BE244" s="1738"/>
      <c r="BF244" s="1738"/>
    </row>
    <row r="245" spans="1:58" ht="11.25" customHeight="1">
      <c r="A245" s="1084" t="s">
        <v>992</v>
      </c>
      <c r="B245" s="1084"/>
      <c r="C245" s="1084"/>
      <c r="D245" s="1078"/>
      <c r="E245" s="1088"/>
      <c r="F245" s="2605"/>
      <c r="G245" s="2606"/>
      <c r="H245" s="2601" t="s">
        <v>1073</v>
      </c>
      <c r="I245" s="2613"/>
      <c r="J245" s="2614"/>
      <c r="K245" s="2615"/>
      <c r="L245" s="2338"/>
      <c r="M245" s="2339"/>
      <c r="N245" s="2618"/>
      <c r="O245" s="2619"/>
      <c r="P245" s="2622"/>
      <c r="Q245" s="2573"/>
      <c r="R245" s="2573"/>
      <c r="S245" s="2623"/>
      <c r="T245" s="2573"/>
      <c r="U245" s="2573"/>
      <c r="V245" s="2573"/>
      <c r="W245" s="2573"/>
      <c r="X245" s="2573"/>
      <c r="Y245" s="2573"/>
      <c r="Z245" s="1093"/>
      <c r="AA245" s="1094"/>
      <c r="AB245" s="1159" t="s">
        <v>1029</v>
      </c>
      <c r="AC245" s="1098"/>
      <c r="AD245" s="1098"/>
      <c r="AE245" s="1100"/>
      <c r="AF245" s="2616"/>
      <c r="AG245" s="2617"/>
      <c r="AH245" s="2617"/>
      <c r="AI245" s="2616"/>
      <c r="AJ245" s="2617"/>
      <c r="AK245" s="2617"/>
      <c r="AL245" s="1900"/>
      <c r="AM245" s="1738"/>
      <c r="AN245" s="1738"/>
      <c r="AO245" s="1738"/>
      <c r="AP245" s="1738"/>
      <c r="AQ245" s="1738"/>
      <c r="AR245" s="1738"/>
      <c r="AS245" s="1738"/>
      <c r="AT245" s="1738"/>
      <c r="AU245" s="1738"/>
      <c r="AV245" s="1738"/>
      <c r="AW245" s="1738"/>
      <c r="AX245" s="1738"/>
      <c r="AY245" s="1738"/>
      <c r="AZ245" s="1738"/>
      <c r="BA245" s="1738"/>
      <c r="BB245" s="1738"/>
      <c r="BC245" s="1738"/>
      <c r="BD245" s="1738"/>
      <c r="BE245" s="1738"/>
      <c r="BF245" s="1738"/>
    </row>
    <row r="246" spans="1:58" ht="11.25" customHeight="1">
      <c r="A246" s="1084" t="s">
        <v>992</v>
      </c>
      <c r="B246" s="1084"/>
      <c r="C246" s="1084"/>
      <c r="D246" s="1078"/>
      <c r="E246" s="1088"/>
      <c r="F246" s="2605"/>
      <c r="G246" s="2606"/>
      <c r="H246" s="2601" t="s">
        <v>1073</v>
      </c>
      <c r="I246" s="2613"/>
      <c r="J246" s="2614"/>
      <c r="K246" s="2615"/>
      <c r="L246" s="2338"/>
      <c r="M246" s="2339"/>
      <c r="N246" s="1093"/>
      <c r="O246" s="1094"/>
      <c r="P246" s="1086" t="s">
        <v>1030</v>
      </c>
      <c r="Q246" s="1094"/>
      <c r="R246" s="1094"/>
      <c r="S246" s="1094"/>
      <c r="T246" s="1094"/>
      <c r="U246" s="1094"/>
      <c r="V246" s="1094"/>
      <c r="W246" s="1094"/>
      <c r="X246" s="1094"/>
      <c r="Y246" s="1094"/>
      <c r="Z246" s="1094"/>
      <c r="AA246" s="1094"/>
      <c r="AB246" s="1094"/>
      <c r="AC246" s="1094"/>
      <c r="AD246" s="1094"/>
      <c r="AE246" s="1101"/>
      <c r="AF246" s="2616"/>
      <c r="AG246" s="2617"/>
      <c r="AH246" s="2617"/>
      <c r="AI246" s="2616"/>
      <c r="AJ246" s="2617"/>
      <c r="AK246" s="2617"/>
      <c r="AL246" s="1900"/>
      <c r="AM246" s="1738"/>
      <c r="AN246" s="1738"/>
      <c r="AO246" s="1738"/>
      <c r="AP246" s="1738"/>
      <c r="AQ246" s="1738"/>
      <c r="AR246" s="1738"/>
      <c r="AS246" s="1738"/>
      <c r="AT246" s="1738"/>
      <c r="AU246" s="1738"/>
      <c r="AV246" s="1738"/>
      <c r="AW246" s="1738"/>
      <c r="AX246" s="1738"/>
      <c r="AY246" s="1738"/>
      <c r="AZ246" s="1738"/>
      <c r="BA246" s="1738"/>
      <c r="BB246" s="1738"/>
      <c r="BC246" s="1738"/>
      <c r="BD246" s="1738"/>
      <c r="BE246" s="1738"/>
      <c r="BF246" s="1738"/>
    </row>
    <row r="247" spans="1:58" ht="12" customHeight="1">
      <c r="A247" s="1084" t="s">
        <v>992</v>
      </c>
      <c r="B247" s="1084"/>
      <c r="C247" s="1084"/>
      <c r="D247" s="1078"/>
      <c r="E247" s="1088"/>
      <c r="F247" s="2607"/>
      <c r="G247" s="1108"/>
      <c r="H247" s="1108"/>
      <c r="I247" s="2603" t="s">
        <v>1063</v>
      </c>
      <c r="J247" s="2603"/>
      <c r="K247" s="2603"/>
      <c r="L247" s="1091"/>
      <c r="M247" s="1091"/>
      <c r="N247" s="1092"/>
      <c r="O247" s="1092"/>
      <c r="P247" s="1092"/>
      <c r="Q247" s="1092"/>
      <c r="R247" s="1092"/>
      <c r="S247" s="1092"/>
      <c r="T247" s="1092"/>
      <c r="U247" s="1092"/>
      <c r="V247" s="1092"/>
      <c r="W247" s="1092"/>
      <c r="X247" s="1092"/>
      <c r="Y247" s="1092"/>
      <c r="Z247" s="1092"/>
      <c r="AA247" s="1092"/>
      <c r="AB247" s="1092"/>
      <c r="AC247" s="1092"/>
      <c r="AD247" s="1092"/>
      <c r="AE247" s="1092"/>
      <c r="AF247" s="1092"/>
      <c r="AG247" s="1091"/>
      <c r="AH247" s="1091"/>
      <c r="AI247" s="1092"/>
      <c r="AJ247" s="1091"/>
      <c r="AK247" s="1092"/>
      <c r="AL247" s="1900"/>
      <c r="AM247" s="1738"/>
      <c r="AN247" s="1738"/>
      <c r="AO247" s="1738"/>
      <c r="AP247" s="1738"/>
      <c r="AQ247" s="1738"/>
      <c r="AR247" s="1738"/>
      <c r="AS247" s="1738"/>
      <c r="AT247" s="1738"/>
      <c r="AU247" s="1738"/>
      <c r="AV247" s="1738"/>
      <c r="AW247" s="1738"/>
      <c r="AX247" s="1738"/>
      <c r="AY247" s="1738"/>
      <c r="AZ247" s="1738"/>
      <c r="BA247" s="1738"/>
      <c r="BB247" s="1738"/>
      <c r="BC247" s="1738"/>
      <c r="BD247" s="1738"/>
      <c r="BE247" s="1738"/>
      <c r="BF247" s="1738"/>
    </row>
    <row r="248" spans="1:58" ht="0.75" customHeight="1">
      <c r="A248" s="1084" t="s">
        <v>992</v>
      </c>
      <c r="B248" s="1084"/>
      <c r="C248" s="1084"/>
      <c r="D248" s="1078"/>
      <c r="E248" s="1088"/>
      <c r="F248" s="2604">
        <v>2026</v>
      </c>
      <c r="G248" s="2601"/>
      <c r="H248" s="2609" t="s">
        <v>373</v>
      </c>
      <c r="I248" s="2610"/>
      <c r="J248" s="2600"/>
      <c r="K248" s="2600"/>
      <c r="L248" s="2602"/>
      <c r="M248" s="2453"/>
      <c r="N248" s="1948"/>
      <c r="O248" s="1947"/>
      <c r="P248" s="1948"/>
      <c r="Q248" s="1948"/>
      <c r="R248" s="1948"/>
      <c r="S248" s="1948"/>
      <c r="T248" s="1948"/>
      <c r="U248" s="1948"/>
      <c r="V248" s="1948"/>
      <c r="W248" s="1948"/>
      <c r="X248" s="1948"/>
      <c r="Y248" s="1948"/>
      <c r="Z248" s="1948"/>
      <c r="AA248" s="1948"/>
      <c r="AB248" s="1948"/>
      <c r="AC248" s="1948"/>
      <c r="AD248" s="1948"/>
      <c r="AE248" s="1948"/>
      <c r="AF248" s="2608"/>
      <c r="AG248" s="2602"/>
      <c r="AH248" s="2602"/>
      <c r="AI248" s="2608"/>
      <c r="AJ248" s="2602"/>
      <c r="AK248" s="2602"/>
      <c r="AL248" s="1900"/>
      <c r="AM248" s="1738"/>
      <c r="AN248" s="1738"/>
      <c r="AO248" s="1738"/>
      <c r="AP248" s="1738"/>
      <c r="AQ248" s="1738"/>
      <c r="AR248" s="1738"/>
      <c r="AS248" s="1738"/>
      <c r="AT248" s="1738"/>
      <c r="AU248" s="1738"/>
      <c r="AV248" s="1738"/>
      <c r="AW248" s="1738"/>
      <c r="AX248" s="1738"/>
      <c r="AY248" s="1738"/>
      <c r="AZ248" s="1738"/>
      <c r="BA248" s="1738"/>
      <c r="BB248" s="1738"/>
      <c r="BC248" s="1738"/>
      <c r="BD248" s="1738"/>
      <c r="BE248" s="1738"/>
      <c r="BF248" s="1738"/>
    </row>
    <row r="249" spans="1:58" ht="0.75" customHeight="1">
      <c r="A249" s="1084" t="s">
        <v>992</v>
      </c>
      <c r="B249" s="1084"/>
      <c r="C249" s="1084"/>
      <c r="D249" s="1078"/>
      <c r="E249" s="1088"/>
      <c r="F249" s="2604"/>
      <c r="G249" s="2601"/>
      <c r="H249" s="2609"/>
      <c r="I249" s="2610"/>
      <c r="J249" s="2600"/>
      <c r="K249" s="2600"/>
      <c r="L249" s="2602"/>
      <c r="M249" s="2453"/>
      <c r="N249" s="2611"/>
      <c r="O249" s="2612"/>
      <c r="P249" s="2597"/>
      <c r="Q249" s="2600"/>
      <c r="R249" s="2600"/>
      <c r="S249" s="2600"/>
      <c r="T249" s="2600"/>
      <c r="U249" s="2600"/>
      <c r="V249" s="2600"/>
      <c r="W249" s="2600"/>
      <c r="X249" s="2600"/>
      <c r="Y249" s="2600"/>
      <c r="Z249" s="1949"/>
      <c r="AA249" s="1950"/>
      <c r="AB249" s="1950"/>
      <c r="AC249" s="1951"/>
      <c r="AD249" s="1951"/>
      <c r="AE249" s="1952"/>
      <c r="AF249" s="2608"/>
      <c r="AG249" s="2602"/>
      <c r="AH249" s="2602"/>
      <c r="AI249" s="2608"/>
      <c r="AJ249" s="2602"/>
      <c r="AK249" s="2602"/>
      <c r="AL249" s="1900"/>
      <c r="AM249" s="1738"/>
      <c r="AN249" s="1738"/>
      <c r="AO249" s="1738"/>
      <c r="AP249" s="1738"/>
      <c r="AQ249" s="1738"/>
      <c r="AR249" s="1738"/>
      <c r="AS249" s="1738"/>
      <c r="AT249" s="1738"/>
      <c r="AU249" s="1738"/>
      <c r="AV249" s="1738"/>
      <c r="AW249" s="1738"/>
      <c r="AX249" s="1738"/>
      <c r="AY249" s="1738"/>
      <c r="AZ249" s="1738"/>
      <c r="BA249" s="1738"/>
      <c r="BB249" s="1738"/>
      <c r="BC249" s="1738"/>
      <c r="BD249" s="1738"/>
      <c r="BE249" s="1738"/>
      <c r="BF249" s="1738"/>
    </row>
    <row r="250" spans="1:58" ht="0.75" customHeight="1">
      <c r="A250" s="1084" t="s">
        <v>992</v>
      </c>
      <c r="B250" s="1084"/>
      <c r="C250" s="1084"/>
      <c r="D250" s="1078"/>
      <c r="E250" s="1088"/>
      <c r="F250" s="2604"/>
      <c r="G250" s="2601"/>
      <c r="H250" s="2609"/>
      <c r="I250" s="2610"/>
      <c r="J250" s="2600"/>
      <c r="K250" s="2600"/>
      <c r="L250" s="2602"/>
      <c r="M250" s="2453"/>
      <c r="N250" s="2611"/>
      <c r="O250" s="2612"/>
      <c r="P250" s="2598"/>
      <c r="Q250" s="2600"/>
      <c r="R250" s="2600"/>
      <c r="S250" s="2600"/>
      <c r="T250" s="2600"/>
      <c r="U250" s="2600"/>
      <c r="V250" s="2600"/>
      <c r="W250" s="2600"/>
      <c r="X250" s="2600"/>
      <c r="Y250" s="2600"/>
      <c r="Z250" s="1953"/>
      <c r="AA250" s="1954"/>
      <c r="AB250" s="1955"/>
      <c r="AC250" s="1956"/>
      <c r="AD250" s="1955"/>
      <c r="AE250" s="1956"/>
      <c r="AF250" s="2608"/>
      <c r="AG250" s="2602"/>
      <c r="AH250" s="2602"/>
      <c r="AI250" s="2608"/>
      <c r="AJ250" s="2602"/>
      <c r="AK250" s="2602"/>
      <c r="AL250" s="1900"/>
      <c r="AM250" s="1738"/>
      <c r="AN250" s="1738"/>
      <c r="AO250" s="1738"/>
      <c r="AP250" s="1738"/>
      <c r="AQ250" s="1738"/>
      <c r="AR250" s="1738"/>
      <c r="AS250" s="1738"/>
      <c r="AT250" s="1738"/>
      <c r="AU250" s="1738"/>
      <c r="AV250" s="1738"/>
      <c r="AW250" s="1738"/>
      <c r="AX250" s="1738"/>
      <c r="AY250" s="1738"/>
      <c r="AZ250" s="1738"/>
      <c r="BA250" s="1738"/>
      <c r="BB250" s="1738"/>
      <c r="BC250" s="1738"/>
      <c r="BD250" s="1738"/>
      <c r="BE250" s="1738"/>
      <c r="BF250" s="1738"/>
    </row>
    <row r="251" spans="1:58" ht="0.75" customHeight="1">
      <c r="A251" s="1084" t="s">
        <v>992</v>
      </c>
      <c r="B251" s="1084"/>
      <c r="C251" s="1084"/>
      <c r="D251" s="1078"/>
      <c r="E251" s="1088"/>
      <c r="F251" s="2604"/>
      <c r="G251" s="2601"/>
      <c r="H251" s="2609"/>
      <c r="I251" s="2610"/>
      <c r="J251" s="2600"/>
      <c r="K251" s="2600"/>
      <c r="L251" s="2602"/>
      <c r="M251" s="2453"/>
      <c r="N251" s="2611"/>
      <c r="O251" s="2612"/>
      <c r="P251" s="2599"/>
      <c r="Q251" s="2600"/>
      <c r="R251" s="2600"/>
      <c r="S251" s="2600"/>
      <c r="T251" s="2600"/>
      <c r="U251" s="2600"/>
      <c r="V251" s="2600"/>
      <c r="W251" s="2600"/>
      <c r="X251" s="2600"/>
      <c r="Y251" s="2600"/>
      <c r="Z251" s="1949"/>
      <c r="AA251" s="1950"/>
      <c r="AB251" s="1957"/>
      <c r="AC251" s="1951"/>
      <c r="AD251" s="1951"/>
      <c r="AE251" s="1958"/>
      <c r="AF251" s="2608"/>
      <c r="AG251" s="2602"/>
      <c r="AH251" s="2602"/>
      <c r="AI251" s="2608"/>
      <c r="AJ251" s="2602"/>
      <c r="AK251" s="2602"/>
      <c r="AL251" s="1900"/>
      <c r="AM251" s="1738"/>
      <c r="AN251" s="1738"/>
      <c r="AO251" s="1738"/>
      <c r="AP251" s="1738"/>
      <c r="AQ251" s="1738"/>
      <c r="AR251" s="1738"/>
      <c r="AS251" s="1738"/>
      <c r="AT251" s="1738"/>
      <c r="AU251" s="1738"/>
      <c r="AV251" s="1738"/>
      <c r="AW251" s="1738"/>
      <c r="AX251" s="1738"/>
      <c r="AY251" s="1738"/>
      <c r="AZ251" s="1738"/>
      <c r="BA251" s="1738"/>
      <c r="BB251" s="1738"/>
      <c r="BC251" s="1738"/>
      <c r="BD251" s="1738"/>
      <c r="BE251" s="1738"/>
      <c r="BF251" s="1738"/>
    </row>
    <row r="252" spans="1:58" ht="0.75" customHeight="1">
      <c r="A252" s="1084" t="s">
        <v>992</v>
      </c>
      <c r="B252" s="1084"/>
      <c r="C252" s="1084"/>
      <c r="D252" s="1078"/>
      <c r="E252" s="1088"/>
      <c r="F252" s="2604"/>
      <c r="G252" s="2601"/>
      <c r="H252" s="2609"/>
      <c r="I252" s="2610"/>
      <c r="J252" s="2600"/>
      <c r="K252" s="2600"/>
      <c r="L252" s="2602"/>
      <c r="M252" s="2453"/>
      <c r="N252" s="1950"/>
      <c r="O252" s="1950"/>
      <c r="P252" s="1957"/>
      <c r="Q252" s="1950"/>
      <c r="R252" s="1950"/>
      <c r="S252" s="1950"/>
      <c r="T252" s="1950"/>
      <c r="U252" s="1950"/>
      <c r="V252" s="1950"/>
      <c r="W252" s="1950"/>
      <c r="X252" s="1950"/>
      <c r="Y252" s="1950"/>
      <c r="Z252" s="1950"/>
      <c r="AA252" s="1950"/>
      <c r="AB252" s="1950"/>
      <c r="AC252" s="1950"/>
      <c r="AD252" s="1950"/>
      <c r="AE252" s="1959"/>
      <c r="AF252" s="2608"/>
      <c r="AG252" s="2602"/>
      <c r="AH252" s="2602"/>
      <c r="AI252" s="2608"/>
      <c r="AJ252" s="2602"/>
      <c r="AK252" s="2602"/>
      <c r="AL252" s="1900"/>
      <c r="AM252" s="1738"/>
      <c r="AN252" s="1738"/>
      <c r="AO252" s="1738"/>
      <c r="AP252" s="1738"/>
      <c r="AQ252" s="1738"/>
      <c r="AR252" s="1738"/>
      <c r="AS252" s="1738"/>
      <c r="AT252" s="1738"/>
      <c r="AU252" s="1738"/>
      <c r="AV252" s="1738"/>
      <c r="AW252" s="1738"/>
      <c r="AX252" s="1738"/>
      <c r="AY252" s="1738"/>
      <c r="AZ252" s="1738"/>
      <c r="BA252" s="1738"/>
      <c r="BB252" s="1738"/>
      <c r="BC252" s="1738"/>
      <c r="BD252" s="1738"/>
      <c r="BE252" s="1738"/>
      <c r="BF252" s="1738"/>
    </row>
    <row r="253" spans="1:58" ht="34.5" customHeight="1">
      <c r="A253" s="1084" t="s">
        <v>992</v>
      </c>
      <c r="B253" s="1084" t="s">
        <v>22</v>
      </c>
      <c r="C253" s="1084"/>
      <c r="D253" s="1078"/>
      <c r="E253" s="1088"/>
      <c r="F253" s="2605"/>
      <c r="G253" s="2590" t="s">
        <v>686</v>
      </c>
      <c r="H253" s="2601" t="s">
        <v>108</v>
      </c>
      <c r="I253" s="2613" t="s">
        <v>1024</v>
      </c>
      <c r="J253" s="2614" t="s">
        <v>22</v>
      </c>
      <c r="K253" s="2615" t="s">
        <v>1025</v>
      </c>
      <c r="L253" s="2338" t="s">
        <v>19</v>
      </c>
      <c r="M253" s="2339"/>
      <c r="N253" s="1898"/>
      <c r="O253" s="1095" t="s">
        <v>373</v>
      </c>
      <c r="P253" s="1096"/>
      <c r="Q253" s="1096"/>
      <c r="R253" s="1096"/>
      <c r="S253" s="1096"/>
      <c r="T253" s="1096"/>
      <c r="U253" s="1096"/>
      <c r="V253" s="1096"/>
      <c r="W253" s="1096"/>
      <c r="X253" s="1096"/>
      <c r="Y253" s="1096"/>
      <c r="Z253" s="1096"/>
      <c r="AA253" s="1096"/>
      <c r="AB253" s="1096"/>
      <c r="AC253" s="1096"/>
      <c r="AD253" s="1096"/>
      <c r="AE253" s="1096"/>
      <c r="AF253" s="2616">
        <v>6</v>
      </c>
      <c r="AG253" s="2617" t="s">
        <v>1026</v>
      </c>
      <c r="AH253" s="2617" t="s">
        <v>1035</v>
      </c>
      <c r="AI253" s="2616"/>
      <c r="AJ253" s="2617"/>
      <c r="AK253" s="2617"/>
      <c r="AL253" s="1900"/>
      <c r="AM253" s="1738"/>
      <c r="AN253" s="1738"/>
      <c r="AO253" s="1738"/>
      <c r="AP253" s="1738"/>
      <c r="AQ253" s="1738"/>
      <c r="AR253" s="1738"/>
      <c r="AS253" s="1738"/>
      <c r="AT253" s="1738"/>
      <c r="AU253" s="1738"/>
      <c r="AV253" s="1738"/>
      <c r="AW253" s="1738"/>
      <c r="AX253" s="1738"/>
      <c r="AY253" s="1738"/>
      <c r="AZ253" s="1738"/>
      <c r="BA253" s="1738"/>
      <c r="BB253" s="1738"/>
      <c r="BC253" s="1738"/>
      <c r="BD253" s="1738"/>
      <c r="BE253" s="1738"/>
      <c r="BF253" s="1738"/>
    </row>
    <row r="254" spans="1:58" ht="20.25" customHeight="1">
      <c r="A254" s="1084" t="s">
        <v>992</v>
      </c>
      <c r="B254" s="1084"/>
      <c r="C254" s="1084"/>
      <c r="D254" s="1078"/>
      <c r="E254" s="1088"/>
      <c r="F254" s="2605"/>
      <c r="G254" s="2606"/>
      <c r="H254" s="2601" t="s">
        <v>373</v>
      </c>
      <c r="I254" s="2613"/>
      <c r="J254" s="2614"/>
      <c r="K254" s="2615"/>
      <c r="L254" s="2338"/>
      <c r="M254" s="2339"/>
      <c r="N254" s="2618"/>
      <c r="O254" s="2619">
        <v>1</v>
      </c>
      <c r="P254" s="2620" t="s">
        <v>19</v>
      </c>
      <c r="Q254" s="2573" t="s">
        <v>22</v>
      </c>
      <c r="R254" s="2573" t="s">
        <v>22</v>
      </c>
      <c r="S254" s="2573" t="s">
        <v>22</v>
      </c>
      <c r="T254" s="2573" t="s">
        <v>22</v>
      </c>
      <c r="U254" s="2573" t="s">
        <v>22</v>
      </c>
      <c r="V254" s="2573" t="s">
        <v>22</v>
      </c>
      <c r="W254" s="2573" t="s">
        <v>22</v>
      </c>
      <c r="X254" s="2573" t="s">
        <v>22</v>
      </c>
      <c r="Y254" s="2573"/>
      <c r="Z254" s="1093"/>
      <c r="AA254" s="1094"/>
      <c r="AB254" s="1094"/>
      <c r="AC254" s="1098"/>
      <c r="AD254" s="1098"/>
      <c r="AE254" s="1099"/>
      <c r="AF254" s="2616"/>
      <c r="AG254" s="2617"/>
      <c r="AH254" s="2617"/>
      <c r="AI254" s="2616"/>
      <c r="AJ254" s="2617"/>
      <c r="AK254" s="2617"/>
      <c r="AL254" s="1900"/>
      <c r="AM254" s="1738"/>
      <c r="AN254" s="1738"/>
      <c r="AO254" s="1738"/>
      <c r="AP254" s="1738"/>
      <c r="AQ254" s="1738"/>
      <c r="AR254" s="1738"/>
      <c r="AS254" s="1738"/>
      <c r="AT254" s="1738"/>
      <c r="AU254" s="1738"/>
      <c r="AV254" s="1738"/>
      <c r="AW254" s="1738"/>
      <c r="AX254" s="1738"/>
      <c r="AY254" s="1738"/>
      <c r="AZ254" s="1738"/>
      <c r="BA254" s="1738"/>
      <c r="BB254" s="1738"/>
      <c r="BC254" s="1738"/>
      <c r="BD254" s="1738"/>
      <c r="BE254" s="1738"/>
      <c r="BF254" s="1738"/>
    </row>
    <row r="255" spans="1:58" ht="24.75" customHeight="1">
      <c r="A255" s="1084" t="s">
        <v>992</v>
      </c>
      <c r="B255" s="1084"/>
      <c r="C255" s="1084"/>
      <c r="D255" s="1078"/>
      <c r="E255" s="1088"/>
      <c r="F255" s="2605"/>
      <c r="G255" s="2606"/>
      <c r="H255" s="2601" t="s">
        <v>373</v>
      </c>
      <c r="I255" s="2613"/>
      <c r="J255" s="2614"/>
      <c r="K255" s="2615"/>
      <c r="L255" s="2338"/>
      <c r="M255" s="2339"/>
      <c r="N255" s="2618"/>
      <c r="O255" s="2619"/>
      <c r="P255" s="2621"/>
      <c r="Q255" s="2573"/>
      <c r="R255" s="2573"/>
      <c r="S255" s="2623"/>
      <c r="T255" s="2573"/>
      <c r="U255" s="2573"/>
      <c r="V255" s="2573"/>
      <c r="W255" s="2573"/>
      <c r="X255" s="2573"/>
      <c r="Y255" s="2573"/>
      <c r="Z255" s="1743"/>
      <c r="AA255" s="1711">
        <v>1</v>
      </c>
      <c r="AB255" s="1097" t="s">
        <v>1028</v>
      </c>
      <c r="AC255" s="1087">
        <v>58466.156598403897</v>
      </c>
      <c r="AD255" s="1097" t="str">
        <f>AB255</f>
        <v xml:space="preserve">  Прочие</v>
      </c>
      <c r="AE255" s="1087"/>
      <c r="AF255" s="2616"/>
      <c r="AG255" s="2617"/>
      <c r="AH255" s="2617"/>
      <c r="AI255" s="2616"/>
      <c r="AJ255" s="2617"/>
      <c r="AK255" s="2617"/>
      <c r="AL255" s="1900"/>
      <c r="AM255" s="1738"/>
      <c r="AN255" s="1738"/>
      <c r="AO255" s="1738"/>
      <c r="AP255" s="1738"/>
      <c r="AQ255" s="1738"/>
      <c r="AR255" s="1738"/>
      <c r="AS255" s="1738"/>
      <c r="AT255" s="1738"/>
      <c r="AU255" s="1738"/>
      <c r="AV255" s="1738"/>
      <c r="AW255" s="1738"/>
      <c r="AX255" s="1738"/>
      <c r="AY255" s="1738"/>
      <c r="AZ255" s="1738"/>
      <c r="BA255" s="1738"/>
      <c r="BB255" s="1738"/>
      <c r="BC255" s="1738"/>
      <c r="BD255" s="1738"/>
      <c r="BE255" s="1738"/>
      <c r="BF255" s="1738"/>
    </row>
    <row r="256" spans="1:58" ht="11.25" customHeight="1">
      <c r="A256" s="1084" t="s">
        <v>992</v>
      </c>
      <c r="B256" s="1084"/>
      <c r="C256" s="1084"/>
      <c r="D256" s="1078"/>
      <c r="E256" s="1088"/>
      <c r="F256" s="2605"/>
      <c r="G256" s="2606"/>
      <c r="H256" s="2601" t="s">
        <v>373</v>
      </c>
      <c r="I256" s="2613"/>
      <c r="J256" s="2614"/>
      <c r="K256" s="2615"/>
      <c r="L256" s="2338"/>
      <c r="M256" s="2339"/>
      <c r="N256" s="2618"/>
      <c r="O256" s="2619"/>
      <c r="P256" s="2622"/>
      <c r="Q256" s="2573"/>
      <c r="R256" s="2573"/>
      <c r="S256" s="2623"/>
      <c r="T256" s="2573"/>
      <c r="U256" s="2573"/>
      <c r="V256" s="2573"/>
      <c r="W256" s="2573"/>
      <c r="X256" s="2573"/>
      <c r="Y256" s="2573"/>
      <c r="Z256" s="1093"/>
      <c r="AA256" s="1094"/>
      <c r="AB256" s="1159" t="s">
        <v>1029</v>
      </c>
      <c r="AC256" s="1098"/>
      <c r="AD256" s="1098"/>
      <c r="AE256" s="1100"/>
      <c r="AF256" s="2616"/>
      <c r="AG256" s="2617"/>
      <c r="AH256" s="2617"/>
      <c r="AI256" s="2616"/>
      <c r="AJ256" s="2617"/>
      <c r="AK256" s="2617"/>
      <c r="AL256" s="1900"/>
      <c r="AM256" s="1738"/>
      <c r="AN256" s="1738"/>
      <c r="AO256" s="1738"/>
      <c r="AP256" s="1738"/>
      <c r="AQ256" s="1738"/>
      <c r="AR256" s="1738"/>
      <c r="AS256" s="1738"/>
      <c r="AT256" s="1738"/>
      <c r="AU256" s="1738"/>
      <c r="AV256" s="1738"/>
      <c r="AW256" s="1738"/>
      <c r="AX256" s="1738"/>
      <c r="AY256" s="1738"/>
      <c r="AZ256" s="1738"/>
      <c r="BA256" s="1738"/>
      <c r="BB256" s="1738"/>
      <c r="BC256" s="1738"/>
      <c r="BD256" s="1738"/>
      <c r="BE256" s="1738"/>
      <c r="BF256" s="1738"/>
    </row>
    <row r="257" spans="1:58" ht="11.25" customHeight="1">
      <c r="A257" s="1084" t="s">
        <v>992</v>
      </c>
      <c r="B257" s="1084"/>
      <c r="C257" s="1084"/>
      <c r="D257" s="1078"/>
      <c r="E257" s="1088"/>
      <c r="F257" s="2605"/>
      <c r="G257" s="2606"/>
      <c r="H257" s="2601" t="s">
        <v>373</v>
      </c>
      <c r="I257" s="2613"/>
      <c r="J257" s="2614"/>
      <c r="K257" s="2615"/>
      <c r="L257" s="2338"/>
      <c r="M257" s="2339"/>
      <c r="N257" s="1093"/>
      <c r="O257" s="1094"/>
      <c r="P257" s="1086" t="s">
        <v>1030</v>
      </c>
      <c r="Q257" s="1094"/>
      <c r="R257" s="1094"/>
      <c r="S257" s="1094"/>
      <c r="T257" s="1094"/>
      <c r="U257" s="1094"/>
      <c r="V257" s="1094"/>
      <c r="W257" s="1094"/>
      <c r="X257" s="1094"/>
      <c r="Y257" s="1094"/>
      <c r="Z257" s="1094"/>
      <c r="AA257" s="1094"/>
      <c r="AB257" s="1094"/>
      <c r="AC257" s="1094"/>
      <c r="AD257" s="1094"/>
      <c r="AE257" s="1101"/>
      <c r="AF257" s="2616"/>
      <c r="AG257" s="2617"/>
      <c r="AH257" s="2617"/>
      <c r="AI257" s="2616"/>
      <c r="AJ257" s="2617"/>
      <c r="AK257" s="2617"/>
      <c r="AL257" s="1900"/>
      <c r="AM257" s="1738"/>
      <c r="AN257" s="1738"/>
      <c r="AO257" s="1738"/>
      <c r="AP257" s="1738"/>
      <c r="AQ257" s="1738"/>
      <c r="AR257" s="1738"/>
      <c r="AS257" s="1738"/>
      <c r="AT257" s="1738"/>
      <c r="AU257" s="1738"/>
      <c r="AV257" s="1738"/>
      <c r="AW257" s="1738"/>
      <c r="AX257" s="1738"/>
      <c r="AY257" s="1738"/>
      <c r="AZ257" s="1738"/>
      <c r="BA257" s="1738"/>
      <c r="BB257" s="1738"/>
      <c r="BC257" s="1738"/>
      <c r="BD257" s="1738"/>
      <c r="BE257" s="1738"/>
      <c r="BF257" s="1738"/>
    </row>
    <row r="258" spans="1:58" ht="11.25" customHeight="1">
      <c r="A258" s="1084" t="s">
        <v>992</v>
      </c>
      <c r="B258" s="1084" t="s">
        <v>1031</v>
      </c>
      <c r="C258" s="1084"/>
      <c r="D258" s="1078"/>
      <c r="E258" s="1088"/>
      <c r="F258" s="2605"/>
      <c r="G258" s="2590" t="s">
        <v>686</v>
      </c>
      <c r="H258" s="2601" t="s">
        <v>109</v>
      </c>
      <c r="I258" s="2613" t="s">
        <v>1032</v>
      </c>
      <c r="J258" s="2624" t="s">
        <v>1033</v>
      </c>
      <c r="K258" s="2615" t="s">
        <v>1034</v>
      </c>
      <c r="L258" s="2338" t="s">
        <v>19</v>
      </c>
      <c r="M258" s="2339"/>
      <c r="N258" s="1898"/>
      <c r="O258" s="1095" t="s">
        <v>373</v>
      </c>
      <c r="P258" s="1096"/>
      <c r="Q258" s="1096"/>
      <c r="R258" s="1096"/>
      <c r="S258" s="1096"/>
      <c r="T258" s="1096"/>
      <c r="U258" s="1096"/>
      <c r="V258" s="1096"/>
      <c r="W258" s="1096"/>
      <c r="X258" s="1096"/>
      <c r="Y258" s="1096"/>
      <c r="Z258" s="1096"/>
      <c r="AA258" s="1096"/>
      <c r="AB258" s="1096"/>
      <c r="AC258" s="1096"/>
      <c r="AD258" s="1096"/>
      <c r="AE258" s="1096"/>
      <c r="AF258" s="2616">
        <v>11</v>
      </c>
      <c r="AG258" s="2617" t="s">
        <v>1026</v>
      </c>
      <c r="AH258" s="2617" t="s">
        <v>1035</v>
      </c>
      <c r="AI258" s="2616"/>
      <c r="AJ258" s="2617"/>
      <c r="AK258" s="2617"/>
      <c r="AL258" s="1900"/>
      <c r="AM258" s="1738"/>
      <c r="AN258" s="1738"/>
      <c r="AO258" s="1738"/>
      <c r="AP258" s="1738"/>
      <c r="AQ258" s="1738"/>
      <c r="AR258" s="1738"/>
      <c r="AS258" s="1738"/>
      <c r="AT258" s="1738"/>
      <c r="AU258" s="1738"/>
      <c r="AV258" s="1738"/>
      <c r="AW258" s="1738"/>
      <c r="AX258" s="1738"/>
      <c r="AY258" s="1738"/>
      <c r="AZ258" s="1738"/>
      <c r="BA258" s="1738"/>
      <c r="BB258" s="1738"/>
      <c r="BC258" s="1738"/>
      <c r="BD258" s="1738"/>
      <c r="BE258" s="1738"/>
      <c r="BF258" s="1738"/>
    </row>
    <row r="259" spans="1:58" ht="11.25" customHeight="1">
      <c r="A259" s="1084" t="s">
        <v>992</v>
      </c>
      <c r="B259" s="1084"/>
      <c r="C259" s="1084"/>
      <c r="D259" s="1078"/>
      <c r="E259" s="1088"/>
      <c r="F259" s="2605"/>
      <c r="G259" s="2606"/>
      <c r="H259" s="2601" t="s">
        <v>108</v>
      </c>
      <c r="I259" s="2613"/>
      <c r="J259" s="2624"/>
      <c r="K259" s="2615"/>
      <c r="L259" s="2338"/>
      <c r="M259" s="2339"/>
      <c r="N259" s="2618"/>
      <c r="O259" s="2619">
        <v>1</v>
      </c>
      <c r="P259" s="2620" t="s">
        <v>19</v>
      </c>
      <c r="Q259" s="2573" t="s">
        <v>22</v>
      </c>
      <c r="R259" s="2573" t="s">
        <v>22</v>
      </c>
      <c r="S259" s="2573" t="s">
        <v>22</v>
      </c>
      <c r="T259" s="2573" t="s">
        <v>22</v>
      </c>
      <c r="U259" s="2573" t="s">
        <v>22</v>
      </c>
      <c r="V259" s="2573" t="s">
        <v>22</v>
      </c>
      <c r="W259" s="2573" t="s">
        <v>22</v>
      </c>
      <c r="X259" s="2573" t="s">
        <v>22</v>
      </c>
      <c r="Y259" s="2573"/>
      <c r="Z259" s="1093"/>
      <c r="AA259" s="1094"/>
      <c r="AB259" s="1094"/>
      <c r="AC259" s="1098"/>
      <c r="AD259" s="1098"/>
      <c r="AE259" s="1099"/>
      <c r="AF259" s="2616"/>
      <c r="AG259" s="2617"/>
      <c r="AH259" s="2617"/>
      <c r="AI259" s="2616"/>
      <c r="AJ259" s="2617"/>
      <c r="AK259" s="2617"/>
      <c r="AL259" s="1900"/>
      <c r="AM259" s="1738"/>
      <c r="AN259" s="1738"/>
      <c r="AO259" s="1738"/>
      <c r="AP259" s="1738"/>
      <c r="AQ259" s="1738"/>
      <c r="AR259" s="1738"/>
      <c r="AS259" s="1738"/>
      <c r="AT259" s="1738"/>
      <c r="AU259" s="1738"/>
      <c r="AV259" s="1738"/>
      <c r="AW259" s="1738"/>
      <c r="AX259" s="1738"/>
      <c r="AY259" s="1738"/>
      <c r="AZ259" s="1738"/>
      <c r="BA259" s="1738"/>
      <c r="BB259" s="1738"/>
      <c r="BC259" s="1738"/>
      <c r="BD259" s="1738"/>
      <c r="BE259" s="1738"/>
      <c r="BF259" s="1738"/>
    </row>
    <row r="260" spans="1:58" ht="11.25" customHeight="1">
      <c r="A260" s="1084" t="s">
        <v>992</v>
      </c>
      <c r="B260" s="1084"/>
      <c r="C260" s="1084"/>
      <c r="D260" s="1078"/>
      <c r="E260" s="1088"/>
      <c r="F260" s="2605"/>
      <c r="G260" s="2606"/>
      <c r="H260" s="2601" t="s">
        <v>108</v>
      </c>
      <c r="I260" s="2613"/>
      <c r="J260" s="2624"/>
      <c r="K260" s="2615"/>
      <c r="L260" s="2338"/>
      <c r="M260" s="2339"/>
      <c r="N260" s="2618"/>
      <c r="O260" s="2619"/>
      <c r="P260" s="2621"/>
      <c r="Q260" s="2573"/>
      <c r="R260" s="2573"/>
      <c r="S260" s="2623"/>
      <c r="T260" s="2573"/>
      <c r="U260" s="2573"/>
      <c r="V260" s="2573"/>
      <c r="W260" s="2573"/>
      <c r="X260" s="2573"/>
      <c r="Y260" s="2573"/>
      <c r="Z260" s="1743"/>
      <c r="AA260" s="1711">
        <v>1</v>
      </c>
      <c r="AB260" s="1097" t="s">
        <v>1036</v>
      </c>
      <c r="AC260" s="1087">
        <v>601201.76967593003</v>
      </c>
      <c r="AD260" s="1097" t="str">
        <f>AB260</f>
        <v xml:space="preserve">      Прочие амортизационные отчисления</v>
      </c>
      <c r="AE260" s="1087"/>
      <c r="AF260" s="2616"/>
      <c r="AG260" s="2617"/>
      <c r="AH260" s="2617"/>
      <c r="AI260" s="2616"/>
      <c r="AJ260" s="2617"/>
      <c r="AK260" s="2617"/>
      <c r="AL260" s="1900"/>
      <c r="AM260" s="1738"/>
      <c r="AN260" s="1738"/>
      <c r="AO260" s="1738"/>
      <c r="AP260" s="1738"/>
      <c r="AQ260" s="1738"/>
      <c r="AR260" s="1738"/>
      <c r="AS260" s="1738"/>
      <c r="AT260" s="1738"/>
      <c r="AU260" s="1738"/>
      <c r="AV260" s="1738"/>
      <c r="AW260" s="1738"/>
      <c r="AX260" s="1738"/>
      <c r="AY260" s="1738"/>
      <c r="AZ260" s="1738"/>
      <c r="BA260" s="1738"/>
      <c r="BB260" s="1738"/>
      <c r="BC260" s="1738"/>
      <c r="BD260" s="1738"/>
      <c r="BE260" s="1738"/>
      <c r="BF260" s="1738"/>
    </row>
    <row r="261" spans="1:58" ht="11.25" customHeight="1">
      <c r="A261" s="1084" t="s">
        <v>992</v>
      </c>
      <c r="B261" s="1084"/>
      <c r="C261" s="1084"/>
      <c r="D261" s="1078"/>
      <c r="E261" s="1088"/>
      <c r="F261" s="2606"/>
      <c r="G261" s="2606"/>
      <c r="H261" s="2606"/>
      <c r="I261" s="2606"/>
      <c r="J261" s="2606"/>
      <c r="K261" s="2606"/>
      <c r="L261" s="2606"/>
      <c r="M261" s="2606"/>
      <c r="N261" s="2606"/>
      <c r="O261" s="2606"/>
      <c r="P261" s="2606"/>
      <c r="Q261" s="2606"/>
      <c r="R261" s="2606"/>
      <c r="S261" s="2606"/>
      <c r="T261" s="2606"/>
      <c r="U261" s="2606"/>
      <c r="V261" s="2606"/>
      <c r="W261" s="2606"/>
      <c r="X261" s="2606"/>
      <c r="Y261" s="2606"/>
      <c r="Z261" s="2054" t="s">
        <v>686</v>
      </c>
      <c r="AA261" s="1731" t="s">
        <v>109</v>
      </c>
      <c r="AB261" s="1097" t="s">
        <v>1064</v>
      </c>
      <c r="AC261" s="1087">
        <v>550695.48630999995</v>
      </c>
      <c r="AD261" s="1097" t="str">
        <f>AB261</f>
        <v xml:space="preserve">  Прибыль направляемая на инвестиции</v>
      </c>
      <c r="AE261" s="1087"/>
      <c r="AF261" s="2625"/>
      <c r="AG261" s="2626"/>
      <c r="AH261" s="2626"/>
      <c r="AI261" s="2625"/>
      <c r="AJ261" s="2626"/>
      <c r="AK261" s="2627"/>
      <c r="AL261" s="1900"/>
      <c r="AM261" s="1738"/>
      <c r="AN261" s="1738"/>
      <c r="AO261" s="1738"/>
      <c r="AP261" s="1738"/>
      <c r="AQ261" s="1738"/>
      <c r="AR261" s="1738"/>
      <c r="AS261" s="1738"/>
      <c r="AT261" s="1738"/>
      <c r="AU261" s="1738"/>
      <c r="AV261" s="1738"/>
      <c r="AW261" s="1738"/>
      <c r="AX261" s="1738"/>
      <c r="AY261" s="1738"/>
      <c r="AZ261" s="1738"/>
      <c r="BA261" s="1738"/>
      <c r="BB261" s="1738"/>
      <c r="BC261" s="1738"/>
      <c r="BD261" s="1738"/>
      <c r="BE261" s="1738"/>
      <c r="BF261" s="1738"/>
    </row>
    <row r="262" spans="1:58" ht="11.25" customHeight="1">
      <c r="A262" s="1084" t="s">
        <v>992</v>
      </c>
      <c r="B262" s="1084"/>
      <c r="C262" s="1084"/>
      <c r="D262" s="1078"/>
      <c r="E262" s="1088"/>
      <c r="F262" s="2606"/>
      <c r="G262" s="2606"/>
      <c r="H262" s="2606"/>
      <c r="I262" s="2606"/>
      <c r="J262" s="2606"/>
      <c r="K262" s="2606"/>
      <c r="L262" s="2606"/>
      <c r="M262" s="2606"/>
      <c r="N262" s="2606"/>
      <c r="O262" s="2606"/>
      <c r="P262" s="2606"/>
      <c r="Q262" s="2606"/>
      <c r="R262" s="2606"/>
      <c r="S262" s="2606"/>
      <c r="T262" s="2606"/>
      <c r="U262" s="2606"/>
      <c r="V262" s="2606"/>
      <c r="W262" s="2606"/>
      <c r="X262" s="2606"/>
      <c r="Y262" s="2606"/>
      <c r="Z262" s="2054" t="s">
        <v>686</v>
      </c>
      <c r="AA262" s="1731" t="s">
        <v>92</v>
      </c>
      <c r="AB262" s="1097" t="s">
        <v>1039</v>
      </c>
      <c r="AC262" s="1087">
        <v>520519.7782</v>
      </c>
      <c r="AD262" s="1097" t="str">
        <f>AB262</f>
        <v xml:space="preserve">  Прочие собственные средства</v>
      </c>
      <c r="AE262" s="1087"/>
      <c r="AF262" s="2625"/>
      <c r="AG262" s="2626"/>
      <c r="AH262" s="2626"/>
      <c r="AI262" s="2625"/>
      <c r="AJ262" s="2626"/>
      <c r="AK262" s="2627"/>
      <c r="AL262" s="1900"/>
      <c r="AM262" s="1738"/>
      <c r="AN262" s="1738"/>
      <c r="AO262" s="1738"/>
      <c r="AP262" s="1738"/>
      <c r="AQ262" s="1738"/>
      <c r="AR262" s="1738"/>
      <c r="AS262" s="1738"/>
      <c r="AT262" s="1738"/>
      <c r="AU262" s="1738"/>
      <c r="AV262" s="1738"/>
      <c r="AW262" s="1738"/>
      <c r="AX262" s="1738"/>
      <c r="AY262" s="1738"/>
      <c r="AZ262" s="1738"/>
      <c r="BA262" s="1738"/>
      <c r="BB262" s="1738"/>
      <c r="BC262" s="1738"/>
      <c r="BD262" s="1738"/>
      <c r="BE262" s="1738"/>
      <c r="BF262" s="1738"/>
    </row>
    <row r="263" spans="1:58" ht="11.25" customHeight="1">
      <c r="A263" s="1084" t="s">
        <v>992</v>
      </c>
      <c r="B263" s="1084"/>
      <c r="C263" s="1084"/>
      <c r="D263" s="1078"/>
      <c r="E263" s="1088"/>
      <c r="F263" s="2605"/>
      <c r="G263" s="2606"/>
      <c r="H263" s="2601" t="s">
        <v>108</v>
      </c>
      <c r="I263" s="2613"/>
      <c r="J263" s="2624"/>
      <c r="K263" s="2615"/>
      <c r="L263" s="2338"/>
      <c r="M263" s="2339"/>
      <c r="N263" s="2618"/>
      <c r="O263" s="2619"/>
      <c r="P263" s="2622"/>
      <c r="Q263" s="2573"/>
      <c r="R263" s="2573"/>
      <c r="S263" s="2623"/>
      <c r="T263" s="2573"/>
      <c r="U263" s="2573"/>
      <c r="V263" s="2573"/>
      <c r="W263" s="2573"/>
      <c r="X263" s="2573"/>
      <c r="Y263" s="2573"/>
      <c r="Z263" s="1093"/>
      <c r="AA263" s="1094"/>
      <c r="AB263" s="1159" t="s">
        <v>1029</v>
      </c>
      <c r="AC263" s="1098"/>
      <c r="AD263" s="1098"/>
      <c r="AE263" s="1100"/>
      <c r="AF263" s="2616"/>
      <c r="AG263" s="2617"/>
      <c r="AH263" s="2617"/>
      <c r="AI263" s="2616"/>
      <c r="AJ263" s="2617"/>
      <c r="AK263" s="2617"/>
      <c r="AL263" s="1900"/>
      <c r="AM263" s="1738"/>
      <c r="AN263" s="1738"/>
      <c r="AO263" s="1738"/>
      <c r="AP263" s="1738"/>
      <c r="AQ263" s="1738"/>
      <c r="AR263" s="1738"/>
      <c r="AS263" s="1738"/>
      <c r="AT263" s="1738"/>
      <c r="AU263" s="1738"/>
      <c r="AV263" s="1738"/>
      <c r="AW263" s="1738"/>
      <c r="AX263" s="1738"/>
      <c r="AY263" s="1738"/>
      <c r="AZ263" s="1738"/>
      <c r="BA263" s="1738"/>
      <c r="BB263" s="1738"/>
      <c r="BC263" s="1738"/>
      <c r="BD263" s="1738"/>
      <c r="BE263" s="1738"/>
      <c r="BF263" s="1738"/>
    </row>
    <row r="264" spans="1:58" ht="11.25" customHeight="1">
      <c r="A264" s="1084" t="s">
        <v>992</v>
      </c>
      <c r="B264" s="1084"/>
      <c r="C264" s="1084"/>
      <c r="D264" s="1078"/>
      <c r="E264" s="1088"/>
      <c r="F264" s="2605"/>
      <c r="G264" s="2606"/>
      <c r="H264" s="2601" t="s">
        <v>108</v>
      </c>
      <c r="I264" s="2613"/>
      <c r="J264" s="2624"/>
      <c r="K264" s="2615"/>
      <c r="L264" s="2338"/>
      <c r="M264" s="2339"/>
      <c r="N264" s="1093"/>
      <c r="O264" s="1094"/>
      <c r="P264" s="1086" t="s">
        <v>1030</v>
      </c>
      <c r="Q264" s="1094"/>
      <c r="R264" s="1094"/>
      <c r="S264" s="1094"/>
      <c r="T264" s="1094"/>
      <c r="U264" s="1094"/>
      <c r="V264" s="1094"/>
      <c r="W264" s="1094"/>
      <c r="X264" s="1094"/>
      <c r="Y264" s="1094"/>
      <c r="Z264" s="1094"/>
      <c r="AA264" s="1094"/>
      <c r="AB264" s="1094"/>
      <c r="AC264" s="1094"/>
      <c r="AD264" s="1094"/>
      <c r="AE264" s="1101"/>
      <c r="AF264" s="2616"/>
      <c r="AG264" s="2617"/>
      <c r="AH264" s="2617"/>
      <c r="AI264" s="2616"/>
      <c r="AJ264" s="2617"/>
      <c r="AK264" s="2617"/>
      <c r="AL264" s="1900"/>
      <c r="AM264" s="1738"/>
      <c r="AN264" s="1738"/>
      <c r="AO264" s="1738"/>
      <c r="AP264" s="1738"/>
      <c r="AQ264" s="1738"/>
      <c r="AR264" s="1738"/>
      <c r="AS264" s="1738"/>
      <c r="AT264" s="1738"/>
      <c r="AU264" s="1738"/>
      <c r="AV264" s="1738"/>
      <c r="AW264" s="1738"/>
      <c r="AX264" s="1738"/>
      <c r="AY264" s="1738"/>
      <c r="AZ264" s="1738"/>
      <c r="BA264" s="1738"/>
      <c r="BB264" s="1738"/>
      <c r="BC264" s="1738"/>
      <c r="BD264" s="1738"/>
      <c r="BE264" s="1738"/>
      <c r="BF264" s="1738"/>
    </row>
    <row r="265" spans="1:58" ht="11.25" customHeight="1">
      <c r="A265" s="1084" t="s">
        <v>992</v>
      </c>
      <c r="B265" s="1084" t="s">
        <v>1031</v>
      </c>
      <c r="C265" s="1084"/>
      <c r="D265" s="1078"/>
      <c r="E265" s="1088"/>
      <c r="F265" s="2605"/>
      <c r="G265" s="2590" t="s">
        <v>686</v>
      </c>
      <c r="H265" s="2601" t="s">
        <v>92</v>
      </c>
      <c r="I265" s="2613" t="s">
        <v>1032</v>
      </c>
      <c r="J265" s="2624" t="s">
        <v>1033</v>
      </c>
      <c r="K265" s="2615" t="s">
        <v>1037</v>
      </c>
      <c r="L265" s="2338" t="s">
        <v>19</v>
      </c>
      <c r="M265" s="2339"/>
      <c r="N265" s="1898"/>
      <c r="O265" s="1095" t="s">
        <v>373</v>
      </c>
      <c r="P265" s="1096"/>
      <c r="Q265" s="1096"/>
      <c r="R265" s="1096"/>
      <c r="S265" s="1096"/>
      <c r="T265" s="1096"/>
      <c r="U265" s="1096"/>
      <c r="V265" s="1096"/>
      <c r="W265" s="1096"/>
      <c r="X265" s="1096"/>
      <c r="Y265" s="1096"/>
      <c r="Z265" s="1096"/>
      <c r="AA265" s="1096"/>
      <c r="AB265" s="1096"/>
      <c r="AC265" s="1096"/>
      <c r="AD265" s="1096"/>
      <c r="AE265" s="1096"/>
      <c r="AF265" s="2616">
        <v>14</v>
      </c>
      <c r="AG265" s="2617" t="s">
        <v>1026</v>
      </c>
      <c r="AH265" s="2617" t="s">
        <v>1035</v>
      </c>
      <c r="AI265" s="2616"/>
      <c r="AJ265" s="2617"/>
      <c r="AK265" s="2617"/>
      <c r="AL265" s="1900"/>
      <c r="AM265" s="1738"/>
      <c r="AN265" s="1738"/>
      <c r="AO265" s="1738"/>
      <c r="AP265" s="1738"/>
      <c r="AQ265" s="1738"/>
      <c r="AR265" s="1738"/>
      <c r="AS265" s="1738"/>
      <c r="AT265" s="1738"/>
      <c r="AU265" s="1738"/>
      <c r="AV265" s="1738"/>
      <c r="AW265" s="1738"/>
      <c r="AX265" s="1738"/>
      <c r="AY265" s="1738"/>
      <c r="AZ265" s="1738"/>
      <c r="BA265" s="1738"/>
      <c r="BB265" s="1738"/>
      <c r="BC265" s="1738"/>
      <c r="BD265" s="1738"/>
      <c r="BE265" s="1738"/>
      <c r="BF265" s="1738"/>
    </row>
    <row r="266" spans="1:58" ht="11.25" customHeight="1">
      <c r="A266" s="1084" t="s">
        <v>992</v>
      </c>
      <c r="B266" s="1084"/>
      <c r="C266" s="1084"/>
      <c r="D266" s="1078"/>
      <c r="E266" s="1088"/>
      <c r="F266" s="2605"/>
      <c r="G266" s="2606"/>
      <c r="H266" s="2601" t="s">
        <v>109</v>
      </c>
      <c r="I266" s="2613"/>
      <c r="J266" s="2624"/>
      <c r="K266" s="2615"/>
      <c r="L266" s="2338"/>
      <c r="M266" s="2339"/>
      <c r="N266" s="2618"/>
      <c r="O266" s="2619">
        <v>1</v>
      </c>
      <c r="P266" s="2620" t="s">
        <v>19</v>
      </c>
      <c r="Q266" s="2573" t="s">
        <v>22</v>
      </c>
      <c r="R266" s="2573" t="s">
        <v>22</v>
      </c>
      <c r="S266" s="2573" t="s">
        <v>22</v>
      </c>
      <c r="T266" s="2573" t="s">
        <v>22</v>
      </c>
      <c r="U266" s="2573" t="s">
        <v>22</v>
      </c>
      <c r="V266" s="2573" t="s">
        <v>22</v>
      </c>
      <c r="W266" s="2573" t="s">
        <v>22</v>
      </c>
      <c r="X266" s="2573" t="s">
        <v>22</v>
      </c>
      <c r="Y266" s="2573"/>
      <c r="Z266" s="1093"/>
      <c r="AA266" s="1094"/>
      <c r="AB266" s="1094"/>
      <c r="AC266" s="1098"/>
      <c r="AD266" s="1098"/>
      <c r="AE266" s="1099"/>
      <c r="AF266" s="2616"/>
      <c r="AG266" s="2617"/>
      <c r="AH266" s="2617"/>
      <c r="AI266" s="2616"/>
      <c r="AJ266" s="2617"/>
      <c r="AK266" s="2617"/>
      <c r="AL266" s="1900"/>
      <c r="AM266" s="1738"/>
      <c r="AN266" s="1738"/>
      <c r="AO266" s="1738"/>
      <c r="AP266" s="1738"/>
      <c r="AQ266" s="1738"/>
      <c r="AR266" s="1738"/>
      <c r="AS266" s="1738"/>
      <c r="AT266" s="1738"/>
      <c r="AU266" s="1738"/>
      <c r="AV266" s="1738"/>
      <c r="AW266" s="1738"/>
      <c r="AX266" s="1738"/>
      <c r="AY266" s="1738"/>
      <c r="AZ266" s="1738"/>
      <c r="BA266" s="1738"/>
      <c r="BB266" s="1738"/>
      <c r="BC266" s="1738"/>
      <c r="BD266" s="1738"/>
      <c r="BE266" s="1738"/>
      <c r="BF266" s="1738"/>
    </row>
    <row r="267" spans="1:58" ht="11.25" customHeight="1">
      <c r="A267" s="1084" t="s">
        <v>992</v>
      </c>
      <c r="B267" s="1084"/>
      <c r="C267" s="1084"/>
      <c r="D267" s="1078"/>
      <c r="E267" s="1088"/>
      <c r="F267" s="2605"/>
      <c r="G267" s="2606"/>
      <c r="H267" s="2601" t="s">
        <v>109</v>
      </c>
      <c r="I267" s="2613"/>
      <c r="J267" s="2624"/>
      <c r="K267" s="2615"/>
      <c r="L267" s="2338"/>
      <c r="M267" s="2339"/>
      <c r="N267" s="2618"/>
      <c r="O267" s="2619"/>
      <c r="P267" s="2621"/>
      <c r="Q267" s="2573"/>
      <c r="R267" s="2573"/>
      <c r="S267" s="2623"/>
      <c r="T267" s="2573"/>
      <c r="U267" s="2573"/>
      <c r="V267" s="2573"/>
      <c r="W267" s="2573"/>
      <c r="X267" s="2573"/>
      <c r="Y267" s="2573"/>
      <c r="Z267" s="1743"/>
      <c r="AA267" s="1711">
        <v>1</v>
      </c>
      <c r="AB267" s="1097" t="s">
        <v>1036</v>
      </c>
      <c r="AC267" s="1087">
        <v>5000</v>
      </c>
      <c r="AD267" s="1097" t="str">
        <f>AB267</f>
        <v xml:space="preserve">      Прочие амортизационные отчисления</v>
      </c>
      <c r="AE267" s="1087"/>
      <c r="AF267" s="2616"/>
      <c r="AG267" s="2617"/>
      <c r="AH267" s="2617"/>
      <c r="AI267" s="2616"/>
      <c r="AJ267" s="2617"/>
      <c r="AK267" s="2617"/>
      <c r="AL267" s="1900"/>
      <c r="AM267" s="1738"/>
      <c r="AN267" s="1738"/>
      <c r="AO267" s="1738"/>
      <c r="AP267" s="1738"/>
      <c r="AQ267" s="1738"/>
      <c r="AR267" s="1738"/>
      <c r="AS267" s="1738"/>
      <c r="AT267" s="1738"/>
      <c r="AU267" s="1738"/>
      <c r="AV267" s="1738"/>
      <c r="AW267" s="1738"/>
      <c r="AX267" s="1738"/>
      <c r="AY267" s="1738"/>
      <c r="AZ267" s="1738"/>
      <c r="BA267" s="1738"/>
      <c r="BB267" s="1738"/>
      <c r="BC267" s="1738"/>
      <c r="BD267" s="1738"/>
      <c r="BE267" s="1738"/>
      <c r="BF267" s="1738"/>
    </row>
    <row r="268" spans="1:58" ht="11.25" customHeight="1">
      <c r="A268" s="1084" t="s">
        <v>992</v>
      </c>
      <c r="B268" s="1084"/>
      <c r="C268" s="1084"/>
      <c r="D268" s="1078"/>
      <c r="E268" s="1088"/>
      <c r="F268" s="2605"/>
      <c r="G268" s="2606"/>
      <c r="H268" s="2601" t="s">
        <v>109</v>
      </c>
      <c r="I268" s="2613"/>
      <c r="J268" s="2624"/>
      <c r="K268" s="2615"/>
      <c r="L268" s="2338"/>
      <c r="M268" s="2339"/>
      <c r="N268" s="2618"/>
      <c r="O268" s="2619"/>
      <c r="P268" s="2622"/>
      <c r="Q268" s="2573"/>
      <c r="R268" s="2573"/>
      <c r="S268" s="2623"/>
      <c r="T268" s="2573"/>
      <c r="U268" s="2573"/>
      <c r="V268" s="2573"/>
      <c r="W268" s="2573"/>
      <c r="X268" s="2573"/>
      <c r="Y268" s="2573"/>
      <c r="Z268" s="1093"/>
      <c r="AA268" s="1094"/>
      <c r="AB268" s="1159" t="s">
        <v>1029</v>
      </c>
      <c r="AC268" s="1098"/>
      <c r="AD268" s="1098"/>
      <c r="AE268" s="1100"/>
      <c r="AF268" s="2616"/>
      <c r="AG268" s="2617"/>
      <c r="AH268" s="2617"/>
      <c r="AI268" s="2616"/>
      <c r="AJ268" s="2617"/>
      <c r="AK268" s="2617"/>
      <c r="AL268" s="1900"/>
      <c r="AM268" s="1738"/>
      <c r="AN268" s="1738"/>
      <c r="AO268" s="1738"/>
      <c r="AP268" s="1738"/>
      <c r="AQ268" s="1738"/>
      <c r="AR268" s="1738"/>
      <c r="AS268" s="1738"/>
      <c r="AT268" s="1738"/>
      <c r="AU268" s="1738"/>
      <c r="AV268" s="1738"/>
      <c r="AW268" s="1738"/>
      <c r="AX268" s="1738"/>
      <c r="AY268" s="1738"/>
      <c r="AZ268" s="1738"/>
      <c r="BA268" s="1738"/>
      <c r="BB268" s="1738"/>
      <c r="BC268" s="1738"/>
      <c r="BD268" s="1738"/>
      <c r="BE268" s="1738"/>
      <c r="BF268" s="1738"/>
    </row>
    <row r="269" spans="1:58" ht="11.25" customHeight="1">
      <c r="A269" s="1084" t="s">
        <v>992</v>
      </c>
      <c r="B269" s="1084"/>
      <c r="C269" s="1084"/>
      <c r="D269" s="1078"/>
      <c r="E269" s="1088"/>
      <c r="F269" s="2605"/>
      <c r="G269" s="2606"/>
      <c r="H269" s="2601" t="s">
        <v>109</v>
      </c>
      <c r="I269" s="2613"/>
      <c r="J269" s="2624"/>
      <c r="K269" s="2615"/>
      <c r="L269" s="2338"/>
      <c r="M269" s="2339"/>
      <c r="N269" s="1093"/>
      <c r="O269" s="1094"/>
      <c r="P269" s="1086" t="s">
        <v>1030</v>
      </c>
      <c r="Q269" s="1094"/>
      <c r="R269" s="1094"/>
      <c r="S269" s="1094"/>
      <c r="T269" s="1094"/>
      <c r="U269" s="1094"/>
      <c r="V269" s="1094"/>
      <c r="W269" s="1094"/>
      <c r="X269" s="1094"/>
      <c r="Y269" s="1094"/>
      <c r="Z269" s="1094"/>
      <c r="AA269" s="1094"/>
      <c r="AB269" s="1094"/>
      <c r="AC269" s="1094"/>
      <c r="AD269" s="1094"/>
      <c r="AE269" s="1101"/>
      <c r="AF269" s="2616"/>
      <c r="AG269" s="2617"/>
      <c r="AH269" s="2617"/>
      <c r="AI269" s="2616"/>
      <c r="AJ269" s="2617"/>
      <c r="AK269" s="2617"/>
      <c r="AL269" s="1900"/>
      <c r="AM269" s="1738"/>
      <c r="AN269" s="1738"/>
      <c r="AO269" s="1738"/>
      <c r="AP269" s="1738"/>
      <c r="AQ269" s="1738"/>
      <c r="AR269" s="1738"/>
      <c r="AS269" s="1738"/>
      <c r="AT269" s="1738"/>
      <c r="AU269" s="1738"/>
      <c r="AV269" s="1738"/>
      <c r="AW269" s="1738"/>
      <c r="AX269" s="1738"/>
      <c r="AY269" s="1738"/>
      <c r="AZ269" s="1738"/>
      <c r="BA269" s="1738"/>
      <c r="BB269" s="1738"/>
      <c r="BC269" s="1738"/>
      <c r="BD269" s="1738"/>
      <c r="BE269" s="1738"/>
      <c r="BF269" s="1738"/>
    </row>
    <row r="270" spans="1:58" ht="32.25" customHeight="1">
      <c r="A270" s="1084" t="s">
        <v>992</v>
      </c>
      <c r="B270" s="1084" t="s">
        <v>1031</v>
      </c>
      <c r="C270" s="1084"/>
      <c r="D270" s="1078"/>
      <c r="E270" s="1088"/>
      <c r="F270" s="2605"/>
      <c r="G270" s="2590" t="s">
        <v>686</v>
      </c>
      <c r="H270" s="2601" t="s">
        <v>93</v>
      </c>
      <c r="I270" s="2613" t="s">
        <v>1032</v>
      </c>
      <c r="J270" s="2624" t="s">
        <v>1033</v>
      </c>
      <c r="K270" s="2615" t="s">
        <v>1040</v>
      </c>
      <c r="L270" s="2338" t="s">
        <v>19</v>
      </c>
      <c r="M270" s="2339"/>
      <c r="N270" s="1898"/>
      <c r="O270" s="1095" t="s">
        <v>373</v>
      </c>
      <c r="P270" s="1096"/>
      <c r="Q270" s="1096"/>
      <c r="R270" s="1096"/>
      <c r="S270" s="1096"/>
      <c r="T270" s="1096"/>
      <c r="U270" s="1096"/>
      <c r="V270" s="1096"/>
      <c r="W270" s="1096"/>
      <c r="X270" s="1096"/>
      <c r="Y270" s="1096"/>
      <c r="Z270" s="1096"/>
      <c r="AA270" s="1096"/>
      <c r="AB270" s="1096"/>
      <c r="AC270" s="1096"/>
      <c r="AD270" s="1096"/>
      <c r="AE270" s="1096"/>
      <c r="AF270" s="2616">
        <v>5</v>
      </c>
      <c r="AG270" s="2617" t="s">
        <v>1026</v>
      </c>
      <c r="AH270" s="2617" t="s">
        <v>1027</v>
      </c>
      <c r="AI270" s="2616"/>
      <c r="AJ270" s="2617"/>
      <c r="AK270" s="2617"/>
      <c r="AL270" s="1900"/>
      <c r="AM270" s="1738"/>
      <c r="AN270" s="1738"/>
      <c r="AO270" s="1738"/>
      <c r="AP270" s="1738"/>
      <c r="AQ270" s="1738"/>
      <c r="AR270" s="1738"/>
      <c r="AS270" s="1738"/>
      <c r="AT270" s="1738"/>
      <c r="AU270" s="1738"/>
      <c r="AV270" s="1738"/>
      <c r="AW270" s="1738"/>
      <c r="AX270" s="1738"/>
      <c r="AY270" s="1738"/>
      <c r="AZ270" s="1738"/>
      <c r="BA270" s="1738"/>
      <c r="BB270" s="1738"/>
      <c r="BC270" s="1738"/>
      <c r="BD270" s="1738"/>
      <c r="BE270" s="1738"/>
      <c r="BF270" s="1738"/>
    </row>
    <row r="271" spans="1:58" ht="29.25" customHeight="1">
      <c r="A271" s="1084" t="s">
        <v>992</v>
      </c>
      <c r="B271" s="1084"/>
      <c r="C271" s="1084"/>
      <c r="D271" s="1078"/>
      <c r="E271" s="1088"/>
      <c r="F271" s="2605"/>
      <c r="G271" s="2606"/>
      <c r="H271" s="2601" t="s">
        <v>92</v>
      </c>
      <c r="I271" s="2613"/>
      <c r="J271" s="2624"/>
      <c r="K271" s="2615"/>
      <c r="L271" s="2338"/>
      <c r="M271" s="2339"/>
      <c r="N271" s="2618"/>
      <c r="O271" s="2619">
        <v>1</v>
      </c>
      <c r="P271" s="2620" t="s">
        <v>19</v>
      </c>
      <c r="Q271" s="2573" t="s">
        <v>22</v>
      </c>
      <c r="R271" s="2573" t="s">
        <v>22</v>
      </c>
      <c r="S271" s="2573" t="s">
        <v>22</v>
      </c>
      <c r="T271" s="2573" t="s">
        <v>22</v>
      </c>
      <c r="U271" s="2573" t="s">
        <v>22</v>
      </c>
      <c r="V271" s="2573" t="s">
        <v>22</v>
      </c>
      <c r="W271" s="2573" t="s">
        <v>22</v>
      </c>
      <c r="X271" s="2573" t="s">
        <v>22</v>
      </c>
      <c r="Y271" s="2573"/>
      <c r="Z271" s="1093"/>
      <c r="AA271" s="1094"/>
      <c r="AB271" s="1094"/>
      <c r="AC271" s="1098"/>
      <c r="AD271" s="1098"/>
      <c r="AE271" s="1099"/>
      <c r="AF271" s="2616"/>
      <c r="AG271" s="2617"/>
      <c r="AH271" s="2617"/>
      <c r="AI271" s="2616"/>
      <c r="AJ271" s="2617"/>
      <c r="AK271" s="2617"/>
      <c r="AL271" s="1900"/>
      <c r="AM271" s="1738"/>
      <c r="AN271" s="1738"/>
      <c r="AO271" s="1738"/>
      <c r="AP271" s="1738"/>
      <c r="AQ271" s="1738"/>
      <c r="AR271" s="1738"/>
      <c r="AS271" s="1738"/>
      <c r="AT271" s="1738"/>
      <c r="AU271" s="1738"/>
      <c r="AV271" s="1738"/>
      <c r="AW271" s="1738"/>
      <c r="AX271" s="1738"/>
      <c r="AY271" s="1738"/>
      <c r="AZ271" s="1738"/>
      <c r="BA271" s="1738"/>
      <c r="BB271" s="1738"/>
      <c r="BC271" s="1738"/>
      <c r="BD271" s="1738"/>
      <c r="BE271" s="1738"/>
      <c r="BF271" s="1738"/>
    </row>
    <row r="272" spans="1:58" ht="11.25" customHeight="1">
      <c r="A272" s="1084" t="s">
        <v>992</v>
      </c>
      <c r="B272" s="1084"/>
      <c r="C272" s="1084"/>
      <c r="D272" s="1078"/>
      <c r="E272" s="1088"/>
      <c r="F272" s="2605"/>
      <c r="G272" s="2606"/>
      <c r="H272" s="2601" t="s">
        <v>92</v>
      </c>
      <c r="I272" s="2613"/>
      <c r="J272" s="2624"/>
      <c r="K272" s="2615"/>
      <c r="L272" s="2338"/>
      <c r="M272" s="2339"/>
      <c r="N272" s="2618"/>
      <c r="O272" s="2619"/>
      <c r="P272" s="2621"/>
      <c r="Q272" s="2573"/>
      <c r="R272" s="2573"/>
      <c r="S272" s="2623"/>
      <c r="T272" s="2573"/>
      <c r="U272" s="2573"/>
      <c r="V272" s="2573"/>
      <c r="W272" s="2573"/>
      <c r="X272" s="2573"/>
      <c r="Y272" s="2573"/>
      <c r="Z272" s="1743"/>
      <c r="AA272" s="1711">
        <v>1</v>
      </c>
      <c r="AB272" s="1097" t="s">
        <v>1036</v>
      </c>
      <c r="AC272" s="1087">
        <v>122577.46658004</v>
      </c>
      <c r="AD272" s="1097" t="str">
        <f>AB272</f>
        <v xml:space="preserve">      Прочие амортизационные отчисления</v>
      </c>
      <c r="AE272" s="1087"/>
      <c r="AF272" s="2616"/>
      <c r="AG272" s="2617"/>
      <c r="AH272" s="2617"/>
      <c r="AI272" s="2616"/>
      <c r="AJ272" s="2617"/>
      <c r="AK272" s="2617"/>
      <c r="AL272" s="1900"/>
      <c r="AM272" s="1738"/>
      <c r="AN272" s="1738"/>
      <c r="AO272" s="1738"/>
      <c r="AP272" s="1738"/>
      <c r="AQ272" s="1738"/>
      <c r="AR272" s="1738"/>
      <c r="AS272" s="1738"/>
      <c r="AT272" s="1738"/>
      <c r="AU272" s="1738"/>
      <c r="AV272" s="1738"/>
      <c r="AW272" s="1738"/>
      <c r="AX272" s="1738"/>
      <c r="AY272" s="1738"/>
      <c r="AZ272" s="1738"/>
      <c r="BA272" s="1738"/>
      <c r="BB272" s="1738"/>
      <c r="BC272" s="1738"/>
      <c r="BD272" s="1738"/>
      <c r="BE272" s="1738"/>
      <c r="BF272" s="1738"/>
    </row>
    <row r="273" spans="1:58" ht="11.25" customHeight="1">
      <c r="A273" s="1084" t="s">
        <v>992</v>
      </c>
      <c r="B273" s="1084"/>
      <c r="C273" s="1084"/>
      <c r="D273" s="1078"/>
      <c r="E273" s="1088"/>
      <c r="F273" s="2606"/>
      <c r="G273" s="2606"/>
      <c r="H273" s="2606"/>
      <c r="I273" s="2606"/>
      <c r="J273" s="2606"/>
      <c r="K273" s="2606"/>
      <c r="L273" s="2606"/>
      <c r="M273" s="2606"/>
      <c r="N273" s="2606"/>
      <c r="O273" s="2606"/>
      <c r="P273" s="2606"/>
      <c r="Q273" s="2606"/>
      <c r="R273" s="2606"/>
      <c r="S273" s="2606"/>
      <c r="T273" s="2606"/>
      <c r="U273" s="2606"/>
      <c r="V273" s="2606"/>
      <c r="W273" s="2606"/>
      <c r="X273" s="2606"/>
      <c r="Y273" s="2606"/>
      <c r="Z273" s="2054" t="s">
        <v>686</v>
      </c>
      <c r="AA273" s="1731" t="s">
        <v>109</v>
      </c>
      <c r="AB273" s="1097" t="s">
        <v>1028</v>
      </c>
      <c r="AC273" s="1087">
        <v>109292.53341996</v>
      </c>
      <c r="AD273" s="1097" t="str">
        <f>AB273</f>
        <v xml:space="preserve">  Прочие</v>
      </c>
      <c r="AE273" s="1087"/>
      <c r="AF273" s="2625"/>
      <c r="AG273" s="2626"/>
      <c r="AH273" s="2626"/>
      <c r="AI273" s="2625"/>
      <c r="AJ273" s="2626"/>
      <c r="AK273" s="2627"/>
      <c r="AL273" s="1900"/>
      <c r="AM273" s="1738"/>
      <c r="AN273" s="1738"/>
      <c r="AO273" s="1738"/>
      <c r="AP273" s="1738"/>
      <c r="AQ273" s="1738"/>
      <c r="AR273" s="1738"/>
      <c r="AS273" s="1738"/>
      <c r="AT273" s="1738"/>
      <c r="AU273" s="1738"/>
      <c r="AV273" s="1738"/>
      <c r="AW273" s="1738"/>
      <c r="AX273" s="1738"/>
      <c r="AY273" s="1738"/>
      <c r="AZ273" s="1738"/>
      <c r="BA273" s="1738"/>
      <c r="BB273" s="1738"/>
      <c r="BC273" s="1738"/>
      <c r="BD273" s="1738"/>
      <c r="BE273" s="1738"/>
      <c r="BF273" s="1738"/>
    </row>
    <row r="274" spans="1:58" ht="11.25" customHeight="1">
      <c r="A274" s="1084" t="s">
        <v>992</v>
      </c>
      <c r="B274" s="1084"/>
      <c r="C274" s="1084"/>
      <c r="D274" s="1078"/>
      <c r="E274" s="1088"/>
      <c r="F274" s="2605"/>
      <c r="G274" s="2606"/>
      <c r="H274" s="2601" t="s">
        <v>92</v>
      </c>
      <c r="I274" s="2613"/>
      <c r="J274" s="2624"/>
      <c r="K274" s="2615"/>
      <c r="L274" s="2338"/>
      <c r="M274" s="2339"/>
      <c r="N274" s="2618"/>
      <c r="O274" s="2619"/>
      <c r="P274" s="2622"/>
      <c r="Q274" s="2573"/>
      <c r="R274" s="2573"/>
      <c r="S274" s="2623"/>
      <c r="T274" s="2573"/>
      <c r="U274" s="2573"/>
      <c r="V274" s="2573"/>
      <c r="W274" s="2573"/>
      <c r="X274" s="2573"/>
      <c r="Y274" s="2573"/>
      <c r="Z274" s="1093"/>
      <c r="AA274" s="1094"/>
      <c r="AB274" s="1159" t="s">
        <v>1029</v>
      </c>
      <c r="AC274" s="1098"/>
      <c r="AD274" s="1098"/>
      <c r="AE274" s="1100"/>
      <c r="AF274" s="2616"/>
      <c r="AG274" s="2617"/>
      <c r="AH274" s="2617"/>
      <c r="AI274" s="2616"/>
      <c r="AJ274" s="2617"/>
      <c r="AK274" s="2617"/>
      <c r="AL274" s="1900"/>
      <c r="AM274" s="1738"/>
      <c r="AN274" s="1738"/>
      <c r="AO274" s="1738"/>
      <c r="AP274" s="1738"/>
      <c r="AQ274" s="1738"/>
      <c r="AR274" s="1738"/>
      <c r="AS274" s="1738"/>
      <c r="AT274" s="1738"/>
      <c r="AU274" s="1738"/>
      <c r="AV274" s="1738"/>
      <c r="AW274" s="1738"/>
      <c r="AX274" s="1738"/>
      <c r="AY274" s="1738"/>
      <c r="AZ274" s="1738"/>
      <c r="BA274" s="1738"/>
      <c r="BB274" s="1738"/>
      <c r="BC274" s="1738"/>
      <c r="BD274" s="1738"/>
      <c r="BE274" s="1738"/>
      <c r="BF274" s="1738"/>
    </row>
    <row r="275" spans="1:58" ht="11.25" customHeight="1">
      <c r="A275" s="1084" t="s">
        <v>992</v>
      </c>
      <c r="B275" s="1084"/>
      <c r="C275" s="1084"/>
      <c r="D275" s="1078"/>
      <c r="E275" s="1088"/>
      <c r="F275" s="2605"/>
      <c r="G275" s="2606"/>
      <c r="H275" s="2601" t="s">
        <v>92</v>
      </c>
      <c r="I275" s="2613"/>
      <c r="J275" s="2624"/>
      <c r="K275" s="2615"/>
      <c r="L275" s="2338"/>
      <c r="M275" s="2339"/>
      <c r="N275" s="1093"/>
      <c r="O275" s="1094"/>
      <c r="P275" s="1086" t="s">
        <v>1030</v>
      </c>
      <c r="Q275" s="1094"/>
      <c r="R275" s="1094"/>
      <c r="S275" s="1094"/>
      <c r="T275" s="1094"/>
      <c r="U275" s="1094"/>
      <c r="V275" s="1094"/>
      <c r="W275" s="1094"/>
      <c r="X275" s="1094"/>
      <c r="Y275" s="1094"/>
      <c r="Z275" s="1094"/>
      <c r="AA275" s="1094"/>
      <c r="AB275" s="1094"/>
      <c r="AC275" s="1094"/>
      <c r="AD275" s="1094"/>
      <c r="AE275" s="1101"/>
      <c r="AF275" s="2616"/>
      <c r="AG275" s="2617"/>
      <c r="AH275" s="2617"/>
      <c r="AI275" s="2616"/>
      <c r="AJ275" s="2617"/>
      <c r="AK275" s="2617"/>
      <c r="AL275" s="1900"/>
      <c r="AM275" s="1738"/>
      <c r="AN275" s="1738"/>
      <c r="AO275" s="1738"/>
      <c r="AP275" s="1738"/>
      <c r="AQ275" s="1738"/>
      <c r="AR275" s="1738"/>
      <c r="AS275" s="1738"/>
      <c r="AT275" s="1738"/>
      <c r="AU275" s="1738"/>
      <c r="AV275" s="1738"/>
      <c r="AW275" s="1738"/>
      <c r="AX275" s="1738"/>
      <c r="AY275" s="1738"/>
      <c r="AZ275" s="1738"/>
      <c r="BA275" s="1738"/>
      <c r="BB275" s="1738"/>
      <c r="BC275" s="1738"/>
      <c r="BD275" s="1738"/>
      <c r="BE275" s="1738"/>
      <c r="BF275" s="1738"/>
    </row>
    <row r="276" spans="1:58" ht="20.25" customHeight="1">
      <c r="A276" s="1084" t="s">
        <v>992</v>
      </c>
      <c r="B276" s="1084" t="s">
        <v>1031</v>
      </c>
      <c r="C276" s="1084"/>
      <c r="D276" s="1078"/>
      <c r="E276" s="1088"/>
      <c r="F276" s="2605"/>
      <c r="G276" s="2590" t="s">
        <v>686</v>
      </c>
      <c r="H276" s="2601" t="s">
        <v>110</v>
      </c>
      <c r="I276" s="2613" t="s">
        <v>1032</v>
      </c>
      <c r="J276" s="2624" t="s">
        <v>1033</v>
      </c>
      <c r="K276" s="2615" t="s">
        <v>1042</v>
      </c>
      <c r="L276" s="2338" t="s">
        <v>19</v>
      </c>
      <c r="M276" s="2339"/>
      <c r="N276" s="1898"/>
      <c r="O276" s="1095" t="s">
        <v>373</v>
      </c>
      <c r="P276" s="1096"/>
      <c r="Q276" s="1096"/>
      <c r="R276" s="1096"/>
      <c r="S276" s="1096"/>
      <c r="T276" s="1096"/>
      <c r="U276" s="1096"/>
      <c r="V276" s="1096"/>
      <c r="W276" s="1096"/>
      <c r="X276" s="1096"/>
      <c r="Y276" s="1096"/>
      <c r="Z276" s="1096"/>
      <c r="AA276" s="1096"/>
      <c r="AB276" s="1096"/>
      <c r="AC276" s="1096"/>
      <c r="AD276" s="1096"/>
      <c r="AE276" s="1096"/>
      <c r="AF276" s="2616">
        <v>6</v>
      </c>
      <c r="AG276" s="2617" t="s">
        <v>1026</v>
      </c>
      <c r="AH276" s="2617" t="s">
        <v>1035</v>
      </c>
      <c r="AI276" s="2616"/>
      <c r="AJ276" s="2617"/>
      <c r="AK276" s="2617"/>
      <c r="AL276" s="1900"/>
      <c r="AM276" s="1738"/>
      <c r="AN276" s="1738"/>
      <c r="AO276" s="1738"/>
      <c r="AP276" s="1738"/>
      <c r="AQ276" s="1738"/>
      <c r="AR276" s="1738"/>
      <c r="AS276" s="1738"/>
      <c r="AT276" s="1738"/>
      <c r="AU276" s="1738"/>
      <c r="AV276" s="1738"/>
      <c r="AW276" s="1738"/>
      <c r="AX276" s="1738"/>
      <c r="AY276" s="1738"/>
      <c r="AZ276" s="1738"/>
      <c r="BA276" s="1738"/>
      <c r="BB276" s="1738"/>
      <c r="BC276" s="1738"/>
      <c r="BD276" s="1738"/>
      <c r="BE276" s="1738"/>
      <c r="BF276" s="1738"/>
    </row>
    <row r="277" spans="1:58" ht="23.25" customHeight="1">
      <c r="A277" s="1084" t="s">
        <v>992</v>
      </c>
      <c r="B277" s="1084"/>
      <c r="C277" s="1084"/>
      <c r="D277" s="1078"/>
      <c r="E277" s="1088"/>
      <c r="F277" s="2605"/>
      <c r="G277" s="2606"/>
      <c r="H277" s="2601" t="s">
        <v>93</v>
      </c>
      <c r="I277" s="2613"/>
      <c r="J277" s="2624"/>
      <c r="K277" s="2615"/>
      <c r="L277" s="2338"/>
      <c r="M277" s="2339"/>
      <c r="N277" s="2618"/>
      <c r="O277" s="2619">
        <v>1</v>
      </c>
      <c r="P277" s="2620" t="s">
        <v>19</v>
      </c>
      <c r="Q277" s="2573" t="s">
        <v>22</v>
      </c>
      <c r="R277" s="2573" t="s">
        <v>22</v>
      </c>
      <c r="S277" s="2573" t="s">
        <v>22</v>
      </c>
      <c r="T277" s="2573" t="s">
        <v>22</v>
      </c>
      <c r="U277" s="2573" t="s">
        <v>22</v>
      </c>
      <c r="V277" s="2573" t="s">
        <v>22</v>
      </c>
      <c r="W277" s="2573" t="s">
        <v>22</v>
      </c>
      <c r="X277" s="2573" t="s">
        <v>22</v>
      </c>
      <c r="Y277" s="2573"/>
      <c r="Z277" s="1093"/>
      <c r="AA277" s="1094"/>
      <c r="AB277" s="1094"/>
      <c r="AC277" s="1098"/>
      <c r="AD277" s="1098"/>
      <c r="AE277" s="1099"/>
      <c r="AF277" s="2616"/>
      <c r="AG277" s="2617"/>
      <c r="AH277" s="2617"/>
      <c r="AI277" s="2616"/>
      <c r="AJ277" s="2617"/>
      <c r="AK277" s="2617"/>
      <c r="AL277" s="1900"/>
      <c r="AM277" s="1738"/>
      <c r="AN277" s="1738"/>
      <c r="AO277" s="1738"/>
      <c r="AP277" s="1738"/>
      <c r="AQ277" s="1738"/>
      <c r="AR277" s="1738"/>
      <c r="AS277" s="1738"/>
      <c r="AT277" s="1738"/>
      <c r="AU277" s="1738"/>
      <c r="AV277" s="1738"/>
      <c r="AW277" s="1738"/>
      <c r="AX277" s="1738"/>
      <c r="AY277" s="1738"/>
      <c r="AZ277" s="1738"/>
      <c r="BA277" s="1738"/>
      <c r="BB277" s="1738"/>
      <c r="BC277" s="1738"/>
      <c r="BD277" s="1738"/>
      <c r="BE277" s="1738"/>
      <c r="BF277" s="1738"/>
    </row>
    <row r="278" spans="1:58" ht="21.75" customHeight="1">
      <c r="A278" s="1084" t="s">
        <v>992</v>
      </c>
      <c r="B278" s="1084"/>
      <c r="C278" s="1084"/>
      <c r="D278" s="1078"/>
      <c r="E278" s="1088"/>
      <c r="F278" s="2605"/>
      <c r="G278" s="2606"/>
      <c r="H278" s="2601" t="s">
        <v>93</v>
      </c>
      <c r="I278" s="2613"/>
      <c r="J278" s="2624"/>
      <c r="K278" s="2615"/>
      <c r="L278" s="2338"/>
      <c r="M278" s="2339"/>
      <c r="N278" s="2618"/>
      <c r="O278" s="2619"/>
      <c r="P278" s="2621"/>
      <c r="Q278" s="2573"/>
      <c r="R278" s="2573"/>
      <c r="S278" s="2623"/>
      <c r="T278" s="2573"/>
      <c r="U278" s="2573"/>
      <c r="V278" s="2573"/>
      <c r="W278" s="2573"/>
      <c r="X278" s="2573"/>
      <c r="Y278" s="2573"/>
      <c r="Z278" s="1743"/>
      <c r="AA278" s="1711">
        <v>1</v>
      </c>
      <c r="AB278" s="1097" t="s">
        <v>1036</v>
      </c>
      <c r="AC278" s="1087">
        <v>65420.7284558135</v>
      </c>
      <c r="AD278" s="1097" t="str">
        <f>AB278</f>
        <v xml:space="preserve">      Прочие амортизационные отчисления</v>
      </c>
      <c r="AE278" s="1087"/>
      <c r="AF278" s="2616"/>
      <c r="AG278" s="2617"/>
      <c r="AH278" s="2617"/>
      <c r="AI278" s="2616"/>
      <c r="AJ278" s="2617"/>
      <c r="AK278" s="2617"/>
      <c r="AL278" s="1900"/>
      <c r="AM278" s="1738"/>
      <c r="AN278" s="1738"/>
      <c r="AO278" s="1738"/>
      <c r="AP278" s="1738"/>
      <c r="AQ278" s="1738"/>
      <c r="AR278" s="1738"/>
      <c r="AS278" s="1738"/>
      <c r="AT278" s="1738"/>
      <c r="AU278" s="1738"/>
      <c r="AV278" s="1738"/>
      <c r="AW278" s="1738"/>
      <c r="AX278" s="1738"/>
      <c r="AY278" s="1738"/>
      <c r="AZ278" s="1738"/>
      <c r="BA278" s="1738"/>
      <c r="BB278" s="1738"/>
      <c r="BC278" s="1738"/>
      <c r="BD278" s="1738"/>
      <c r="BE278" s="1738"/>
      <c r="BF278" s="1738"/>
    </row>
    <row r="279" spans="1:58" ht="11.25" customHeight="1">
      <c r="A279" s="1084" t="s">
        <v>992</v>
      </c>
      <c r="B279" s="1084"/>
      <c r="C279" s="1084"/>
      <c r="D279" s="1078"/>
      <c r="E279" s="1088"/>
      <c r="F279" s="2606"/>
      <c r="G279" s="2606"/>
      <c r="H279" s="2606"/>
      <c r="I279" s="2606"/>
      <c r="J279" s="2606"/>
      <c r="K279" s="2606"/>
      <c r="L279" s="2606"/>
      <c r="M279" s="2606"/>
      <c r="N279" s="2606"/>
      <c r="O279" s="2606"/>
      <c r="P279" s="2606"/>
      <c r="Q279" s="2606"/>
      <c r="R279" s="2606"/>
      <c r="S279" s="2606"/>
      <c r="T279" s="2606"/>
      <c r="U279" s="2606"/>
      <c r="V279" s="2606"/>
      <c r="W279" s="2606"/>
      <c r="X279" s="2606"/>
      <c r="Y279" s="2606"/>
      <c r="Z279" s="2054" t="s">
        <v>686</v>
      </c>
      <c r="AA279" s="1731" t="s">
        <v>109</v>
      </c>
      <c r="AB279" s="1097" t="s">
        <v>1028</v>
      </c>
      <c r="AC279" s="1087">
        <v>7627.1022841865097</v>
      </c>
      <c r="AD279" s="1097" t="str">
        <f>AB279</f>
        <v xml:space="preserve">  Прочие</v>
      </c>
      <c r="AE279" s="1087"/>
      <c r="AF279" s="2625"/>
      <c r="AG279" s="2626"/>
      <c r="AH279" s="2626"/>
      <c r="AI279" s="2625"/>
      <c r="AJ279" s="2626"/>
      <c r="AK279" s="2627"/>
      <c r="AL279" s="1900"/>
      <c r="AM279" s="1738"/>
      <c r="AN279" s="1738"/>
      <c r="AO279" s="1738"/>
      <c r="AP279" s="1738"/>
      <c r="AQ279" s="1738"/>
      <c r="AR279" s="1738"/>
      <c r="AS279" s="1738"/>
      <c r="AT279" s="1738"/>
      <c r="AU279" s="1738"/>
      <c r="AV279" s="1738"/>
      <c r="AW279" s="1738"/>
      <c r="AX279" s="1738"/>
      <c r="AY279" s="1738"/>
      <c r="AZ279" s="1738"/>
      <c r="BA279" s="1738"/>
      <c r="BB279" s="1738"/>
      <c r="BC279" s="1738"/>
      <c r="BD279" s="1738"/>
      <c r="BE279" s="1738"/>
      <c r="BF279" s="1738"/>
    </row>
    <row r="280" spans="1:58" ht="15" customHeight="1">
      <c r="A280" s="1084" t="s">
        <v>992</v>
      </c>
      <c r="B280" s="1084"/>
      <c r="C280" s="1084"/>
      <c r="D280" s="1078"/>
      <c r="E280" s="1088"/>
      <c r="F280" s="2605"/>
      <c r="G280" s="2606"/>
      <c r="H280" s="2601" t="s">
        <v>93</v>
      </c>
      <c r="I280" s="2613"/>
      <c r="J280" s="2624"/>
      <c r="K280" s="2615"/>
      <c r="L280" s="2338"/>
      <c r="M280" s="2339"/>
      <c r="N280" s="2618"/>
      <c r="O280" s="2619"/>
      <c r="P280" s="2622"/>
      <c r="Q280" s="2573"/>
      <c r="R280" s="2573"/>
      <c r="S280" s="2623"/>
      <c r="T280" s="2573"/>
      <c r="U280" s="2573"/>
      <c r="V280" s="2573"/>
      <c r="W280" s="2573"/>
      <c r="X280" s="2573"/>
      <c r="Y280" s="2573"/>
      <c r="Z280" s="1093"/>
      <c r="AA280" s="1094"/>
      <c r="AB280" s="1159" t="s">
        <v>1029</v>
      </c>
      <c r="AC280" s="1098"/>
      <c r="AD280" s="1098"/>
      <c r="AE280" s="1100"/>
      <c r="AF280" s="2616"/>
      <c r="AG280" s="2617"/>
      <c r="AH280" s="2617"/>
      <c r="AI280" s="2616"/>
      <c r="AJ280" s="2617"/>
      <c r="AK280" s="2617"/>
      <c r="AL280" s="1900"/>
      <c r="AM280" s="1738"/>
      <c r="AN280" s="1738"/>
      <c r="AO280" s="1738"/>
      <c r="AP280" s="1738"/>
      <c r="AQ280" s="1738"/>
      <c r="AR280" s="1738"/>
      <c r="AS280" s="1738"/>
      <c r="AT280" s="1738"/>
      <c r="AU280" s="1738"/>
      <c r="AV280" s="1738"/>
      <c r="AW280" s="1738"/>
      <c r="AX280" s="1738"/>
      <c r="AY280" s="1738"/>
      <c r="AZ280" s="1738"/>
      <c r="BA280" s="1738"/>
      <c r="BB280" s="1738"/>
      <c r="BC280" s="1738"/>
      <c r="BD280" s="1738"/>
      <c r="BE280" s="1738"/>
      <c r="BF280" s="1738"/>
    </row>
    <row r="281" spans="1:58" ht="11.25" customHeight="1">
      <c r="A281" s="1084" t="s">
        <v>992</v>
      </c>
      <c r="B281" s="1084"/>
      <c r="C281" s="1084"/>
      <c r="D281" s="1078"/>
      <c r="E281" s="1088"/>
      <c r="F281" s="2605"/>
      <c r="G281" s="2606"/>
      <c r="H281" s="2601" t="s">
        <v>93</v>
      </c>
      <c r="I281" s="2613"/>
      <c r="J281" s="2624"/>
      <c r="K281" s="2615"/>
      <c r="L281" s="2338"/>
      <c r="M281" s="2339"/>
      <c r="N281" s="1093"/>
      <c r="O281" s="1094"/>
      <c r="P281" s="1086" t="s">
        <v>1030</v>
      </c>
      <c r="Q281" s="1094"/>
      <c r="R281" s="1094"/>
      <c r="S281" s="1094"/>
      <c r="T281" s="1094"/>
      <c r="U281" s="1094"/>
      <c r="V281" s="1094"/>
      <c r="W281" s="1094"/>
      <c r="X281" s="1094"/>
      <c r="Y281" s="1094"/>
      <c r="Z281" s="1094"/>
      <c r="AA281" s="1094"/>
      <c r="AB281" s="1094"/>
      <c r="AC281" s="1094"/>
      <c r="AD281" s="1094"/>
      <c r="AE281" s="1101"/>
      <c r="AF281" s="2616"/>
      <c r="AG281" s="2617"/>
      <c r="AH281" s="2617"/>
      <c r="AI281" s="2616"/>
      <c r="AJ281" s="2617"/>
      <c r="AK281" s="2617"/>
      <c r="AL281" s="1900"/>
      <c r="AM281" s="1738"/>
      <c r="AN281" s="1738"/>
      <c r="AO281" s="1738"/>
      <c r="AP281" s="1738"/>
      <c r="AQ281" s="1738"/>
      <c r="AR281" s="1738"/>
      <c r="AS281" s="1738"/>
      <c r="AT281" s="1738"/>
      <c r="AU281" s="1738"/>
      <c r="AV281" s="1738"/>
      <c r="AW281" s="1738"/>
      <c r="AX281" s="1738"/>
      <c r="AY281" s="1738"/>
      <c r="AZ281" s="1738"/>
      <c r="BA281" s="1738"/>
      <c r="BB281" s="1738"/>
      <c r="BC281" s="1738"/>
      <c r="BD281" s="1738"/>
      <c r="BE281" s="1738"/>
      <c r="BF281" s="1738"/>
    </row>
    <row r="282" spans="1:58" ht="29.25" customHeight="1">
      <c r="A282" s="1084" t="s">
        <v>992</v>
      </c>
      <c r="B282" s="1084" t="s">
        <v>1031</v>
      </c>
      <c r="C282" s="1084"/>
      <c r="D282" s="1078"/>
      <c r="E282" s="1088"/>
      <c r="F282" s="2605"/>
      <c r="G282" s="2590" t="s">
        <v>686</v>
      </c>
      <c r="H282" s="2601" t="s">
        <v>94</v>
      </c>
      <c r="I282" s="2613" t="s">
        <v>1032</v>
      </c>
      <c r="J282" s="2624" t="s">
        <v>1033</v>
      </c>
      <c r="K282" s="2615" t="s">
        <v>1043</v>
      </c>
      <c r="L282" s="2338" t="s">
        <v>19</v>
      </c>
      <c r="M282" s="2339"/>
      <c r="N282" s="1898"/>
      <c r="O282" s="1095" t="s">
        <v>373</v>
      </c>
      <c r="P282" s="1096"/>
      <c r="Q282" s="1096"/>
      <c r="R282" s="1096"/>
      <c r="S282" s="1096"/>
      <c r="T282" s="1096"/>
      <c r="U282" s="1096"/>
      <c r="V282" s="1096"/>
      <c r="W282" s="1096"/>
      <c r="X282" s="1096"/>
      <c r="Y282" s="1096"/>
      <c r="Z282" s="1096"/>
      <c r="AA282" s="1096"/>
      <c r="AB282" s="1096"/>
      <c r="AC282" s="1096"/>
      <c r="AD282" s="1096"/>
      <c r="AE282" s="1096"/>
      <c r="AF282" s="2616">
        <v>6</v>
      </c>
      <c r="AG282" s="2617" t="s">
        <v>1026</v>
      </c>
      <c r="AH282" s="2617" t="s">
        <v>1035</v>
      </c>
      <c r="AI282" s="2616"/>
      <c r="AJ282" s="2617"/>
      <c r="AK282" s="2617"/>
      <c r="AL282" s="1900"/>
      <c r="AM282" s="1738"/>
      <c r="AN282" s="1738"/>
      <c r="AO282" s="1738"/>
      <c r="AP282" s="1738"/>
      <c r="AQ282" s="1738"/>
      <c r="AR282" s="1738"/>
      <c r="AS282" s="1738"/>
      <c r="AT282" s="1738"/>
      <c r="AU282" s="1738"/>
      <c r="AV282" s="1738"/>
      <c r="AW282" s="1738"/>
      <c r="AX282" s="1738"/>
      <c r="AY282" s="1738"/>
      <c r="AZ282" s="1738"/>
      <c r="BA282" s="1738"/>
      <c r="BB282" s="1738"/>
      <c r="BC282" s="1738"/>
      <c r="BD282" s="1738"/>
      <c r="BE282" s="1738"/>
      <c r="BF282" s="1738"/>
    </row>
    <row r="283" spans="1:58" ht="24" customHeight="1">
      <c r="A283" s="1084" t="s">
        <v>992</v>
      </c>
      <c r="B283" s="1084"/>
      <c r="C283" s="1084"/>
      <c r="D283" s="1078"/>
      <c r="E283" s="1088"/>
      <c r="F283" s="2605"/>
      <c r="G283" s="2606"/>
      <c r="H283" s="2601" t="s">
        <v>94</v>
      </c>
      <c r="I283" s="2613"/>
      <c r="J283" s="2624"/>
      <c r="K283" s="2615"/>
      <c r="L283" s="2338"/>
      <c r="M283" s="2339"/>
      <c r="N283" s="2618"/>
      <c r="O283" s="2619">
        <v>1</v>
      </c>
      <c r="P283" s="2620" t="s">
        <v>19</v>
      </c>
      <c r="Q283" s="2573" t="s">
        <v>22</v>
      </c>
      <c r="R283" s="2573" t="s">
        <v>22</v>
      </c>
      <c r="S283" s="2573" t="s">
        <v>22</v>
      </c>
      <c r="T283" s="2573" t="s">
        <v>22</v>
      </c>
      <c r="U283" s="2573" t="s">
        <v>22</v>
      </c>
      <c r="V283" s="2573" t="s">
        <v>22</v>
      </c>
      <c r="W283" s="2573" t="s">
        <v>22</v>
      </c>
      <c r="X283" s="2573" t="s">
        <v>22</v>
      </c>
      <c r="Y283" s="2573"/>
      <c r="Z283" s="1093"/>
      <c r="AA283" s="1094"/>
      <c r="AB283" s="1094"/>
      <c r="AC283" s="1098"/>
      <c r="AD283" s="1098"/>
      <c r="AE283" s="1099"/>
      <c r="AF283" s="2616"/>
      <c r="AG283" s="2617"/>
      <c r="AH283" s="2617"/>
      <c r="AI283" s="2616"/>
      <c r="AJ283" s="2617"/>
      <c r="AK283" s="2617"/>
      <c r="AL283" s="1900"/>
      <c r="AM283" s="1738"/>
      <c r="AN283" s="1738"/>
      <c r="AO283" s="1738"/>
      <c r="AP283" s="1738"/>
      <c r="AQ283" s="1738"/>
      <c r="AR283" s="1738"/>
      <c r="AS283" s="1738"/>
      <c r="AT283" s="1738"/>
      <c r="AU283" s="1738"/>
      <c r="AV283" s="1738"/>
      <c r="AW283" s="1738"/>
      <c r="AX283" s="1738"/>
      <c r="AY283" s="1738"/>
      <c r="AZ283" s="1738"/>
      <c r="BA283" s="1738"/>
      <c r="BB283" s="1738"/>
      <c r="BC283" s="1738"/>
      <c r="BD283" s="1738"/>
      <c r="BE283" s="1738"/>
      <c r="BF283" s="1738"/>
    </row>
    <row r="284" spans="1:58" ht="11.25" customHeight="1">
      <c r="A284" s="1084" t="s">
        <v>992</v>
      </c>
      <c r="B284" s="1084"/>
      <c r="C284" s="1084"/>
      <c r="D284" s="1078"/>
      <c r="E284" s="1088"/>
      <c r="F284" s="2605"/>
      <c r="G284" s="2606"/>
      <c r="H284" s="2601" t="s">
        <v>94</v>
      </c>
      <c r="I284" s="2613"/>
      <c r="J284" s="2624"/>
      <c r="K284" s="2615"/>
      <c r="L284" s="2338"/>
      <c r="M284" s="2339"/>
      <c r="N284" s="2618"/>
      <c r="O284" s="2619"/>
      <c r="P284" s="2621"/>
      <c r="Q284" s="2573"/>
      <c r="R284" s="2573"/>
      <c r="S284" s="2623"/>
      <c r="T284" s="2573"/>
      <c r="U284" s="2573"/>
      <c r="V284" s="2573"/>
      <c r="W284" s="2573"/>
      <c r="X284" s="2573"/>
      <c r="Y284" s="2573"/>
      <c r="Z284" s="1743"/>
      <c r="AA284" s="1711">
        <v>1</v>
      </c>
      <c r="AB284" s="1097" t="s">
        <v>1028</v>
      </c>
      <c r="AC284" s="1087">
        <v>72762.27016</v>
      </c>
      <c r="AD284" s="1097" t="str">
        <f>AB284</f>
        <v xml:space="preserve">  Прочие</v>
      </c>
      <c r="AE284" s="1087"/>
      <c r="AF284" s="2616"/>
      <c r="AG284" s="2617"/>
      <c r="AH284" s="2617"/>
      <c r="AI284" s="2616"/>
      <c r="AJ284" s="2617"/>
      <c r="AK284" s="2617"/>
      <c r="AL284" s="1900"/>
      <c r="AM284" s="1738"/>
      <c r="AN284" s="1738"/>
      <c r="AO284" s="1738"/>
      <c r="AP284" s="1738"/>
      <c r="AQ284" s="1738"/>
      <c r="AR284" s="1738"/>
      <c r="AS284" s="1738"/>
      <c r="AT284" s="1738"/>
      <c r="AU284" s="1738"/>
      <c r="AV284" s="1738"/>
      <c r="AW284" s="1738"/>
      <c r="AX284" s="1738"/>
      <c r="AY284" s="1738"/>
      <c r="AZ284" s="1738"/>
      <c r="BA284" s="1738"/>
      <c r="BB284" s="1738"/>
      <c r="BC284" s="1738"/>
      <c r="BD284" s="1738"/>
      <c r="BE284" s="1738"/>
      <c r="BF284" s="1738"/>
    </row>
    <row r="285" spans="1:58" ht="11.25" customHeight="1">
      <c r="A285" s="1084" t="s">
        <v>992</v>
      </c>
      <c r="B285" s="1084"/>
      <c r="C285" s="1084"/>
      <c r="D285" s="1078"/>
      <c r="E285" s="1088"/>
      <c r="F285" s="2605"/>
      <c r="G285" s="2606"/>
      <c r="H285" s="2601" t="s">
        <v>94</v>
      </c>
      <c r="I285" s="2613"/>
      <c r="J285" s="2624"/>
      <c r="K285" s="2615"/>
      <c r="L285" s="2338"/>
      <c r="M285" s="2339"/>
      <c r="N285" s="2618"/>
      <c r="O285" s="2619"/>
      <c r="P285" s="2622"/>
      <c r="Q285" s="2573"/>
      <c r="R285" s="2573"/>
      <c r="S285" s="2623"/>
      <c r="T285" s="2573"/>
      <c r="U285" s="2573"/>
      <c r="V285" s="2573"/>
      <c r="W285" s="2573"/>
      <c r="X285" s="2573"/>
      <c r="Y285" s="2573"/>
      <c r="Z285" s="1093"/>
      <c r="AA285" s="1094"/>
      <c r="AB285" s="1159" t="s">
        <v>1029</v>
      </c>
      <c r="AC285" s="1098"/>
      <c r="AD285" s="1098"/>
      <c r="AE285" s="1100"/>
      <c r="AF285" s="2616"/>
      <c r="AG285" s="2617"/>
      <c r="AH285" s="2617"/>
      <c r="AI285" s="2616"/>
      <c r="AJ285" s="2617"/>
      <c r="AK285" s="2617"/>
      <c r="AL285" s="1900"/>
      <c r="AM285" s="1738"/>
      <c r="AN285" s="1738"/>
      <c r="AO285" s="1738"/>
      <c r="AP285" s="1738"/>
      <c r="AQ285" s="1738"/>
      <c r="AR285" s="1738"/>
      <c r="AS285" s="1738"/>
      <c r="AT285" s="1738"/>
      <c r="AU285" s="1738"/>
      <c r="AV285" s="1738"/>
      <c r="AW285" s="1738"/>
      <c r="AX285" s="1738"/>
      <c r="AY285" s="1738"/>
      <c r="AZ285" s="1738"/>
      <c r="BA285" s="1738"/>
      <c r="BB285" s="1738"/>
      <c r="BC285" s="1738"/>
      <c r="BD285" s="1738"/>
      <c r="BE285" s="1738"/>
      <c r="BF285" s="1738"/>
    </row>
    <row r="286" spans="1:58" ht="11.25" customHeight="1">
      <c r="A286" s="1084" t="s">
        <v>992</v>
      </c>
      <c r="B286" s="1084"/>
      <c r="C286" s="1084"/>
      <c r="D286" s="1078"/>
      <c r="E286" s="1088"/>
      <c r="F286" s="2605"/>
      <c r="G286" s="2606"/>
      <c r="H286" s="2601" t="s">
        <v>94</v>
      </c>
      <c r="I286" s="2613"/>
      <c r="J286" s="2624"/>
      <c r="K286" s="2615"/>
      <c r="L286" s="2338"/>
      <c r="M286" s="2339"/>
      <c r="N286" s="1093"/>
      <c r="O286" s="1094"/>
      <c r="P286" s="1086" t="s">
        <v>1030</v>
      </c>
      <c r="Q286" s="1094"/>
      <c r="R286" s="1094"/>
      <c r="S286" s="1094"/>
      <c r="T286" s="1094"/>
      <c r="U286" s="1094"/>
      <c r="V286" s="1094"/>
      <c r="W286" s="1094"/>
      <c r="X286" s="1094"/>
      <c r="Y286" s="1094"/>
      <c r="Z286" s="1094"/>
      <c r="AA286" s="1094"/>
      <c r="AB286" s="1094"/>
      <c r="AC286" s="1094"/>
      <c r="AD286" s="1094"/>
      <c r="AE286" s="1101"/>
      <c r="AF286" s="2616"/>
      <c r="AG286" s="2617"/>
      <c r="AH286" s="2617"/>
      <c r="AI286" s="2616"/>
      <c r="AJ286" s="2617"/>
      <c r="AK286" s="2617"/>
      <c r="AL286" s="1900"/>
      <c r="AM286" s="1738"/>
      <c r="AN286" s="1738"/>
      <c r="AO286" s="1738"/>
      <c r="AP286" s="1738"/>
      <c r="AQ286" s="1738"/>
      <c r="AR286" s="1738"/>
      <c r="AS286" s="1738"/>
      <c r="AT286" s="1738"/>
      <c r="AU286" s="1738"/>
      <c r="AV286" s="1738"/>
      <c r="AW286" s="1738"/>
      <c r="AX286" s="1738"/>
      <c r="AY286" s="1738"/>
      <c r="AZ286" s="1738"/>
      <c r="BA286" s="1738"/>
      <c r="BB286" s="1738"/>
      <c r="BC286" s="1738"/>
      <c r="BD286" s="1738"/>
      <c r="BE286" s="1738"/>
      <c r="BF286" s="1738"/>
    </row>
    <row r="287" spans="1:58" ht="21.75" customHeight="1">
      <c r="A287" s="1084" t="s">
        <v>992</v>
      </c>
      <c r="B287" s="1084" t="s">
        <v>1031</v>
      </c>
      <c r="C287" s="1084"/>
      <c r="D287" s="1078"/>
      <c r="E287" s="1088"/>
      <c r="F287" s="2605"/>
      <c r="G287" s="2590" t="s">
        <v>686</v>
      </c>
      <c r="H287" s="2601" t="s">
        <v>95</v>
      </c>
      <c r="I287" s="2613" t="s">
        <v>1032</v>
      </c>
      <c r="J287" s="2624" t="s">
        <v>1033</v>
      </c>
      <c r="K287" s="2615" t="s">
        <v>1074</v>
      </c>
      <c r="L287" s="2338" t="s">
        <v>19</v>
      </c>
      <c r="M287" s="2339"/>
      <c r="N287" s="1898"/>
      <c r="O287" s="1095" t="s">
        <v>373</v>
      </c>
      <c r="P287" s="1096"/>
      <c r="Q287" s="1096"/>
      <c r="R287" s="1096"/>
      <c r="S287" s="1096"/>
      <c r="T287" s="1096"/>
      <c r="U287" s="1096"/>
      <c r="V287" s="1096"/>
      <c r="W287" s="1096"/>
      <c r="X287" s="1096"/>
      <c r="Y287" s="1096"/>
      <c r="Z287" s="1096"/>
      <c r="AA287" s="1096"/>
      <c r="AB287" s="1096"/>
      <c r="AC287" s="1096"/>
      <c r="AD287" s="1096"/>
      <c r="AE287" s="1096"/>
      <c r="AF287" s="2616">
        <v>3</v>
      </c>
      <c r="AG287" s="2617" t="s">
        <v>1026</v>
      </c>
      <c r="AH287" s="2617" t="s">
        <v>1035</v>
      </c>
      <c r="AI287" s="2616"/>
      <c r="AJ287" s="2617"/>
      <c r="AK287" s="2617"/>
      <c r="AL287" s="1900"/>
      <c r="AM287" s="1738"/>
      <c r="AN287" s="1738"/>
      <c r="AO287" s="1738"/>
      <c r="AP287" s="1738"/>
      <c r="AQ287" s="1738"/>
      <c r="AR287" s="1738"/>
      <c r="AS287" s="1738"/>
      <c r="AT287" s="1738"/>
      <c r="AU287" s="1738"/>
      <c r="AV287" s="1738"/>
      <c r="AW287" s="1738"/>
      <c r="AX287" s="1738"/>
      <c r="AY287" s="1738"/>
      <c r="AZ287" s="1738"/>
      <c r="BA287" s="1738"/>
      <c r="BB287" s="1738"/>
      <c r="BC287" s="1738"/>
      <c r="BD287" s="1738"/>
      <c r="BE287" s="1738"/>
      <c r="BF287" s="1738"/>
    </row>
    <row r="288" spans="1:58" ht="11.25" customHeight="1">
      <c r="A288" s="1084" t="s">
        <v>992</v>
      </c>
      <c r="B288" s="1084"/>
      <c r="C288" s="1084"/>
      <c r="D288" s="1078"/>
      <c r="E288" s="1088"/>
      <c r="F288" s="2605"/>
      <c r="G288" s="2606"/>
      <c r="H288" s="2601" t="s">
        <v>95</v>
      </c>
      <c r="I288" s="2613"/>
      <c r="J288" s="2624"/>
      <c r="K288" s="2615"/>
      <c r="L288" s="2338"/>
      <c r="M288" s="2339"/>
      <c r="N288" s="2618"/>
      <c r="O288" s="2619">
        <v>1</v>
      </c>
      <c r="P288" s="2620" t="s">
        <v>19</v>
      </c>
      <c r="Q288" s="2573" t="s">
        <v>22</v>
      </c>
      <c r="R288" s="2573" t="s">
        <v>22</v>
      </c>
      <c r="S288" s="2573" t="s">
        <v>22</v>
      </c>
      <c r="T288" s="2573" t="s">
        <v>22</v>
      </c>
      <c r="U288" s="2573" t="s">
        <v>22</v>
      </c>
      <c r="V288" s="2573" t="s">
        <v>22</v>
      </c>
      <c r="W288" s="2573" t="s">
        <v>22</v>
      </c>
      <c r="X288" s="2573" t="s">
        <v>22</v>
      </c>
      <c r="Y288" s="2573"/>
      <c r="Z288" s="1093"/>
      <c r="AA288" s="1094"/>
      <c r="AB288" s="1094"/>
      <c r="AC288" s="1098"/>
      <c r="AD288" s="1098"/>
      <c r="AE288" s="1099"/>
      <c r="AF288" s="2616"/>
      <c r="AG288" s="2617"/>
      <c r="AH288" s="2617"/>
      <c r="AI288" s="2616"/>
      <c r="AJ288" s="2617"/>
      <c r="AK288" s="2617"/>
      <c r="AL288" s="1900"/>
      <c r="AM288" s="1738"/>
      <c r="AN288" s="1738"/>
      <c r="AO288" s="1738"/>
      <c r="AP288" s="1738"/>
      <c r="AQ288" s="1738"/>
      <c r="AR288" s="1738"/>
      <c r="AS288" s="1738"/>
      <c r="AT288" s="1738"/>
      <c r="AU288" s="1738"/>
      <c r="AV288" s="1738"/>
      <c r="AW288" s="1738"/>
      <c r="AX288" s="1738"/>
      <c r="AY288" s="1738"/>
      <c r="AZ288" s="1738"/>
      <c r="BA288" s="1738"/>
      <c r="BB288" s="1738"/>
      <c r="BC288" s="1738"/>
      <c r="BD288" s="1738"/>
      <c r="BE288" s="1738"/>
      <c r="BF288" s="1738"/>
    </row>
    <row r="289" spans="1:58" ht="11.25" customHeight="1">
      <c r="A289" s="1084" t="s">
        <v>992</v>
      </c>
      <c r="B289" s="1084"/>
      <c r="C289" s="1084"/>
      <c r="D289" s="1078"/>
      <c r="E289" s="1088"/>
      <c r="F289" s="2605"/>
      <c r="G289" s="2606"/>
      <c r="H289" s="2601" t="s">
        <v>95</v>
      </c>
      <c r="I289" s="2613"/>
      <c r="J289" s="2624"/>
      <c r="K289" s="2615"/>
      <c r="L289" s="2338"/>
      <c r="M289" s="2339"/>
      <c r="N289" s="2618"/>
      <c r="O289" s="2619"/>
      <c r="P289" s="2621"/>
      <c r="Q289" s="2573"/>
      <c r="R289" s="2573"/>
      <c r="S289" s="2623"/>
      <c r="T289" s="2573"/>
      <c r="U289" s="2573"/>
      <c r="V289" s="2573"/>
      <c r="W289" s="2573"/>
      <c r="X289" s="2573"/>
      <c r="Y289" s="2573"/>
      <c r="Z289" s="1743"/>
      <c r="AA289" s="1711">
        <v>1</v>
      </c>
      <c r="AB289" s="1097" t="s">
        <v>1028</v>
      </c>
      <c r="AC289" s="1087">
        <v>95364.665999999997</v>
      </c>
      <c r="AD289" s="1097" t="str">
        <f>AB289</f>
        <v xml:space="preserve">  Прочие</v>
      </c>
      <c r="AE289" s="1087"/>
      <c r="AF289" s="2616"/>
      <c r="AG289" s="2617"/>
      <c r="AH289" s="2617"/>
      <c r="AI289" s="2616"/>
      <c r="AJ289" s="2617"/>
      <c r="AK289" s="2617"/>
      <c r="AL289" s="1900"/>
      <c r="AM289" s="1738"/>
      <c r="AN289" s="1738"/>
      <c r="AO289" s="1738"/>
      <c r="AP289" s="1738"/>
      <c r="AQ289" s="1738"/>
      <c r="AR289" s="1738"/>
      <c r="AS289" s="1738"/>
      <c r="AT289" s="1738"/>
      <c r="AU289" s="1738"/>
      <c r="AV289" s="1738"/>
      <c r="AW289" s="1738"/>
      <c r="AX289" s="1738"/>
      <c r="AY289" s="1738"/>
      <c r="AZ289" s="1738"/>
      <c r="BA289" s="1738"/>
      <c r="BB289" s="1738"/>
      <c r="BC289" s="1738"/>
      <c r="BD289" s="1738"/>
      <c r="BE289" s="1738"/>
      <c r="BF289" s="1738"/>
    </row>
    <row r="290" spans="1:58" ht="11.25" customHeight="1">
      <c r="A290" s="1084" t="s">
        <v>992</v>
      </c>
      <c r="B290" s="1084"/>
      <c r="C290" s="1084"/>
      <c r="D290" s="1078"/>
      <c r="E290" s="1088"/>
      <c r="F290" s="2605"/>
      <c r="G290" s="2606"/>
      <c r="H290" s="2601" t="s">
        <v>95</v>
      </c>
      <c r="I290" s="2613"/>
      <c r="J290" s="2624"/>
      <c r="K290" s="2615"/>
      <c r="L290" s="2338"/>
      <c r="M290" s="2339"/>
      <c r="N290" s="2618"/>
      <c r="O290" s="2619"/>
      <c r="P290" s="2622"/>
      <c r="Q290" s="2573"/>
      <c r="R290" s="2573"/>
      <c r="S290" s="2623"/>
      <c r="T290" s="2573"/>
      <c r="U290" s="2573"/>
      <c r="V290" s="2573"/>
      <c r="W290" s="2573"/>
      <c r="X290" s="2573"/>
      <c r="Y290" s="2573"/>
      <c r="Z290" s="1093"/>
      <c r="AA290" s="1094"/>
      <c r="AB290" s="1159" t="s">
        <v>1029</v>
      </c>
      <c r="AC290" s="1098"/>
      <c r="AD290" s="1098"/>
      <c r="AE290" s="1100"/>
      <c r="AF290" s="2616"/>
      <c r="AG290" s="2617"/>
      <c r="AH290" s="2617"/>
      <c r="AI290" s="2616"/>
      <c r="AJ290" s="2617"/>
      <c r="AK290" s="2617"/>
      <c r="AL290" s="1900"/>
      <c r="AM290" s="1738"/>
      <c r="AN290" s="1738"/>
      <c r="AO290" s="1738"/>
      <c r="AP290" s="1738"/>
      <c r="AQ290" s="1738"/>
      <c r="AR290" s="1738"/>
      <c r="AS290" s="1738"/>
      <c r="AT290" s="1738"/>
      <c r="AU290" s="1738"/>
      <c r="AV290" s="1738"/>
      <c r="AW290" s="1738"/>
      <c r="AX290" s="1738"/>
      <c r="AY290" s="1738"/>
      <c r="AZ290" s="1738"/>
      <c r="BA290" s="1738"/>
      <c r="BB290" s="1738"/>
      <c r="BC290" s="1738"/>
      <c r="BD290" s="1738"/>
      <c r="BE290" s="1738"/>
      <c r="BF290" s="1738"/>
    </row>
    <row r="291" spans="1:58" ht="11.25" customHeight="1">
      <c r="A291" s="1084" t="s">
        <v>992</v>
      </c>
      <c r="B291" s="1084"/>
      <c r="C291" s="1084"/>
      <c r="D291" s="1078"/>
      <c r="E291" s="1088"/>
      <c r="F291" s="2605"/>
      <c r="G291" s="2606"/>
      <c r="H291" s="2601" t="s">
        <v>95</v>
      </c>
      <c r="I291" s="2613"/>
      <c r="J291" s="2624"/>
      <c r="K291" s="2615"/>
      <c r="L291" s="2338"/>
      <c r="M291" s="2339"/>
      <c r="N291" s="1093"/>
      <c r="O291" s="1094"/>
      <c r="P291" s="1086" t="s">
        <v>1030</v>
      </c>
      <c r="Q291" s="1094"/>
      <c r="R291" s="1094"/>
      <c r="S291" s="1094"/>
      <c r="T291" s="1094"/>
      <c r="U291" s="1094"/>
      <c r="V291" s="1094"/>
      <c r="W291" s="1094"/>
      <c r="X291" s="1094"/>
      <c r="Y291" s="1094"/>
      <c r="Z291" s="1094"/>
      <c r="AA291" s="1094"/>
      <c r="AB291" s="1094"/>
      <c r="AC291" s="1094"/>
      <c r="AD291" s="1094"/>
      <c r="AE291" s="1101"/>
      <c r="AF291" s="2616"/>
      <c r="AG291" s="2617"/>
      <c r="AH291" s="2617"/>
      <c r="AI291" s="2616"/>
      <c r="AJ291" s="2617"/>
      <c r="AK291" s="2617"/>
      <c r="AL291" s="1900"/>
      <c r="AM291" s="1738"/>
      <c r="AN291" s="1738"/>
      <c r="AO291" s="1738"/>
      <c r="AP291" s="1738"/>
      <c r="AQ291" s="1738"/>
      <c r="AR291" s="1738"/>
      <c r="AS291" s="1738"/>
      <c r="AT291" s="1738"/>
      <c r="AU291" s="1738"/>
      <c r="AV291" s="1738"/>
      <c r="AW291" s="1738"/>
      <c r="AX291" s="1738"/>
      <c r="AY291" s="1738"/>
      <c r="AZ291" s="1738"/>
      <c r="BA291" s="1738"/>
      <c r="BB291" s="1738"/>
      <c r="BC291" s="1738"/>
      <c r="BD291" s="1738"/>
      <c r="BE291" s="1738"/>
      <c r="BF291" s="1738"/>
    </row>
    <row r="292" spans="1:58" ht="43.5" customHeight="1">
      <c r="A292" s="1084" t="s">
        <v>992</v>
      </c>
      <c r="B292" s="1084" t="s">
        <v>1031</v>
      </c>
      <c r="C292" s="1084"/>
      <c r="D292" s="1078"/>
      <c r="E292" s="1088"/>
      <c r="F292" s="2605"/>
      <c r="G292" s="2590" t="s">
        <v>686</v>
      </c>
      <c r="H292" s="2601" t="s">
        <v>111</v>
      </c>
      <c r="I292" s="2613" t="s">
        <v>1032</v>
      </c>
      <c r="J292" s="2624" t="s">
        <v>1033</v>
      </c>
      <c r="K292" s="2615" t="s">
        <v>1044</v>
      </c>
      <c r="L292" s="2338" t="s">
        <v>19</v>
      </c>
      <c r="M292" s="2339"/>
      <c r="N292" s="1898"/>
      <c r="O292" s="1095" t="s">
        <v>373</v>
      </c>
      <c r="P292" s="1096"/>
      <c r="Q292" s="1096"/>
      <c r="R292" s="1096"/>
      <c r="S292" s="1096"/>
      <c r="T292" s="1096"/>
      <c r="U292" s="1096"/>
      <c r="V292" s="1096"/>
      <c r="W292" s="1096"/>
      <c r="X292" s="1096"/>
      <c r="Y292" s="1096"/>
      <c r="Z292" s="1096"/>
      <c r="AA292" s="1096"/>
      <c r="AB292" s="1096"/>
      <c r="AC292" s="1096"/>
      <c r="AD292" s="1096"/>
      <c r="AE292" s="1096"/>
      <c r="AF292" s="2616">
        <v>5</v>
      </c>
      <c r="AG292" s="2617" t="s">
        <v>1026</v>
      </c>
      <c r="AH292" s="2617" t="s">
        <v>1027</v>
      </c>
      <c r="AI292" s="2616"/>
      <c r="AJ292" s="2617"/>
      <c r="AK292" s="2617"/>
      <c r="AL292" s="1900"/>
      <c r="AM292" s="1738"/>
      <c r="AN292" s="1738"/>
      <c r="AO292" s="1738"/>
      <c r="AP292" s="1738"/>
      <c r="AQ292" s="1738"/>
      <c r="AR292" s="1738"/>
      <c r="AS292" s="1738"/>
      <c r="AT292" s="1738"/>
      <c r="AU292" s="1738"/>
      <c r="AV292" s="1738"/>
      <c r="AW292" s="1738"/>
      <c r="AX292" s="1738"/>
      <c r="AY292" s="1738"/>
      <c r="AZ292" s="1738"/>
      <c r="BA292" s="1738"/>
      <c r="BB292" s="1738"/>
      <c r="BC292" s="1738"/>
      <c r="BD292" s="1738"/>
      <c r="BE292" s="1738"/>
      <c r="BF292" s="1738"/>
    </row>
    <row r="293" spans="1:58" ht="21.75" customHeight="1">
      <c r="A293" s="1084" t="s">
        <v>992</v>
      </c>
      <c r="B293" s="1084"/>
      <c r="C293" s="1084"/>
      <c r="D293" s="1078"/>
      <c r="E293" s="1088"/>
      <c r="F293" s="2605"/>
      <c r="G293" s="2606"/>
      <c r="H293" s="2601" t="s">
        <v>111</v>
      </c>
      <c r="I293" s="2613"/>
      <c r="J293" s="2624"/>
      <c r="K293" s="2615"/>
      <c r="L293" s="2338"/>
      <c r="M293" s="2339"/>
      <c r="N293" s="2618"/>
      <c r="O293" s="2619">
        <v>1</v>
      </c>
      <c r="P293" s="2620" t="s">
        <v>19</v>
      </c>
      <c r="Q293" s="2573" t="s">
        <v>22</v>
      </c>
      <c r="R293" s="2573" t="s">
        <v>22</v>
      </c>
      <c r="S293" s="2573" t="s">
        <v>22</v>
      </c>
      <c r="T293" s="2573" t="s">
        <v>22</v>
      </c>
      <c r="U293" s="2573" t="s">
        <v>22</v>
      </c>
      <c r="V293" s="2573" t="s">
        <v>22</v>
      </c>
      <c r="W293" s="2573" t="s">
        <v>22</v>
      </c>
      <c r="X293" s="2573" t="s">
        <v>22</v>
      </c>
      <c r="Y293" s="2573"/>
      <c r="Z293" s="1093"/>
      <c r="AA293" s="1094"/>
      <c r="AB293" s="1094"/>
      <c r="AC293" s="1098"/>
      <c r="AD293" s="1098"/>
      <c r="AE293" s="1099"/>
      <c r="AF293" s="2616"/>
      <c r="AG293" s="2617"/>
      <c r="AH293" s="2617"/>
      <c r="AI293" s="2616"/>
      <c r="AJ293" s="2617"/>
      <c r="AK293" s="2617"/>
      <c r="AL293" s="1900"/>
      <c r="AM293" s="1738"/>
      <c r="AN293" s="1738"/>
      <c r="AO293" s="1738"/>
      <c r="AP293" s="1738"/>
      <c r="AQ293" s="1738"/>
      <c r="AR293" s="1738"/>
      <c r="AS293" s="1738"/>
      <c r="AT293" s="1738"/>
      <c r="AU293" s="1738"/>
      <c r="AV293" s="1738"/>
      <c r="AW293" s="1738"/>
      <c r="AX293" s="1738"/>
      <c r="AY293" s="1738"/>
      <c r="AZ293" s="1738"/>
      <c r="BA293" s="1738"/>
      <c r="BB293" s="1738"/>
      <c r="BC293" s="1738"/>
      <c r="BD293" s="1738"/>
      <c r="BE293" s="1738"/>
      <c r="BF293" s="1738"/>
    </row>
    <row r="294" spans="1:58" ht="33" customHeight="1">
      <c r="A294" s="1084" t="s">
        <v>992</v>
      </c>
      <c r="B294" s="1084"/>
      <c r="C294" s="1084"/>
      <c r="D294" s="1078"/>
      <c r="E294" s="1088"/>
      <c r="F294" s="2605"/>
      <c r="G294" s="2606"/>
      <c r="H294" s="2601" t="s">
        <v>111</v>
      </c>
      <c r="I294" s="2613"/>
      <c r="J294" s="2624"/>
      <c r="K294" s="2615"/>
      <c r="L294" s="2338"/>
      <c r="M294" s="2339"/>
      <c r="N294" s="2618"/>
      <c r="O294" s="2619"/>
      <c r="P294" s="2621"/>
      <c r="Q294" s="2573"/>
      <c r="R294" s="2573"/>
      <c r="S294" s="2623"/>
      <c r="T294" s="2573"/>
      <c r="U294" s="2573"/>
      <c r="V294" s="2573"/>
      <c r="W294" s="2573"/>
      <c r="X294" s="2573"/>
      <c r="Y294" s="2573"/>
      <c r="Z294" s="1743"/>
      <c r="AA294" s="1711">
        <v>1</v>
      </c>
      <c r="AB294" s="1097" t="s">
        <v>1036</v>
      </c>
      <c r="AC294" s="1087">
        <v>501608.05043447198</v>
      </c>
      <c r="AD294" s="1097" t="str">
        <f>AB294</f>
        <v xml:space="preserve">      Прочие амортизационные отчисления</v>
      </c>
      <c r="AE294" s="1087"/>
      <c r="AF294" s="2616"/>
      <c r="AG294" s="2617"/>
      <c r="AH294" s="2617"/>
      <c r="AI294" s="2616"/>
      <c r="AJ294" s="2617"/>
      <c r="AK294" s="2617"/>
      <c r="AL294" s="1900"/>
      <c r="AM294" s="1738"/>
      <c r="AN294" s="1738"/>
      <c r="AO294" s="1738"/>
      <c r="AP294" s="1738"/>
      <c r="AQ294" s="1738"/>
      <c r="AR294" s="1738"/>
      <c r="AS294" s="1738"/>
      <c r="AT294" s="1738"/>
      <c r="AU294" s="1738"/>
      <c r="AV294" s="1738"/>
      <c r="AW294" s="1738"/>
      <c r="AX294" s="1738"/>
      <c r="AY294" s="1738"/>
      <c r="AZ294" s="1738"/>
      <c r="BA294" s="1738"/>
      <c r="BB294" s="1738"/>
      <c r="BC294" s="1738"/>
      <c r="BD294" s="1738"/>
      <c r="BE294" s="1738"/>
      <c r="BF294" s="1738"/>
    </row>
    <row r="295" spans="1:58" ht="11.25" customHeight="1">
      <c r="A295" s="1084" t="s">
        <v>992</v>
      </c>
      <c r="B295" s="1084"/>
      <c r="C295" s="1084"/>
      <c r="D295" s="1078"/>
      <c r="E295" s="1088"/>
      <c r="F295" s="2606"/>
      <c r="G295" s="2606"/>
      <c r="H295" s="2606"/>
      <c r="I295" s="2606"/>
      <c r="J295" s="2606"/>
      <c r="K295" s="2606"/>
      <c r="L295" s="2606"/>
      <c r="M295" s="2606"/>
      <c r="N295" s="2606"/>
      <c r="O295" s="2606"/>
      <c r="P295" s="2606"/>
      <c r="Q295" s="2606"/>
      <c r="R295" s="2606"/>
      <c r="S295" s="2606"/>
      <c r="T295" s="2606"/>
      <c r="U295" s="2606"/>
      <c r="V295" s="2606"/>
      <c r="W295" s="2606"/>
      <c r="X295" s="2606"/>
      <c r="Y295" s="2606"/>
      <c r="Z295" s="2054" t="s">
        <v>686</v>
      </c>
      <c r="AA295" s="1731" t="s">
        <v>109</v>
      </c>
      <c r="AB295" s="1097" t="s">
        <v>1028</v>
      </c>
      <c r="AC295" s="1087">
        <v>169847.747453408</v>
      </c>
      <c r="AD295" s="1097" t="str">
        <f>AB295</f>
        <v xml:space="preserve">  Прочие</v>
      </c>
      <c r="AE295" s="1087"/>
      <c r="AF295" s="2625"/>
      <c r="AG295" s="2626"/>
      <c r="AH295" s="2626"/>
      <c r="AI295" s="2625"/>
      <c r="AJ295" s="2626"/>
      <c r="AK295" s="2627"/>
      <c r="AL295" s="1900"/>
      <c r="AM295" s="1738"/>
      <c r="AN295" s="1738"/>
      <c r="AO295" s="1738"/>
      <c r="AP295" s="1738"/>
      <c r="AQ295" s="1738"/>
      <c r="AR295" s="1738"/>
      <c r="AS295" s="1738"/>
      <c r="AT295" s="1738"/>
      <c r="AU295" s="1738"/>
      <c r="AV295" s="1738"/>
      <c r="AW295" s="1738"/>
      <c r="AX295" s="1738"/>
      <c r="AY295" s="1738"/>
      <c r="AZ295" s="1738"/>
      <c r="BA295" s="1738"/>
      <c r="BB295" s="1738"/>
      <c r="BC295" s="1738"/>
      <c r="BD295" s="1738"/>
      <c r="BE295" s="1738"/>
      <c r="BF295" s="1738"/>
    </row>
    <row r="296" spans="1:58" ht="11.25" customHeight="1">
      <c r="A296" s="1084" t="s">
        <v>992</v>
      </c>
      <c r="B296" s="1084"/>
      <c r="C296" s="1084"/>
      <c r="D296" s="1078"/>
      <c r="E296" s="1088"/>
      <c r="F296" s="2605"/>
      <c r="G296" s="2606"/>
      <c r="H296" s="2601" t="s">
        <v>111</v>
      </c>
      <c r="I296" s="2613"/>
      <c r="J296" s="2624"/>
      <c r="K296" s="2615"/>
      <c r="L296" s="2338"/>
      <c r="M296" s="2339"/>
      <c r="N296" s="2618"/>
      <c r="O296" s="2619"/>
      <c r="P296" s="2622"/>
      <c r="Q296" s="2573"/>
      <c r="R296" s="2573"/>
      <c r="S296" s="2623"/>
      <c r="T296" s="2573"/>
      <c r="U296" s="2573"/>
      <c r="V296" s="2573"/>
      <c r="W296" s="2573"/>
      <c r="X296" s="2573"/>
      <c r="Y296" s="2573"/>
      <c r="Z296" s="1093"/>
      <c r="AA296" s="1094"/>
      <c r="AB296" s="1159" t="s">
        <v>1029</v>
      </c>
      <c r="AC296" s="1098"/>
      <c r="AD296" s="1098"/>
      <c r="AE296" s="1100"/>
      <c r="AF296" s="2616"/>
      <c r="AG296" s="2617"/>
      <c r="AH296" s="2617"/>
      <c r="AI296" s="2616"/>
      <c r="AJ296" s="2617"/>
      <c r="AK296" s="2617"/>
      <c r="AL296" s="1900"/>
      <c r="AM296" s="1738"/>
      <c r="AN296" s="1738"/>
      <c r="AO296" s="1738"/>
      <c r="AP296" s="1738"/>
      <c r="AQ296" s="1738"/>
      <c r="AR296" s="1738"/>
      <c r="AS296" s="1738"/>
      <c r="AT296" s="1738"/>
      <c r="AU296" s="1738"/>
      <c r="AV296" s="1738"/>
      <c r="AW296" s="1738"/>
      <c r="AX296" s="1738"/>
      <c r="AY296" s="1738"/>
      <c r="AZ296" s="1738"/>
      <c r="BA296" s="1738"/>
      <c r="BB296" s="1738"/>
      <c r="BC296" s="1738"/>
      <c r="BD296" s="1738"/>
      <c r="BE296" s="1738"/>
      <c r="BF296" s="1738"/>
    </row>
    <row r="297" spans="1:58" ht="23.25" customHeight="1">
      <c r="A297" s="1084" t="s">
        <v>992</v>
      </c>
      <c r="B297" s="1084"/>
      <c r="C297" s="1084"/>
      <c r="D297" s="1078"/>
      <c r="E297" s="1088"/>
      <c r="F297" s="2605"/>
      <c r="G297" s="2606"/>
      <c r="H297" s="2601" t="s">
        <v>111</v>
      </c>
      <c r="I297" s="2613"/>
      <c r="J297" s="2624"/>
      <c r="K297" s="2615"/>
      <c r="L297" s="2338"/>
      <c r="M297" s="2339"/>
      <c r="N297" s="1093"/>
      <c r="O297" s="1094"/>
      <c r="P297" s="1086" t="s">
        <v>1030</v>
      </c>
      <c r="Q297" s="1094"/>
      <c r="R297" s="1094"/>
      <c r="S297" s="1094"/>
      <c r="T297" s="1094"/>
      <c r="U297" s="1094"/>
      <c r="V297" s="1094"/>
      <c r="W297" s="1094"/>
      <c r="X297" s="1094"/>
      <c r="Y297" s="1094"/>
      <c r="Z297" s="1094"/>
      <c r="AA297" s="1094"/>
      <c r="AB297" s="1094"/>
      <c r="AC297" s="1094"/>
      <c r="AD297" s="1094"/>
      <c r="AE297" s="1101"/>
      <c r="AF297" s="2616"/>
      <c r="AG297" s="2617"/>
      <c r="AH297" s="2617"/>
      <c r="AI297" s="2616"/>
      <c r="AJ297" s="2617"/>
      <c r="AK297" s="2617"/>
      <c r="AL297" s="1900"/>
      <c r="AM297" s="1738"/>
      <c r="AN297" s="1738"/>
      <c r="AO297" s="1738"/>
      <c r="AP297" s="1738"/>
      <c r="AQ297" s="1738"/>
      <c r="AR297" s="1738"/>
      <c r="AS297" s="1738"/>
      <c r="AT297" s="1738"/>
      <c r="AU297" s="1738"/>
      <c r="AV297" s="1738"/>
      <c r="AW297" s="1738"/>
      <c r="AX297" s="1738"/>
      <c r="AY297" s="1738"/>
      <c r="AZ297" s="1738"/>
      <c r="BA297" s="1738"/>
      <c r="BB297" s="1738"/>
      <c r="BC297" s="1738"/>
      <c r="BD297" s="1738"/>
      <c r="BE297" s="1738"/>
      <c r="BF297" s="1738"/>
    </row>
    <row r="298" spans="1:58" ht="60" customHeight="1">
      <c r="A298" s="1084" t="s">
        <v>992</v>
      </c>
      <c r="B298" s="1084" t="s">
        <v>1031</v>
      </c>
      <c r="C298" s="1084"/>
      <c r="D298" s="1078"/>
      <c r="E298" s="1088"/>
      <c r="F298" s="2605"/>
      <c r="G298" s="2590" t="s">
        <v>686</v>
      </c>
      <c r="H298" s="2601" t="s">
        <v>147</v>
      </c>
      <c r="I298" s="2613" t="s">
        <v>1032</v>
      </c>
      <c r="J298" s="2624" t="s">
        <v>1033</v>
      </c>
      <c r="K298" s="2615" t="s">
        <v>1045</v>
      </c>
      <c r="L298" s="2338" t="s">
        <v>19</v>
      </c>
      <c r="M298" s="2339"/>
      <c r="N298" s="1898"/>
      <c r="O298" s="1095" t="s">
        <v>373</v>
      </c>
      <c r="P298" s="1096"/>
      <c r="Q298" s="1096"/>
      <c r="R298" s="1096"/>
      <c r="S298" s="1096"/>
      <c r="T298" s="1096"/>
      <c r="U298" s="1096"/>
      <c r="V298" s="1096"/>
      <c r="W298" s="1096"/>
      <c r="X298" s="1096"/>
      <c r="Y298" s="1096"/>
      <c r="Z298" s="1096"/>
      <c r="AA298" s="1096"/>
      <c r="AB298" s="1096"/>
      <c r="AC298" s="1096"/>
      <c r="AD298" s="1096"/>
      <c r="AE298" s="1096"/>
      <c r="AF298" s="2616">
        <v>4</v>
      </c>
      <c r="AG298" s="2617" t="s">
        <v>1026</v>
      </c>
      <c r="AH298" s="2617" t="s">
        <v>1038</v>
      </c>
      <c r="AI298" s="2616"/>
      <c r="AJ298" s="2617"/>
      <c r="AK298" s="2617"/>
      <c r="AL298" s="1900"/>
      <c r="AM298" s="1738"/>
      <c r="AN298" s="1738"/>
      <c r="AO298" s="1738"/>
      <c r="AP298" s="1738"/>
      <c r="AQ298" s="1738"/>
      <c r="AR298" s="1738"/>
      <c r="AS298" s="1738"/>
      <c r="AT298" s="1738"/>
      <c r="AU298" s="1738"/>
      <c r="AV298" s="1738"/>
      <c r="AW298" s="1738"/>
      <c r="AX298" s="1738"/>
      <c r="AY298" s="1738"/>
      <c r="AZ298" s="1738"/>
      <c r="BA298" s="1738"/>
      <c r="BB298" s="1738"/>
      <c r="BC298" s="1738"/>
      <c r="BD298" s="1738"/>
      <c r="BE298" s="1738"/>
      <c r="BF298" s="1738"/>
    </row>
    <row r="299" spans="1:58" ht="30.75" customHeight="1">
      <c r="A299" s="1084" t="s">
        <v>992</v>
      </c>
      <c r="B299" s="1084"/>
      <c r="C299" s="1084"/>
      <c r="D299" s="1078"/>
      <c r="E299" s="1088"/>
      <c r="F299" s="2605"/>
      <c r="G299" s="2606"/>
      <c r="H299" s="2601" t="s">
        <v>147</v>
      </c>
      <c r="I299" s="2613"/>
      <c r="J299" s="2624"/>
      <c r="K299" s="2615"/>
      <c r="L299" s="2338"/>
      <c r="M299" s="2339"/>
      <c r="N299" s="2618"/>
      <c r="O299" s="2619">
        <v>1</v>
      </c>
      <c r="P299" s="2620" t="s">
        <v>19</v>
      </c>
      <c r="Q299" s="2573" t="s">
        <v>22</v>
      </c>
      <c r="R299" s="2573" t="s">
        <v>22</v>
      </c>
      <c r="S299" s="2573" t="s">
        <v>22</v>
      </c>
      <c r="T299" s="2573" t="s">
        <v>22</v>
      </c>
      <c r="U299" s="2573" t="s">
        <v>22</v>
      </c>
      <c r="V299" s="2573" t="s">
        <v>22</v>
      </c>
      <c r="W299" s="2573" t="s">
        <v>22</v>
      </c>
      <c r="X299" s="2573" t="s">
        <v>22</v>
      </c>
      <c r="Y299" s="2573"/>
      <c r="Z299" s="1093"/>
      <c r="AA299" s="1094"/>
      <c r="AB299" s="1094"/>
      <c r="AC299" s="1098"/>
      <c r="AD299" s="1098"/>
      <c r="AE299" s="1099"/>
      <c r="AF299" s="2616"/>
      <c r="AG299" s="2617"/>
      <c r="AH299" s="2617"/>
      <c r="AI299" s="2616"/>
      <c r="AJ299" s="2617"/>
      <c r="AK299" s="2617"/>
      <c r="AL299" s="1900"/>
      <c r="AM299" s="1738"/>
      <c r="AN299" s="1738"/>
      <c r="AO299" s="1738"/>
      <c r="AP299" s="1738"/>
      <c r="AQ299" s="1738"/>
      <c r="AR299" s="1738"/>
      <c r="AS299" s="1738"/>
      <c r="AT299" s="1738"/>
      <c r="AU299" s="1738"/>
      <c r="AV299" s="1738"/>
      <c r="AW299" s="1738"/>
      <c r="AX299" s="1738"/>
      <c r="AY299" s="1738"/>
      <c r="AZ299" s="1738"/>
      <c r="BA299" s="1738"/>
      <c r="BB299" s="1738"/>
      <c r="BC299" s="1738"/>
      <c r="BD299" s="1738"/>
      <c r="BE299" s="1738"/>
      <c r="BF299" s="1738"/>
    </row>
    <row r="300" spans="1:58" ht="32.25" customHeight="1">
      <c r="A300" s="1084" t="s">
        <v>992</v>
      </c>
      <c r="B300" s="1084"/>
      <c r="C300" s="1084"/>
      <c r="D300" s="1078"/>
      <c r="E300" s="1088"/>
      <c r="F300" s="2605"/>
      <c r="G300" s="2606"/>
      <c r="H300" s="2601" t="s">
        <v>147</v>
      </c>
      <c r="I300" s="2613"/>
      <c r="J300" s="2624"/>
      <c r="K300" s="2615"/>
      <c r="L300" s="2338"/>
      <c r="M300" s="2339"/>
      <c r="N300" s="2618"/>
      <c r="O300" s="2619"/>
      <c r="P300" s="2621"/>
      <c r="Q300" s="2573"/>
      <c r="R300" s="2573"/>
      <c r="S300" s="2623"/>
      <c r="T300" s="2573"/>
      <c r="U300" s="2573"/>
      <c r="V300" s="2573"/>
      <c r="W300" s="2573"/>
      <c r="X300" s="2573"/>
      <c r="Y300" s="2573"/>
      <c r="Z300" s="1743"/>
      <c r="AA300" s="1711">
        <v>1</v>
      </c>
      <c r="AB300" s="1097" t="s">
        <v>1036</v>
      </c>
      <c r="AC300" s="1087">
        <v>272303.68293825001</v>
      </c>
      <c r="AD300" s="1097" t="str">
        <f>AB300</f>
        <v xml:space="preserve">      Прочие амортизационные отчисления</v>
      </c>
      <c r="AE300" s="1087"/>
      <c r="AF300" s="2616"/>
      <c r="AG300" s="2617"/>
      <c r="AH300" s="2617"/>
      <c r="AI300" s="2616"/>
      <c r="AJ300" s="2617"/>
      <c r="AK300" s="2617"/>
      <c r="AL300" s="1900"/>
      <c r="AM300" s="1738"/>
      <c r="AN300" s="1738"/>
      <c r="AO300" s="1738"/>
      <c r="AP300" s="1738"/>
      <c r="AQ300" s="1738"/>
      <c r="AR300" s="1738"/>
      <c r="AS300" s="1738"/>
      <c r="AT300" s="1738"/>
      <c r="AU300" s="1738"/>
      <c r="AV300" s="1738"/>
      <c r="AW300" s="1738"/>
      <c r="AX300" s="1738"/>
      <c r="AY300" s="1738"/>
      <c r="AZ300" s="1738"/>
      <c r="BA300" s="1738"/>
      <c r="BB300" s="1738"/>
      <c r="BC300" s="1738"/>
      <c r="BD300" s="1738"/>
      <c r="BE300" s="1738"/>
      <c r="BF300" s="1738"/>
    </row>
    <row r="301" spans="1:58" ht="11.25" customHeight="1">
      <c r="A301" s="1084" t="s">
        <v>992</v>
      </c>
      <c r="B301" s="1084"/>
      <c r="C301" s="1084"/>
      <c r="D301" s="1078"/>
      <c r="E301" s="1088"/>
      <c r="F301" s="2606"/>
      <c r="G301" s="2606"/>
      <c r="H301" s="2606"/>
      <c r="I301" s="2606"/>
      <c r="J301" s="2606"/>
      <c r="K301" s="2606"/>
      <c r="L301" s="2606"/>
      <c r="M301" s="2606"/>
      <c r="N301" s="2606"/>
      <c r="O301" s="2606"/>
      <c r="P301" s="2606"/>
      <c r="Q301" s="2606"/>
      <c r="R301" s="2606"/>
      <c r="S301" s="2606"/>
      <c r="T301" s="2606"/>
      <c r="U301" s="2606"/>
      <c r="V301" s="2606"/>
      <c r="W301" s="2606"/>
      <c r="X301" s="2606"/>
      <c r="Y301" s="2606"/>
      <c r="Z301" s="2054" t="s">
        <v>686</v>
      </c>
      <c r="AA301" s="1731" t="s">
        <v>109</v>
      </c>
      <c r="AB301" s="1097" t="s">
        <v>1028</v>
      </c>
      <c r="AC301" s="1087">
        <v>174277.072626623</v>
      </c>
      <c r="AD301" s="1097" t="str">
        <f>AB301</f>
        <v xml:space="preserve">  Прочие</v>
      </c>
      <c r="AE301" s="1087"/>
      <c r="AF301" s="2625"/>
      <c r="AG301" s="2626"/>
      <c r="AH301" s="2626"/>
      <c r="AI301" s="2625"/>
      <c r="AJ301" s="2626"/>
      <c r="AK301" s="2627"/>
      <c r="AL301" s="1900"/>
      <c r="AM301" s="1738"/>
      <c r="AN301" s="1738"/>
      <c r="AO301" s="1738"/>
      <c r="AP301" s="1738"/>
      <c r="AQ301" s="1738"/>
      <c r="AR301" s="1738"/>
      <c r="AS301" s="1738"/>
      <c r="AT301" s="1738"/>
      <c r="AU301" s="1738"/>
      <c r="AV301" s="1738"/>
      <c r="AW301" s="1738"/>
      <c r="AX301" s="1738"/>
      <c r="AY301" s="1738"/>
      <c r="AZ301" s="1738"/>
      <c r="BA301" s="1738"/>
      <c r="BB301" s="1738"/>
      <c r="BC301" s="1738"/>
      <c r="BD301" s="1738"/>
      <c r="BE301" s="1738"/>
      <c r="BF301" s="1738"/>
    </row>
    <row r="302" spans="1:58" ht="11.25" customHeight="1">
      <c r="A302" s="1084" t="s">
        <v>992</v>
      </c>
      <c r="B302" s="1084"/>
      <c r="C302" s="1084"/>
      <c r="D302" s="1078"/>
      <c r="E302" s="1088"/>
      <c r="F302" s="2605"/>
      <c r="G302" s="2606"/>
      <c r="H302" s="2601" t="s">
        <v>147</v>
      </c>
      <c r="I302" s="2613"/>
      <c r="J302" s="2624"/>
      <c r="K302" s="2615"/>
      <c r="L302" s="2338"/>
      <c r="M302" s="2339"/>
      <c r="N302" s="2618"/>
      <c r="O302" s="2619"/>
      <c r="P302" s="2622"/>
      <c r="Q302" s="2573"/>
      <c r="R302" s="2573"/>
      <c r="S302" s="2623"/>
      <c r="T302" s="2573"/>
      <c r="U302" s="2573"/>
      <c r="V302" s="2573"/>
      <c r="W302" s="2573"/>
      <c r="X302" s="2573"/>
      <c r="Y302" s="2573"/>
      <c r="Z302" s="1093"/>
      <c r="AA302" s="1094"/>
      <c r="AB302" s="1159" t="s">
        <v>1029</v>
      </c>
      <c r="AC302" s="1098"/>
      <c r="AD302" s="1098"/>
      <c r="AE302" s="1100"/>
      <c r="AF302" s="2616"/>
      <c r="AG302" s="2617"/>
      <c r="AH302" s="2617"/>
      <c r="AI302" s="2616"/>
      <c r="AJ302" s="2617"/>
      <c r="AK302" s="2617"/>
      <c r="AL302" s="1900"/>
      <c r="AM302" s="1738"/>
      <c r="AN302" s="1738"/>
      <c r="AO302" s="1738"/>
      <c r="AP302" s="1738"/>
      <c r="AQ302" s="1738"/>
      <c r="AR302" s="1738"/>
      <c r="AS302" s="1738"/>
      <c r="AT302" s="1738"/>
      <c r="AU302" s="1738"/>
      <c r="AV302" s="1738"/>
      <c r="AW302" s="1738"/>
      <c r="AX302" s="1738"/>
      <c r="AY302" s="1738"/>
      <c r="AZ302" s="1738"/>
      <c r="BA302" s="1738"/>
      <c r="BB302" s="1738"/>
      <c r="BC302" s="1738"/>
      <c r="BD302" s="1738"/>
      <c r="BE302" s="1738"/>
      <c r="BF302" s="1738"/>
    </row>
    <row r="303" spans="1:58" ht="11.25" customHeight="1">
      <c r="A303" s="1084" t="s">
        <v>992</v>
      </c>
      <c r="B303" s="1084"/>
      <c r="C303" s="1084"/>
      <c r="D303" s="1078"/>
      <c r="E303" s="1088"/>
      <c r="F303" s="2605"/>
      <c r="G303" s="2606"/>
      <c r="H303" s="2601" t="s">
        <v>147</v>
      </c>
      <c r="I303" s="2613"/>
      <c r="J303" s="2624"/>
      <c r="K303" s="2615"/>
      <c r="L303" s="2338"/>
      <c r="M303" s="2339"/>
      <c r="N303" s="1093"/>
      <c r="O303" s="1094"/>
      <c r="P303" s="1086" t="s">
        <v>1030</v>
      </c>
      <c r="Q303" s="1094"/>
      <c r="R303" s="1094"/>
      <c r="S303" s="1094"/>
      <c r="T303" s="1094"/>
      <c r="U303" s="1094"/>
      <c r="V303" s="1094"/>
      <c r="W303" s="1094"/>
      <c r="X303" s="1094"/>
      <c r="Y303" s="1094"/>
      <c r="Z303" s="1094"/>
      <c r="AA303" s="1094"/>
      <c r="AB303" s="1094"/>
      <c r="AC303" s="1094"/>
      <c r="AD303" s="1094"/>
      <c r="AE303" s="1101"/>
      <c r="AF303" s="2616"/>
      <c r="AG303" s="2617"/>
      <c r="AH303" s="2617"/>
      <c r="AI303" s="2616"/>
      <c r="AJ303" s="2617"/>
      <c r="AK303" s="2617"/>
      <c r="AL303" s="1900"/>
      <c r="AM303" s="1738"/>
      <c r="AN303" s="1738"/>
      <c r="AO303" s="1738"/>
      <c r="AP303" s="1738"/>
      <c r="AQ303" s="1738"/>
      <c r="AR303" s="1738"/>
      <c r="AS303" s="1738"/>
      <c r="AT303" s="1738"/>
      <c r="AU303" s="1738"/>
      <c r="AV303" s="1738"/>
      <c r="AW303" s="1738"/>
      <c r="AX303" s="1738"/>
      <c r="AY303" s="1738"/>
      <c r="AZ303" s="1738"/>
      <c r="BA303" s="1738"/>
      <c r="BB303" s="1738"/>
      <c r="BC303" s="1738"/>
      <c r="BD303" s="1738"/>
      <c r="BE303" s="1738"/>
      <c r="BF303" s="1738"/>
    </row>
    <row r="304" spans="1:58" ht="85.5" customHeight="1">
      <c r="A304" s="1084" t="s">
        <v>992</v>
      </c>
      <c r="B304" s="1084" t="s">
        <v>1031</v>
      </c>
      <c r="C304" s="1084"/>
      <c r="D304" s="1078"/>
      <c r="E304" s="1088"/>
      <c r="F304" s="2605"/>
      <c r="G304" s="2590" t="s">
        <v>686</v>
      </c>
      <c r="H304" s="2601" t="s">
        <v>148</v>
      </c>
      <c r="I304" s="2613" t="s">
        <v>1032</v>
      </c>
      <c r="J304" s="2624" t="s">
        <v>1033</v>
      </c>
      <c r="K304" s="2615" t="s">
        <v>1046</v>
      </c>
      <c r="L304" s="2338" t="s">
        <v>19</v>
      </c>
      <c r="M304" s="2339"/>
      <c r="N304" s="1898"/>
      <c r="O304" s="1095" t="s">
        <v>373</v>
      </c>
      <c r="P304" s="1096"/>
      <c r="Q304" s="1096"/>
      <c r="R304" s="1096"/>
      <c r="S304" s="1096"/>
      <c r="T304" s="1096"/>
      <c r="U304" s="1096"/>
      <c r="V304" s="1096"/>
      <c r="W304" s="1096"/>
      <c r="X304" s="1096"/>
      <c r="Y304" s="1096"/>
      <c r="Z304" s="1096"/>
      <c r="AA304" s="1096"/>
      <c r="AB304" s="1096"/>
      <c r="AC304" s="1096"/>
      <c r="AD304" s="1096"/>
      <c r="AE304" s="1096"/>
      <c r="AF304" s="2616">
        <v>5</v>
      </c>
      <c r="AG304" s="2617" t="s">
        <v>1026</v>
      </c>
      <c r="AH304" s="2617" t="s">
        <v>1027</v>
      </c>
      <c r="AI304" s="2616"/>
      <c r="AJ304" s="2617"/>
      <c r="AK304" s="2617"/>
      <c r="AL304" s="1900"/>
      <c r="AM304" s="1738"/>
      <c r="AN304" s="1738"/>
      <c r="AO304" s="1738"/>
      <c r="AP304" s="1738"/>
      <c r="AQ304" s="1738"/>
      <c r="AR304" s="1738"/>
      <c r="AS304" s="1738"/>
      <c r="AT304" s="1738"/>
      <c r="AU304" s="1738"/>
      <c r="AV304" s="1738"/>
      <c r="AW304" s="1738"/>
      <c r="AX304" s="1738"/>
      <c r="AY304" s="1738"/>
      <c r="AZ304" s="1738"/>
      <c r="BA304" s="1738"/>
      <c r="BB304" s="1738"/>
      <c r="BC304" s="1738"/>
      <c r="BD304" s="1738"/>
      <c r="BE304" s="1738"/>
      <c r="BF304" s="1738"/>
    </row>
    <row r="305" spans="1:58" ht="21.75" customHeight="1">
      <c r="A305" s="1084" t="s">
        <v>992</v>
      </c>
      <c r="B305" s="1084"/>
      <c r="C305" s="1084"/>
      <c r="D305" s="1078"/>
      <c r="E305" s="1088"/>
      <c r="F305" s="2605"/>
      <c r="G305" s="2606"/>
      <c r="H305" s="2601" t="s">
        <v>148</v>
      </c>
      <c r="I305" s="2613"/>
      <c r="J305" s="2624"/>
      <c r="K305" s="2615"/>
      <c r="L305" s="2338"/>
      <c r="M305" s="2339"/>
      <c r="N305" s="2618"/>
      <c r="O305" s="2619">
        <v>1</v>
      </c>
      <c r="P305" s="2620" t="s">
        <v>19</v>
      </c>
      <c r="Q305" s="2573" t="s">
        <v>22</v>
      </c>
      <c r="R305" s="2573" t="s">
        <v>22</v>
      </c>
      <c r="S305" s="2573" t="s">
        <v>22</v>
      </c>
      <c r="T305" s="2573" t="s">
        <v>22</v>
      </c>
      <c r="U305" s="2573" t="s">
        <v>22</v>
      </c>
      <c r="V305" s="2573" t="s">
        <v>22</v>
      </c>
      <c r="W305" s="2573" t="s">
        <v>22</v>
      </c>
      <c r="X305" s="2573" t="s">
        <v>22</v>
      </c>
      <c r="Y305" s="2573"/>
      <c r="Z305" s="1093"/>
      <c r="AA305" s="1094"/>
      <c r="AB305" s="1094"/>
      <c r="AC305" s="1098"/>
      <c r="AD305" s="1098"/>
      <c r="AE305" s="1099"/>
      <c r="AF305" s="2616"/>
      <c r="AG305" s="2617"/>
      <c r="AH305" s="2617"/>
      <c r="AI305" s="2616"/>
      <c r="AJ305" s="2617"/>
      <c r="AK305" s="2617"/>
      <c r="AL305" s="1900"/>
      <c r="AM305" s="1738"/>
      <c r="AN305" s="1738"/>
      <c r="AO305" s="1738"/>
      <c r="AP305" s="1738"/>
      <c r="AQ305" s="1738"/>
      <c r="AR305" s="1738"/>
      <c r="AS305" s="1738"/>
      <c r="AT305" s="1738"/>
      <c r="AU305" s="1738"/>
      <c r="AV305" s="1738"/>
      <c r="AW305" s="1738"/>
      <c r="AX305" s="1738"/>
      <c r="AY305" s="1738"/>
      <c r="AZ305" s="1738"/>
      <c r="BA305" s="1738"/>
      <c r="BB305" s="1738"/>
      <c r="BC305" s="1738"/>
      <c r="BD305" s="1738"/>
      <c r="BE305" s="1738"/>
      <c r="BF305" s="1738"/>
    </row>
    <row r="306" spans="1:58" ht="39.75" customHeight="1">
      <c r="A306" s="1084" t="s">
        <v>992</v>
      </c>
      <c r="B306" s="1084"/>
      <c r="C306" s="1084"/>
      <c r="D306" s="1078"/>
      <c r="E306" s="1088"/>
      <c r="F306" s="2605"/>
      <c r="G306" s="2606"/>
      <c r="H306" s="2601" t="s">
        <v>148</v>
      </c>
      <c r="I306" s="2613"/>
      <c r="J306" s="2624"/>
      <c r="K306" s="2615"/>
      <c r="L306" s="2338"/>
      <c r="M306" s="2339"/>
      <c r="N306" s="2618"/>
      <c r="O306" s="2619"/>
      <c r="P306" s="2621"/>
      <c r="Q306" s="2573"/>
      <c r="R306" s="2573"/>
      <c r="S306" s="2623"/>
      <c r="T306" s="2573"/>
      <c r="U306" s="2573"/>
      <c r="V306" s="2573"/>
      <c r="W306" s="2573"/>
      <c r="X306" s="2573"/>
      <c r="Y306" s="2573"/>
      <c r="Z306" s="1743"/>
      <c r="AA306" s="1711">
        <v>1</v>
      </c>
      <c r="AB306" s="1097" t="s">
        <v>1036</v>
      </c>
      <c r="AC306" s="1087">
        <v>275806.17078633799</v>
      </c>
      <c r="AD306" s="1097" t="str">
        <f>AB306</f>
        <v xml:space="preserve">      Прочие амортизационные отчисления</v>
      </c>
      <c r="AE306" s="1087"/>
      <c r="AF306" s="2616"/>
      <c r="AG306" s="2617"/>
      <c r="AH306" s="2617"/>
      <c r="AI306" s="2616"/>
      <c r="AJ306" s="2617"/>
      <c r="AK306" s="2617"/>
      <c r="AL306" s="1900"/>
      <c r="AM306" s="1738"/>
      <c r="AN306" s="1738"/>
      <c r="AO306" s="1738"/>
      <c r="AP306" s="1738"/>
      <c r="AQ306" s="1738"/>
      <c r="AR306" s="1738"/>
      <c r="AS306" s="1738"/>
      <c r="AT306" s="1738"/>
      <c r="AU306" s="1738"/>
      <c r="AV306" s="1738"/>
      <c r="AW306" s="1738"/>
      <c r="AX306" s="1738"/>
      <c r="AY306" s="1738"/>
      <c r="AZ306" s="1738"/>
      <c r="BA306" s="1738"/>
      <c r="BB306" s="1738"/>
      <c r="BC306" s="1738"/>
      <c r="BD306" s="1738"/>
      <c r="BE306" s="1738"/>
      <c r="BF306" s="1738"/>
    </row>
    <row r="307" spans="1:58" ht="11.25" customHeight="1">
      <c r="A307" s="1084" t="s">
        <v>992</v>
      </c>
      <c r="B307" s="1084"/>
      <c r="C307" s="1084"/>
      <c r="D307" s="1078"/>
      <c r="E307" s="1088"/>
      <c r="F307" s="2606"/>
      <c r="G307" s="2606"/>
      <c r="H307" s="2606"/>
      <c r="I307" s="2606"/>
      <c r="J307" s="2606"/>
      <c r="K307" s="2606"/>
      <c r="L307" s="2606"/>
      <c r="M307" s="2606"/>
      <c r="N307" s="2606"/>
      <c r="O307" s="2606"/>
      <c r="P307" s="2606"/>
      <c r="Q307" s="2606"/>
      <c r="R307" s="2606"/>
      <c r="S307" s="2606"/>
      <c r="T307" s="2606"/>
      <c r="U307" s="2606"/>
      <c r="V307" s="2606"/>
      <c r="W307" s="2606"/>
      <c r="X307" s="2606"/>
      <c r="Y307" s="2606"/>
      <c r="Z307" s="2054" t="s">
        <v>686</v>
      </c>
      <c r="AA307" s="1731" t="s">
        <v>109</v>
      </c>
      <c r="AB307" s="1097" t="s">
        <v>1028</v>
      </c>
      <c r="AC307" s="1087">
        <v>319538.711213662</v>
      </c>
      <c r="AD307" s="1097" t="str">
        <f>AB307</f>
        <v xml:space="preserve">  Прочие</v>
      </c>
      <c r="AE307" s="1087"/>
      <c r="AF307" s="2625"/>
      <c r="AG307" s="2626"/>
      <c r="AH307" s="2626"/>
      <c r="AI307" s="2625"/>
      <c r="AJ307" s="2626"/>
      <c r="AK307" s="2627"/>
      <c r="AL307" s="1900"/>
      <c r="AM307" s="1738"/>
      <c r="AN307" s="1738"/>
      <c r="AO307" s="1738"/>
      <c r="AP307" s="1738"/>
      <c r="AQ307" s="1738"/>
      <c r="AR307" s="1738"/>
      <c r="AS307" s="1738"/>
      <c r="AT307" s="1738"/>
      <c r="AU307" s="1738"/>
      <c r="AV307" s="1738"/>
      <c r="AW307" s="1738"/>
      <c r="AX307" s="1738"/>
      <c r="AY307" s="1738"/>
      <c r="AZ307" s="1738"/>
      <c r="BA307" s="1738"/>
      <c r="BB307" s="1738"/>
      <c r="BC307" s="1738"/>
      <c r="BD307" s="1738"/>
      <c r="BE307" s="1738"/>
      <c r="BF307" s="1738"/>
    </row>
    <row r="308" spans="1:58" ht="22.5" customHeight="1">
      <c r="A308" s="1084" t="s">
        <v>992</v>
      </c>
      <c r="B308" s="1084"/>
      <c r="C308" s="1084"/>
      <c r="D308" s="1078"/>
      <c r="E308" s="1088"/>
      <c r="F308" s="2605"/>
      <c r="G308" s="2606"/>
      <c r="H308" s="2601" t="s">
        <v>148</v>
      </c>
      <c r="I308" s="2613"/>
      <c r="J308" s="2624"/>
      <c r="K308" s="2615"/>
      <c r="L308" s="2338"/>
      <c r="M308" s="2339"/>
      <c r="N308" s="2618"/>
      <c r="O308" s="2619"/>
      <c r="P308" s="2622"/>
      <c r="Q308" s="2573"/>
      <c r="R308" s="2573"/>
      <c r="S308" s="2623"/>
      <c r="T308" s="2573"/>
      <c r="U308" s="2573"/>
      <c r="V308" s="2573"/>
      <c r="W308" s="2573"/>
      <c r="X308" s="2573"/>
      <c r="Y308" s="2573"/>
      <c r="Z308" s="1093"/>
      <c r="AA308" s="1094"/>
      <c r="AB308" s="1159" t="s">
        <v>1029</v>
      </c>
      <c r="AC308" s="1098"/>
      <c r="AD308" s="1098"/>
      <c r="AE308" s="1100"/>
      <c r="AF308" s="2616"/>
      <c r="AG308" s="2617"/>
      <c r="AH308" s="2617"/>
      <c r="AI308" s="2616"/>
      <c r="AJ308" s="2617"/>
      <c r="AK308" s="2617"/>
      <c r="AL308" s="1900"/>
      <c r="AM308" s="1738"/>
      <c r="AN308" s="1738"/>
      <c r="AO308" s="1738"/>
      <c r="AP308" s="1738"/>
      <c r="AQ308" s="1738"/>
      <c r="AR308" s="1738"/>
      <c r="AS308" s="1738"/>
      <c r="AT308" s="1738"/>
      <c r="AU308" s="1738"/>
      <c r="AV308" s="1738"/>
      <c r="AW308" s="1738"/>
      <c r="AX308" s="1738"/>
      <c r="AY308" s="1738"/>
      <c r="AZ308" s="1738"/>
      <c r="BA308" s="1738"/>
      <c r="BB308" s="1738"/>
      <c r="BC308" s="1738"/>
      <c r="BD308" s="1738"/>
      <c r="BE308" s="1738"/>
      <c r="BF308" s="1738"/>
    </row>
    <row r="309" spans="1:58" ht="44.25" customHeight="1">
      <c r="A309" s="1084" t="s">
        <v>992</v>
      </c>
      <c r="B309" s="1084"/>
      <c r="C309" s="1084"/>
      <c r="D309" s="1078"/>
      <c r="E309" s="1088"/>
      <c r="F309" s="2605"/>
      <c r="G309" s="2606"/>
      <c r="H309" s="2601" t="s">
        <v>148</v>
      </c>
      <c r="I309" s="2613"/>
      <c r="J309" s="2624"/>
      <c r="K309" s="2615"/>
      <c r="L309" s="2338"/>
      <c r="M309" s="2339"/>
      <c r="N309" s="1093"/>
      <c r="O309" s="1094"/>
      <c r="P309" s="1086" t="s">
        <v>1030</v>
      </c>
      <c r="Q309" s="1094"/>
      <c r="R309" s="1094"/>
      <c r="S309" s="1094"/>
      <c r="T309" s="1094"/>
      <c r="U309" s="1094"/>
      <c r="V309" s="1094"/>
      <c r="W309" s="1094"/>
      <c r="X309" s="1094"/>
      <c r="Y309" s="1094"/>
      <c r="Z309" s="1094"/>
      <c r="AA309" s="1094"/>
      <c r="AB309" s="1094"/>
      <c r="AC309" s="1094"/>
      <c r="AD309" s="1094"/>
      <c r="AE309" s="1101"/>
      <c r="AF309" s="2616"/>
      <c r="AG309" s="2617"/>
      <c r="AH309" s="2617"/>
      <c r="AI309" s="2616"/>
      <c r="AJ309" s="2617"/>
      <c r="AK309" s="2617"/>
      <c r="AL309" s="1900"/>
      <c r="AM309" s="1738"/>
      <c r="AN309" s="1738"/>
      <c r="AO309" s="1738"/>
      <c r="AP309" s="1738"/>
      <c r="AQ309" s="1738"/>
      <c r="AR309" s="1738"/>
      <c r="AS309" s="1738"/>
      <c r="AT309" s="1738"/>
      <c r="AU309" s="1738"/>
      <c r="AV309" s="1738"/>
      <c r="AW309" s="1738"/>
      <c r="AX309" s="1738"/>
      <c r="AY309" s="1738"/>
      <c r="AZ309" s="1738"/>
      <c r="BA309" s="1738"/>
      <c r="BB309" s="1738"/>
      <c r="BC309" s="1738"/>
      <c r="BD309" s="1738"/>
      <c r="BE309" s="1738"/>
      <c r="BF309" s="1738"/>
    </row>
    <row r="310" spans="1:58" ht="11.25" customHeight="1">
      <c r="A310" s="1084" t="s">
        <v>992</v>
      </c>
      <c r="B310" s="1084" t="s">
        <v>1031</v>
      </c>
      <c r="C310" s="1084"/>
      <c r="D310" s="1078"/>
      <c r="E310" s="1088"/>
      <c r="F310" s="2605"/>
      <c r="G310" s="2590" t="s">
        <v>686</v>
      </c>
      <c r="H310" s="2601" t="s">
        <v>149</v>
      </c>
      <c r="I310" s="2613" t="s">
        <v>1032</v>
      </c>
      <c r="J310" s="2624" t="s">
        <v>1033</v>
      </c>
      <c r="K310" s="2615" t="s">
        <v>1049</v>
      </c>
      <c r="L310" s="2338" t="s">
        <v>19</v>
      </c>
      <c r="M310" s="2339"/>
      <c r="N310" s="1898"/>
      <c r="O310" s="1095" t="s">
        <v>373</v>
      </c>
      <c r="P310" s="1096"/>
      <c r="Q310" s="1096"/>
      <c r="R310" s="1096"/>
      <c r="S310" s="1096"/>
      <c r="T310" s="1096"/>
      <c r="U310" s="1096"/>
      <c r="V310" s="1096"/>
      <c r="W310" s="1096"/>
      <c r="X310" s="1096"/>
      <c r="Y310" s="1096"/>
      <c r="Z310" s="1096"/>
      <c r="AA310" s="1096"/>
      <c r="AB310" s="1096"/>
      <c r="AC310" s="1096"/>
      <c r="AD310" s="1096"/>
      <c r="AE310" s="1096"/>
      <c r="AF310" s="2616">
        <v>3</v>
      </c>
      <c r="AG310" s="2617" t="s">
        <v>1026</v>
      </c>
      <c r="AH310" s="2617" t="s">
        <v>1038</v>
      </c>
      <c r="AI310" s="2616"/>
      <c r="AJ310" s="2617"/>
      <c r="AK310" s="2617"/>
      <c r="AL310" s="1900"/>
      <c r="AM310" s="1738"/>
      <c r="AN310" s="1738"/>
      <c r="AO310" s="1738"/>
      <c r="AP310" s="1738"/>
      <c r="AQ310" s="1738"/>
      <c r="AR310" s="1738"/>
      <c r="AS310" s="1738"/>
      <c r="AT310" s="1738"/>
      <c r="AU310" s="1738"/>
      <c r="AV310" s="1738"/>
      <c r="AW310" s="1738"/>
      <c r="AX310" s="1738"/>
      <c r="AY310" s="1738"/>
      <c r="AZ310" s="1738"/>
      <c r="BA310" s="1738"/>
      <c r="BB310" s="1738"/>
      <c r="BC310" s="1738"/>
      <c r="BD310" s="1738"/>
      <c r="BE310" s="1738"/>
      <c r="BF310" s="1738"/>
    </row>
    <row r="311" spans="1:58" ht="11.25" customHeight="1">
      <c r="A311" s="1084" t="s">
        <v>992</v>
      </c>
      <c r="B311" s="1084"/>
      <c r="C311" s="1084"/>
      <c r="D311" s="1078"/>
      <c r="E311" s="1088"/>
      <c r="F311" s="2605"/>
      <c r="G311" s="2606"/>
      <c r="H311" s="2601" t="s">
        <v>149</v>
      </c>
      <c r="I311" s="2613"/>
      <c r="J311" s="2624"/>
      <c r="K311" s="2615"/>
      <c r="L311" s="2338"/>
      <c r="M311" s="2339"/>
      <c r="N311" s="2618"/>
      <c r="O311" s="2619">
        <v>1</v>
      </c>
      <c r="P311" s="2620" t="s">
        <v>19</v>
      </c>
      <c r="Q311" s="2573" t="s">
        <v>22</v>
      </c>
      <c r="R311" s="2573" t="s">
        <v>22</v>
      </c>
      <c r="S311" s="2573" t="s">
        <v>22</v>
      </c>
      <c r="T311" s="2573" t="s">
        <v>22</v>
      </c>
      <c r="U311" s="2573" t="s">
        <v>22</v>
      </c>
      <c r="V311" s="2573" t="s">
        <v>22</v>
      </c>
      <c r="W311" s="2573" t="s">
        <v>22</v>
      </c>
      <c r="X311" s="2573" t="s">
        <v>22</v>
      </c>
      <c r="Y311" s="2573"/>
      <c r="Z311" s="1093"/>
      <c r="AA311" s="1094"/>
      <c r="AB311" s="1094"/>
      <c r="AC311" s="1098"/>
      <c r="AD311" s="1098"/>
      <c r="AE311" s="1099"/>
      <c r="AF311" s="2616"/>
      <c r="AG311" s="2617"/>
      <c r="AH311" s="2617"/>
      <c r="AI311" s="2616"/>
      <c r="AJ311" s="2617"/>
      <c r="AK311" s="2617"/>
      <c r="AL311" s="1900"/>
      <c r="AM311" s="1738"/>
      <c r="AN311" s="1738"/>
      <c r="AO311" s="1738"/>
      <c r="AP311" s="1738"/>
      <c r="AQ311" s="1738"/>
      <c r="AR311" s="1738"/>
      <c r="AS311" s="1738"/>
      <c r="AT311" s="1738"/>
      <c r="AU311" s="1738"/>
      <c r="AV311" s="1738"/>
      <c r="AW311" s="1738"/>
      <c r="AX311" s="1738"/>
      <c r="AY311" s="1738"/>
      <c r="AZ311" s="1738"/>
      <c r="BA311" s="1738"/>
      <c r="BB311" s="1738"/>
      <c r="BC311" s="1738"/>
      <c r="BD311" s="1738"/>
      <c r="BE311" s="1738"/>
      <c r="BF311" s="1738"/>
    </row>
    <row r="312" spans="1:58" ht="11.25" customHeight="1">
      <c r="A312" s="1084" t="s">
        <v>992</v>
      </c>
      <c r="B312" s="1084"/>
      <c r="C312" s="1084"/>
      <c r="D312" s="1078"/>
      <c r="E312" s="1088"/>
      <c r="F312" s="2605"/>
      <c r="G312" s="2606"/>
      <c r="H312" s="2601" t="s">
        <v>149</v>
      </c>
      <c r="I312" s="2613"/>
      <c r="J312" s="2624"/>
      <c r="K312" s="2615"/>
      <c r="L312" s="2338"/>
      <c r="M312" s="2339"/>
      <c r="N312" s="2618"/>
      <c r="O312" s="2619"/>
      <c r="P312" s="2621"/>
      <c r="Q312" s="2573"/>
      <c r="R312" s="2573"/>
      <c r="S312" s="2623"/>
      <c r="T312" s="2573"/>
      <c r="U312" s="2573"/>
      <c r="V312" s="2573"/>
      <c r="W312" s="2573"/>
      <c r="X312" s="2573"/>
      <c r="Y312" s="2573"/>
      <c r="Z312" s="1743"/>
      <c r="AA312" s="1711">
        <v>1</v>
      </c>
      <c r="AB312" s="1097" t="s">
        <v>1028</v>
      </c>
      <c r="AC312" s="1087">
        <v>326003.58</v>
      </c>
      <c r="AD312" s="1097" t="str">
        <f>AB312</f>
        <v xml:space="preserve">  Прочие</v>
      </c>
      <c r="AE312" s="1087"/>
      <c r="AF312" s="2616"/>
      <c r="AG312" s="2617"/>
      <c r="AH312" s="2617"/>
      <c r="AI312" s="2616"/>
      <c r="AJ312" s="2617"/>
      <c r="AK312" s="2617"/>
      <c r="AL312" s="1900"/>
      <c r="AM312" s="1738"/>
      <c r="AN312" s="1738"/>
      <c r="AO312" s="1738"/>
      <c r="AP312" s="1738"/>
      <c r="AQ312" s="1738"/>
      <c r="AR312" s="1738"/>
      <c r="AS312" s="1738"/>
      <c r="AT312" s="1738"/>
      <c r="AU312" s="1738"/>
      <c r="AV312" s="1738"/>
      <c r="AW312" s="1738"/>
      <c r="AX312" s="1738"/>
      <c r="AY312" s="1738"/>
      <c r="AZ312" s="1738"/>
      <c r="BA312" s="1738"/>
      <c r="BB312" s="1738"/>
      <c r="BC312" s="1738"/>
      <c r="BD312" s="1738"/>
      <c r="BE312" s="1738"/>
      <c r="BF312" s="1738"/>
    </row>
    <row r="313" spans="1:58" ht="11.25" customHeight="1">
      <c r="A313" s="1084" t="s">
        <v>992</v>
      </c>
      <c r="B313" s="1084"/>
      <c r="C313" s="1084"/>
      <c r="D313" s="1078"/>
      <c r="E313" s="1088"/>
      <c r="F313" s="2605"/>
      <c r="G313" s="2606"/>
      <c r="H313" s="2601" t="s">
        <v>149</v>
      </c>
      <c r="I313" s="2613"/>
      <c r="J313" s="2624"/>
      <c r="K313" s="2615"/>
      <c r="L313" s="2338"/>
      <c r="M313" s="2339"/>
      <c r="N313" s="2618"/>
      <c r="O313" s="2619"/>
      <c r="P313" s="2622"/>
      <c r="Q313" s="2573"/>
      <c r="R313" s="2573"/>
      <c r="S313" s="2623"/>
      <c r="T313" s="2573"/>
      <c r="U313" s="2573"/>
      <c r="V313" s="2573"/>
      <c r="W313" s="2573"/>
      <c r="X313" s="2573"/>
      <c r="Y313" s="2573"/>
      <c r="Z313" s="1093"/>
      <c r="AA313" s="1094"/>
      <c r="AB313" s="1159" t="s">
        <v>1029</v>
      </c>
      <c r="AC313" s="1098"/>
      <c r="AD313" s="1098"/>
      <c r="AE313" s="1100"/>
      <c r="AF313" s="2616"/>
      <c r="AG313" s="2617"/>
      <c r="AH313" s="2617"/>
      <c r="AI313" s="2616"/>
      <c r="AJ313" s="2617"/>
      <c r="AK313" s="2617"/>
      <c r="AL313" s="1900"/>
      <c r="AM313" s="1738"/>
      <c r="AN313" s="1738"/>
      <c r="AO313" s="1738"/>
      <c r="AP313" s="1738"/>
      <c r="AQ313" s="1738"/>
      <c r="AR313" s="1738"/>
      <c r="AS313" s="1738"/>
      <c r="AT313" s="1738"/>
      <c r="AU313" s="1738"/>
      <c r="AV313" s="1738"/>
      <c r="AW313" s="1738"/>
      <c r="AX313" s="1738"/>
      <c r="AY313" s="1738"/>
      <c r="AZ313" s="1738"/>
      <c r="BA313" s="1738"/>
      <c r="BB313" s="1738"/>
      <c r="BC313" s="1738"/>
      <c r="BD313" s="1738"/>
      <c r="BE313" s="1738"/>
      <c r="BF313" s="1738"/>
    </row>
    <row r="314" spans="1:58" ht="11.25" customHeight="1">
      <c r="A314" s="1084" t="s">
        <v>992</v>
      </c>
      <c r="B314" s="1084"/>
      <c r="C314" s="1084"/>
      <c r="D314" s="1078"/>
      <c r="E314" s="1088"/>
      <c r="F314" s="2605"/>
      <c r="G314" s="2606"/>
      <c r="H314" s="2601" t="s">
        <v>149</v>
      </c>
      <c r="I314" s="2613"/>
      <c r="J314" s="2624"/>
      <c r="K314" s="2615"/>
      <c r="L314" s="2338"/>
      <c r="M314" s="2339"/>
      <c r="N314" s="1093"/>
      <c r="O314" s="1094"/>
      <c r="P314" s="1086" t="s">
        <v>1030</v>
      </c>
      <c r="Q314" s="1094"/>
      <c r="R314" s="1094"/>
      <c r="S314" s="1094"/>
      <c r="T314" s="1094"/>
      <c r="U314" s="1094"/>
      <c r="V314" s="1094"/>
      <c r="W314" s="1094"/>
      <c r="X314" s="1094"/>
      <c r="Y314" s="1094"/>
      <c r="Z314" s="1094"/>
      <c r="AA314" s="1094"/>
      <c r="AB314" s="1094"/>
      <c r="AC314" s="1094"/>
      <c r="AD314" s="1094"/>
      <c r="AE314" s="1101"/>
      <c r="AF314" s="2616"/>
      <c r="AG314" s="2617"/>
      <c r="AH314" s="2617"/>
      <c r="AI314" s="2616"/>
      <c r="AJ314" s="2617"/>
      <c r="AK314" s="2617"/>
      <c r="AL314" s="1900"/>
      <c r="AM314" s="1738"/>
      <c r="AN314" s="1738"/>
      <c r="AO314" s="1738"/>
      <c r="AP314" s="1738"/>
      <c r="AQ314" s="1738"/>
      <c r="AR314" s="1738"/>
      <c r="AS314" s="1738"/>
      <c r="AT314" s="1738"/>
      <c r="AU314" s="1738"/>
      <c r="AV314" s="1738"/>
      <c r="AW314" s="1738"/>
      <c r="AX314" s="1738"/>
      <c r="AY314" s="1738"/>
      <c r="AZ314" s="1738"/>
      <c r="BA314" s="1738"/>
      <c r="BB314" s="1738"/>
      <c r="BC314" s="1738"/>
      <c r="BD314" s="1738"/>
      <c r="BE314" s="1738"/>
      <c r="BF314" s="1738"/>
    </row>
    <row r="315" spans="1:58" ht="11.25" customHeight="1">
      <c r="A315" s="1084" t="s">
        <v>992</v>
      </c>
      <c r="B315" s="1084" t="s">
        <v>1031</v>
      </c>
      <c r="C315" s="1084"/>
      <c r="D315" s="1078"/>
      <c r="E315" s="1088"/>
      <c r="F315" s="2605"/>
      <c r="G315" s="2590" t="s">
        <v>686</v>
      </c>
      <c r="H315" s="2601" t="s">
        <v>150</v>
      </c>
      <c r="I315" s="2613" t="s">
        <v>1032</v>
      </c>
      <c r="J315" s="2624" t="s">
        <v>1033</v>
      </c>
      <c r="K315" s="2615" t="s">
        <v>1075</v>
      </c>
      <c r="L315" s="2338" t="s">
        <v>19</v>
      </c>
      <c r="M315" s="2339"/>
      <c r="N315" s="1898"/>
      <c r="O315" s="1095" t="s">
        <v>373</v>
      </c>
      <c r="P315" s="1096"/>
      <c r="Q315" s="1096"/>
      <c r="R315" s="1096"/>
      <c r="S315" s="1096"/>
      <c r="T315" s="1096"/>
      <c r="U315" s="1096"/>
      <c r="V315" s="1096"/>
      <c r="W315" s="1096"/>
      <c r="X315" s="1096"/>
      <c r="Y315" s="1096"/>
      <c r="Z315" s="1096"/>
      <c r="AA315" s="1096"/>
      <c r="AB315" s="1096"/>
      <c r="AC315" s="1096"/>
      <c r="AD315" s="1096"/>
      <c r="AE315" s="1096"/>
      <c r="AF315" s="2616">
        <v>3</v>
      </c>
      <c r="AG315" s="2617" t="s">
        <v>1026</v>
      </c>
      <c r="AH315" s="2617" t="s">
        <v>1027</v>
      </c>
      <c r="AI315" s="2616"/>
      <c r="AJ315" s="2617"/>
      <c r="AK315" s="2617"/>
      <c r="AL315" s="1900"/>
      <c r="AM315" s="1738"/>
      <c r="AN315" s="1738"/>
      <c r="AO315" s="1738"/>
      <c r="AP315" s="1738"/>
      <c r="AQ315" s="1738"/>
      <c r="AR315" s="1738"/>
      <c r="AS315" s="1738"/>
      <c r="AT315" s="1738"/>
      <c r="AU315" s="1738"/>
      <c r="AV315" s="1738"/>
      <c r="AW315" s="1738"/>
      <c r="AX315" s="1738"/>
      <c r="AY315" s="1738"/>
      <c r="AZ315" s="1738"/>
      <c r="BA315" s="1738"/>
      <c r="BB315" s="1738"/>
      <c r="BC315" s="1738"/>
      <c r="BD315" s="1738"/>
      <c r="BE315" s="1738"/>
      <c r="BF315" s="1738"/>
    </row>
    <row r="316" spans="1:58" ht="11.25" customHeight="1">
      <c r="A316" s="1084" t="s">
        <v>992</v>
      </c>
      <c r="B316" s="1084"/>
      <c r="C316" s="1084"/>
      <c r="D316" s="1078"/>
      <c r="E316" s="1088"/>
      <c r="F316" s="2605"/>
      <c r="G316" s="2606"/>
      <c r="H316" s="2601" t="s">
        <v>150</v>
      </c>
      <c r="I316" s="2613"/>
      <c r="J316" s="2624"/>
      <c r="K316" s="2615"/>
      <c r="L316" s="2338"/>
      <c r="M316" s="2339"/>
      <c r="N316" s="2618"/>
      <c r="O316" s="2619">
        <v>1</v>
      </c>
      <c r="P316" s="2620" t="s">
        <v>19</v>
      </c>
      <c r="Q316" s="2573" t="s">
        <v>22</v>
      </c>
      <c r="R316" s="2573" t="s">
        <v>22</v>
      </c>
      <c r="S316" s="2573" t="s">
        <v>22</v>
      </c>
      <c r="T316" s="2573" t="s">
        <v>22</v>
      </c>
      <c r="U316" s="2573" t="s">
        <v>22</v>
      </c>
      <c r="V316" s="2573" t="s">
        <v>22</v>
      </c>
      <c r="W316" s="2573" t="s">
        <v>22</v>
      </c>
      <c r="X316" s="2573" t="s">
        <v>22</v>
      </c>
      <c r="Y316" s="2573"/>
      <c r="Z316" s="1093"/>
      <c r="AA316" s="1094"/>
      <c r="AB316" s="1094"/>
      <c r="AC316" s="1098"/>
      <c r="AD316" s="1098"/>
      <c r="AE316" s="1099"/>
      <c r="AF316" s="2616"/>
      <c r="AG316" s="2617"/>
      <c r="AH316" s="2617"/>
      <c r="AI316" s="2616"/>
      <c r="AJ316" s="2617"/>
      <c r="AK316" s="2617"/>
      <c r="AL316" s="1900"/>
      <c r="AM316" s="1738"/>
      <c r="AN316" s="1738"/>
      <c r="AO316" s="1738"/>
      <c r="AP316" s="1738"/>
      <c r="AQ316" s="1738"/>
      <c r="AR316" s="1738"/>
      <c r="AS316" s="1738"/>
      <c r="AT316" s="1738"/>
      <c r="AU316" s="1738"/>
      <c r="AV316" s="1738"/>
      <c r="AW316" s="1738"/>
      <c r="AX316" s="1738"/>
      <c r="AY316" s="1738"/>
      <c r="AZ316" s="1738"/>
      <c r="BA316" s="1738"/>
      <c r="BB316" s="1738"/>
      <c r="BC316" s="1738"/>
      <c r="BD316" s="1738"/>
      <c r="BE316" s="1738"/>
      <c r="BF316" s="1738"/>
    </row>
    <row r="317" spans="1:58" ht="11.25" customHeight="1">
      <c r="A317" s="1084" t="s">
        <v>992</v>
      </c>
      <c r="B317" s="1084"/>
      <c r="C317" s="1084"/>
      <c r="D317" s="1078"/>
      <c r="E317" s="1088"/>
      <c r="F317" s="2605"/>
      <c r="G317" s="2606"/>
      <c r="H317" s="2601" t="s">
        <v>150</v>
      </c>
      <c r="I317" s="2613"/>
      <c r="J317" s="2624"/>
      <c r="K317" s="2615"/>
      <c r="L317" s="2338"/>
      <c r="M317" s="2339"/>
      <c r="N317" s="2618"/>
      <c r="O317" s="2619"/>
      <c r="P317" s="2621"/>
      <c r="Q317" s="2573"/>
      <c r="R317" s="2573"/>
      <c r="S317" s="2623"/>
      <c r="T317" s="2573"/>
      <c r="U317" s="2573"/>
      <c r="V317" s="2573"/>
      <c r="W317" s="2573"/>
      <c r="X317" s="2573"/>
      <c r="Y317" s="2573"/>
      <c r="Z317" s="1743"/>
      <c r="AA317" s="1711">
        <v>1</v>
      </c>
      <c r="AB317" s="1097" t="s">
        <v>1028</v>
      </c>
      <c r="AC317" s="1087">
        <v>24819.747859848299</v>
      </c>
      <c r="AD317" s="1097" t="str">
        <f>AB317</f>
        <v xml:space="preserve">  Прочие</v>
      </c>
      <c r="AE317" s="1087"/>
      <c r="AF317" s="2616"/>
      <c r="AG317" s="2617"/>
      <c r="AH317" s="2617"/>
      <c r="AI317" s="2616"/>
      <c r="AJ317" s="2617"/>
      <c r="AK317" s="2617"/>
      <c r="AL317" s="1900"/>
      <c r="AM317" s="1738"/>
      <c r="AN317" s="1738"/>
      <c r="AO317" s="1738"/>
      <c r="AP317" s="1738"/>
      <c r="AQ317" s="1738"/>
      <c r="AR317" s="1738"/>
      <c r="AS317" s="1738"/>
      <c r="AT317" s="1738"/>
      <c r="AU317" s="1738"/>
      <c r="AV317" s="1738"/>
      <c r="AW317" s="1738"/>
      <c r="AX317" s="1738"/>
      <c r="AY317" s="1738"/>
      <c r="AZ317" s="1738"/>
      <c r="BA317" s="1738"/>
      <c r="BB317" s="1738"/>
      <c r="BC317" s="1738"/>
      <c r="BD317" s="1738"/>
      <c r="BE317" s="1738"/>
      <c r="BF317" s="1738"/>
    </row>
    <row r="318" spans="1:58" ht="11.25" customHeight="1">
      <c r="A318" s="1084" t="s">
        <v>992</v>
      </c>
      <c r="B318" s="1084"/>
      <c r="C318" s="1084"/>
      <c r="D318" s="1078"/>
      <c r="E318" s="1088"/>
      <c r="F318" s="2605"/>
      <c r="G318" s="2606"/>
      <c r="H318" s="2601" t="s">
        <v>150</v>
      </c>
      <c r="I318" s="2613"/>
      <c r="J318" s="2624"/>
      <c r="K318" s="2615"/>
      <c r="L318" s="2338"/>
      <c r="M318" s="2339"/>
      <c r="N318" s="2618"/>
      <c r="O318" s="2619"/>
      <c r="P318" s="2622"/>
      <c r="Q318" s="2573"/>
      <c r="R318" s="2573"/>
      <c r="S318" s="2623"/>
      <c r="T318" s="2573"/>
      <c r="U318" s="2573"/>
      <c r="V318" s="2573"/>
      <c r="W318" s="2573"/>
      <c r="X318" s="2573"/>
      <c r="Y318" s="2573"/>
      <c r="Z318" s="1093"/>
      <c r="AA318" s="1094"/>
      <c r="AB318" s="1159" t="s">
        <v>1029</v>
      </c>
      <c r="AC318" s="1098"/>
      <c r="AD318" s="1098"/>
      <c r="AE318" s="1100"/>
      <c r="AF318" s="2616"/>
      <c r="AG318" s="2617"/>
      <c r="AH318" s="2617"/>
      <c r="AI318" s="2616"/>
      <c r="AJ318" s="2617"/>
      <c r="AK318" s="2617"/>
      <c r="AL318" s="1900"/>
      <c r="AM318" s="1738"/>
      <c r="AN318" s="1738"/>
      <c r="AO318" s="1738"/>
      <c r="AP318" s="1738"/>
      <c r="AQ318" s="1738"/>
      <c r="AR318" s="1738"/>
      <c r="AS318" s="1738"/>
      <c r="AT318" s="1738"/>
      <c r="AU318" s="1738"/>
      <c r="AV318" s="1738"/>
      <c r="AW318" s="1738"/>
      <c r="AX318" s="1738"/>
      <c r="AY318" s="1738"/>
      <c r="AZ318" s="1738"/>
      <c r="BA318" s="1738"/>
      <c r="BB318" s="1738"/>
      <c r="BC318" s="1738"/>
      <c r="BD318" s="1738"/>
      <c r="BE318" s="1738"/>
      <c r="BF318" s="1738"/>
    </row>
    <row r="319" spans="1:58" ht="11.25" customHeight="1">
      <c r="A319" s="1084" t="s">
        <v>992</v>
      </c>
      <c r="B319" s="1084"/>
      <c r="C319" s="1084"/>
      <c r="D319" s="1078"/>
      <c r="E319" s="1088"/>
      <c r="F319" s="2605"/>
      <c r="G319" s="2606"/>
      <c r="H319" s="2601" t="s">
        <v>150</v>
      </c>
      <c r="I319" s="2613"/>
      <c r="J319" s="2624"/>
      <c r="K319" s="2615"/>
      <c r="L319" s="2338"/>
      <c r="M319" s="2339"/>
      <c r="N319" s="1093"/>
      <c r="O319" s="1094"/>
      <c r="P319" s="1086" t="s">
        <v>1030</v>
      </c>
      <c r="Q319" s="1094"/>
      <c r="R319" s="1094"/>
      <c r="S319" s="1094"/>
      <c r="T319" s="1094"/>
      <c r="U319" s="1094"/>
      <c r="V319" s="1094"/>
      <c r="W319" s="1094"/>
      <c r="X319" s="1094"/>
      <c r="Y319" s="1094"/>
      <c r="Z319" s="1094"/>
      <c r="AA319" s="1094"/>
      <c r="AB319" s="1094"/>
      <c r="AC319" s="1094"/>
      <c r="AD319" s="1094"/>
      <c r="AE319" s="1101"/>
      <c r="AF319" s="2616"/>
      <c r="AG319" s="2617"/>
      <c r="AH319" s="2617"/>
      <c r="AI319" s="2616"/>
      <c r="AJ319" s="2617"/>
      <c r="AK319" s="2617"/>
      <c r="AL319" s="1900"/>
      <c r="AM319" s="1738"/>
      <c r="AN319" s="1738"/>
      <c r="AO319" s="1738"/>
      <c r="AP319" s="1738"/>
      <c r="AQ319" s="1738"/>
      <c r="AR319" s="1738"/>
      <c r="AS319" s="1738"/>
      <c r="AT319" s="1738"/>
      <c r="AU319" s="1738"/>
      <c r="AV319" s="1738"/>
      <c r="AW319" s="1738"/>
      <c r="AX319" s="1738"/>
      <c r="AY319" s="1738"/>
      <c r="AZ319" s="1738"/>
      <c r="BA319" s="1738"/>
      <c r="BB319" s="1738"/>
      <c r="BC319" s="1738"/>
      <c r="BD319" s="1738"/>
      <c r="BE319" s="1738"/>
      <c r="BF319" s="1738"/>
    </row>
    <row r="320" spans="1:58" ht="11.25" customHeight="1">
      <c r="A320" s="1084" t="s">
        <v>992</v>
      </c>
      <c r="B320" s="1084" t="s">
        <v>1031</v>
      </c>
      <c r="C320" s="1084"/>
      <c r="D320" s="1078"/>
      <c r="E320" s="1088"/>
      <c r="F320" s="2605"/>
      <c r="G320" s="2590" t="s">
        <v>686</v>
      </c>
      <c r="H320" s="2601" t="s">
        <v>151</v>
      </c>
      <c r="I320" s="2613" t="s">
        <v>1032</v>
      </c>
      <c r="J320" s="2624" t="s">
        <v>1033</v>
      </c>
      <c r="K320" s="2615" t="s">
        <v>1076</v>
      </c>
      <c r="L320" s="2338" t="s">
        <v>19</v>
      </c>
      <c r="M320" s="2339"/>
      <c r="N320" s="1898"/>
      <c r="O320" s="1095" t="s">
        <v>373</v>
      </c>
      <c r="P320" s="1096"/>
      <c r="Q320" s="1096"/>
      <c r="R320" s="1096"/>
      <c r="S320" s="1096"/>
      <c r="T320" s="1096"/>
      <c r="U320" s="1096"/>
      <c r="V320" s="1096"/>
      <c r="W320" s="1096"/>
      <c r="X320" s="1096"/>
      <c r="Y320" s="1096"/>
      <c r="Z320" s="1096"/>
      <c r="AA320" s="1096"/>
      <c r="AB320" s="1096"/>
      <c r="AC320" s="1096"/>
      <c r="AD320" s="1096"/>
      <c r="AE320" s="1096"/>
      <c r="AF320" s="2616">
        <v>2</v>
      </c>
      <c r="AG320" s="2617" t="s">
        <v>1026</v>
      </c>
      <c r="AH320" s="2617" t="s">
        <v>1038</v>
      </c>
      <c r="AI320" s="2616"/>
      <c r="AJ320" s="2617"/>
      <c r="AK320" s="2617"/>
      <c r="AL320" s="1900"/>
      <c r="AM320" s="1738"/>
      <c r="AN320" s="1738"/>
      <c r="AO320" s="1738"/>
      <c r="AP320" s="1738"/>
      <c r="AQ320" s="1738"/>
      <c r="AR320" s="1738"/>
      <c r="AS320" s="1738"/>
      <c r="AT320" s="1738"/>
      <c r="AU320" s="1738"/>
      <c r="AV320" s="1738"/>
      <c r="AW320" s="1738"/>
      <c r="AX320" s="1738"/>
      <c r="AY320" s="1738"/>
      <c r="AZ320" s="1738"/>
      <c r="BA320" s="1738"/>
      <c r="BB320" s="1738"/>
      <c r="BC320" s="1738"/>
      <c r="BD320" s="1738"/>
      <c r="BE320" s="1738"/>
      <c r="BF320" s="1738"/>
    </row>
    <row r="321" spans="1:58" ht="11.25" customHeight="1">
      <c r="A321" s="1084" t="s">
        <v>992</v>
      </c>
      <c r="B321" s="1084"/>
      <c r="C321" s="1084"/>
      <c r="D321" s="1078"/>
      <c r="E321" s="1088"/>
      <c r="F321" s="2605"/>
      <c r="G321" s="2606"/>
      <c r="H321" s="2601" t="s">
        <v>151</v>
      </c>
      <c r="I321" s="2613"/>
      <c r="J321" s="2624"/>
      <c r="K321" s="2615"/>
      <c r="L321" s="2338"/>
      <c r="M321" s="2339"/>
      <c r="N321" s="2618"/>
      <c r="O321" s="2619">
        <v>1</v>
      </c>
      <c r="P321" s="2620" t="s">
        <v>19</v>
      </c>
      <c r="Q321" s="2573" t="s">
        <v>22</v>
      </c>
      <c r="R321" s="2573" t="s">
        <v>22</v>
      </c>
      <c r="S321" s="2573" t="s">
        <v>22</v>
      </c>
      <c r="T321" s="2573" t="s">
        <v>22</v>
      </c>
      <c r="U321" s="2573" t="s">
        <v>22</v>
      </c>
      <c r="V321" s="2573" t="s">
        <v>22</v>
      </c>
      <c r="W321" s="2573" t="s">
        <v>22</v>
      </c>
      <c r="X321" s="2573" t="s">
        <v>22</v>
      </c>
      <c r="Y321" s="2573"/>
      <c r="Z321" s="1093"/>
      <c r="AA321" s="1094"/>
      <c r="AB321" s="1094"/>
      <c r="AC321" s="1098"/>
      <c r="AD321" s="1098"/>
      <c r="AE321" s="1099"/>
      <c r="AF321" s="2616"/>
      <c r="AG321" s="2617"/>
      <c r="AH321" s="2617"/>
      <c r="AI321" s="2616"/>
      <c r="AJ321" s="2617"/>
      <c r="AK321" s="2617"/>
      <c r="AL321" s="1900"/>
      <c r="AM321" s="1738"/>
      <c r="AN321" s="1738"/>
      <c r="AO321" s="1738"/>
      <c r="AP321" s="1738"/>
      <c r="AQ321" s="1738"/>
      <c r="AR321" s="1738"/>
      <c r="AS321" s="1738"/>
      <c r="AT321" s="1738"/>
      <c r="AU321" s="1738"/>
      <c r="AV321" s="1738"/>
      <c r="AW321" s="1738"/>
      <c r="AX321" s="1738"/>
      <c r="AY321" s="1738"/>
      <c r="AZ321" s="1738"/>
      <c r="BA321" s="1738"/>
      <c r="BB321" s="1738"/>
      <c r="BC321" s="1738"/>
      <c r="BD321" s="1738"/>
      <c r="BE321" s="1738"/>
      <c r="BF321" s="1738"/>
    </row>
    <row r="322" spans="1:58" ht="11.25" customHeight="1">
      <c r="A322" s="1084" t="s">
        <v>992</v>
      </c>
      <c r="B322" s="1084"/>
      <c r="C322" s="1084"/>
      <c r="D322" s="1078"/>
      <c r="E322" s="1088"/>
      <c r="F322" s="2605"/>
      <c r="G322" s="2606"/>
      <c r="H322" s="2601" t="s">
        <v>151</v>
      </c>
      <c r="I322" s="2613"/>
      <c r="J322" s="2624"/>
      <c r="K322" s="2615"/>
      <c r="L322" s="2338"/>
      <c r="M322" s="2339"/>
      <c r="N322" s="2618"/>
      <c r="O322" s="2619"/>
      <c r="P322" s="2621"/>
      <c r="Q322" s="2573"/>
      <c r="R322" s="2573"/>
      <c r="S322" s="2623"/>
      <c r="T322" s="2573"/>
      <c r="U322" s="2573"/>
      <c r="V322" s="2573"/>
      <c r="W322" s="2573"/>
      <c r="X322" s="2573"/>
      <c r="Y322" s="2573"/>
      <c r="Z322" s="1743"/>
      <c r="AA322" s="1711">
        <v>1</v>
      </c>
      <c r="AB322" s="1097" t="s">
        <v>1036</v>
      </c>
      <c r="AC322" s="1087">
        <v>496136.88789233402</v>
      </c>
      <c r="AD322" s="1097" t="str">
        <f>AB322</f>
        <v xml:space="preserve">      Прочие амортизационные отчисления</v>
      </c>
      <c r="AE322" s="1087"/>
      <c r="AF322" s="2616"/>
      <c r="AG322" s="2617"/>
      <c r="AH322" s="2617"/>
      <c r="AI322" s="2616"/>
      <c r="AJ322" s="2617"/>
      <c r="AK322" s="2617"/>
      <c r="AL322" s="1900"/>
      <c r="AM322" s="1738"/>
      <c r="AN322" s="1738"/>
      <c r="AO322" s="1738"/>
      <c r="AP322" s="1738"/>
      <c r="AQ322" s="1738"/>
      <c r="AR322" s="1738"/>
      <c r="AS322" s="1738"/>
      <c r="AT322" s="1738"/>
      <c r="AU322" s="1738"/>
      <c r="AV322" s="1738"/>
      <c r="AW322" s="1738"/>
      <c r="AX322" s="1738"/>
      <c r="AY322" s="1738"/>
      <c r="AZ322" s="1738"/>
      <c r="BA322" s="1738"/>
      <c r="BB322" s="1738"/>
      <c r="BC322" s="1738"/>
      <c r="BD322" s="1738"/>
      <c r="BE322" s="1738"/>
      <c r="BF322" s="1738"/>
    </row>
    <row r="323" spans="1:58" ht="11.25" customHeight="1">
      <c r="A323" s="1084" t="s">
        <v>992</v>
      </c>
      <c r="B323" s="1084"/>
      <c r="C323" s="1084"/>
      <c r="D323" s="1078"/>
      <c r="E323" s="1088"/>
      <c r="F323" s="2606"/>
      <c r="G323" s="2606"/>
      <c r="H323" s="2606"/>
      <c r="I323" s="2606"/>
      <c r="J323" s="2606"/>
      <c r="K323" s="2606"/>
      <c r="L323" s="2606"/>
      <c r="M323" s="2606"/>
      <c r="N323" s="2606"/>
      <c r="O323" s="2606"/>
      <c r="P323" s="2606"/>
      <c r="Q323" s="2606"/>
      <c r="R323" s="2606"/>
      <c r="S323" s="2606"/>
      <c r="T323" s="2606"/>
      <c r="U323" s="2606"/>
      <c r="V323" s="2606"/>
      <c r="W323" s="2606"/>
      <c r="X323" s="2606"/>
      <c r="Y323" s="2606"/>
      <c r="Z323" s="2054" t="s">
        <v>686</v>
      </c>
      <c r="AA323" s="1731" t="s">
        <v>109</v>
      </c>
      <c r="AB323" s="1097" t="s">
        <v>1039</v>
      </c>
      <c r="AC323" s="1087">
        <v>25540.61</v>
      </c>
      <c r="AD323" s="1097" t="str">
        <f>AB323</f>
        <v xml:space="preserve">  Прочие собственные средства</v>
      </c>
      <c r="AE323" s="1087"/>
      <c r="AF323" s="2625"/>
      <c r="AG323" s="2626"/>
      <c r="AH323" s="2626"/>
      <c r="AI323" s="2625"/>
      <c r="AJ323" s="2626"/>
      <c r="AK323" s="2627"/>
      <c r="AL323" s="1900"/>
      <c r="AM323" s="1738"/>
      <c r="AN323" s="1738"/>
      <c r="AO323" s="1738"/>
      <c r="AP323" s="1738"/>
      <c r="AQ323" s="1738"/>
      <c r="AR323" s="1738"/>
      <c r="AS323" s="1738"/>
      <c r="AT323" s="1738"/>
      <c r="AU323" s="1738"/>
      <c r="AV323" s="1738"/>
      <c r="AW323" s="1738"/>
      <c r="AX323" s="1738"/>
      <c r="AY323" s="1738"/>
      <c r="AZ323" s="1738"/>
      <c r="BA323" s="1738"/>
      <c r="BB323" s="1738"/>
      <c r="BC323" s="1738"/>
      <c r="BD323" s="1738"/>
      <c r="BE323" s="1738"/>
      <c r="BF323" s="1738"/>
    </row>
    <row r="324" spans="1:58" ht="11.25" customHeight="1">
      <c r="A324" s="1084" t="s">
        <v>992</v>
      </c>
      <c r="B324" s="1084"/>
      <c r="C324" s="1084"/>
      <c r="D324" s="1078"/>
      <c r="E324" s="1088"/>
      <c r="F324" s="2606"/>
      <c r="G324" s="2606"/>
      <c r="H324" s="2606"/>
      <c r="I324" s="2606"/>
      <c r="J324" s="2606"/>
      <c r="K324" s="2606"/>
      <c r="L324" s="2606"/>
      <c r="M324" s="2606"/>
      <c r="N324" s="2606"/>
      <c r="O324" s="2606"/>
      <c r="P324" s="2606"/>
      <c r="Q324" s="2606"/>
      <c r="R324" s="2606"/>
      <c r="S324" s="2606"/>
      <c r="T324" s="2606"/>
      <c r="U324" s="2606"/>
      <c r="V324" s="2606"/>
      <c r="W324" s="2606"/>
      <c r="X324" s="2606"/>
      <c r="Y324" s="2606"/>
      <c r="Z324" s="2054" t="s">
        <v>686</v>
      </c>
      <c r="AA324" s="1731" t="s">
        <v>92</v>
      </c>
      <c r="AB324" s="1097" t="s">
        <v>1064</v>
      </c>
      <c r="AC324" s="1087">
        <v>287791.51368999999</v>
      </c>
      <c r="AD324" s="1097" t="str">
        <f>AB324</f>
        <v xml:space="preserve">  Прибыль направляемая на инвестиции</v>
      </c>
      <c r="AE324" s="1087"/>
      <c r="AF324" s="2625"/>
      <c r="AG324" s="2626"/>
      <c r="AH324" s="2626"/>
      <c r="AI324" s="2625"/>
      <c r="AJ324" s="2626"/>
      <c r="AK324" s="2627"/>
      <c r="AL324" s="1900"/>
      <c r="AM324" s="1738"/>
      <c r="AN324" s="1738"/>
      <c r="AO324" s="1738"/>
      <c r="AP324" s="1738"/>
      <c r="AQ324" s="1738"/>
      <c r="AR324" s="1738"/>
      <c r="AS324" s="1738"/>
      <c r="AT324" s="1738"/>
      <c r="AU324" s="1738"/>
      <c r="AV324" s="1738"/>
      <c r="AW324" s="1738"/>
      <c r="AX324" s="1738"/>
      <c r="AY324" s="1738"/>
      <c r="AZ324" s="1738"/>
      <c r="BA324" s="1738"/>
      <c r="BB324" s="1738"/>
      <c r="BC324" s="1738"/>
      <c r="BD324" s="1738"/>
      <c r="BE324" s="1738"/>
      <c r="BF324" s="1738"/>
    </row>
    <row r="325" spans="1:58" ht="11.25" customHeight="1">
      <c r="A325" s="1084" t="s">
        <v>992</v>
      </c>
      <c r="B325" s="1084"/>
      <c r="C325" s="1084"/>
      <c r="D325" s="1078"/>
      <c r="E325" s="1088"/>
      <c r="F325" s="2606"/>
      <c r="G325" s="2606"/>
      <c r="H325" s="2606"/>
      <c r="I325" s="2606"/>
      <c r="J325" s="2606"/>
      <c r="K325" s="2606"/>
      <c r="L325" s="2606"/>
      <c r="M325" s="2606"/>
      <c r="N325" s="2606"/>
      <c r="O325" s="2606"/>
      <c r="P325" s="2606"/>
      <c r="Q325" s="2606"/>
      <c r="R325" s="2606"/>
      <c r="S325" s="2606"/>
      <c r="T325" s="2606"/>
      <c r="U325" s="2606"/>
      <c r="V325" s="2606"/>
      <c r="W325" s="2606"/>
      <c r="X325" s="2606"/>
      <c r="Y325" s="2606"/>
      <c r="Z325" s="2054" t="s">
        <v>686</v>
      </c>
      <c r="AA325" s="1731" t="s">
        <v>93</v>
      </c>
      <c r="AB325" s="1097" t="s">
        <v>1028</v>
      </c>
      <c r="AC325" s="1087">
        <v>540071.24904266605</v>
      </c>
      <c r="AD325" s="1097" t="str">
        <f>AB325</f>
        <v xml:space="preserve">  Прочие</v>
      </c>
      <c r="AE325" s="1087"/>
      <c r="AF325" s="2625"/>
      <c r="AG325" s="2626"/>
      <c r="AH325" s="2626"/>
      <c r="AI325" s="2625"/>
      <c r="AJ325" s="2626"/>
      <c r="AK325" s="2627"/>
      <c r="AL325" s="1900"/>
      <c r="AM325" s="1738"/>
      <c r="AN325" s="1738"/>
      <c r="AO325" s="1738"/>
      <c r="AP325" s="1738"/>
      <c r="AQ325" s="1738"/>
      <c r="AR325" s="1738"/>
      <c r="AS325" s="1738"/>
      <c r="AT325" s="1738"/>
      <c r="AU325" s="1738"/>
      <c r="AV325" s="1738"/>
      <c r="AW325" s="1738"/>
      <c r="AX325" s="1738"/>
      <c r="AY325" s="1738"/>
      <c r="AZ325" s="1738"/>
      <c r="BA325" s="1738"/>
      <c r="BB325" s="1738"/>
      <c r="BC325" s="1738"/>
      <c r="BD325" s="1738"/>
      <c r="BE325" s="1738"/>
      <c r="BF325" s="1738"/>
    </row>
    <row r="326" spans="1:58" ht="11.25" customHeight="1">
      <c r="A326" s="1084" t="s">
        <v>992</v>
      </c>
      <c r="B326" s="1084"/>
      <c r="C326" s="1084"/>
      <c r="D326" s="1078"/>
      <c r="E326" s="1088"/>
      <c r="F326" s="2605"/>
      <c r="G326" s="2606"/>
      <c r="H326" s="2601" t="s">
        <v>151</v>
      </c>
      <c r="I326" s="2613"/>
      <c r="J326" s="2624"/>
      <c r="K326" s="2615"/>
      <c r="L326" s="2338"/>
      <c r="M326" s="2339"/>
      <c r="N326" s="2618"/>
      <c r="O326" s="2619"/>
      <c r="P326" s="2622"/>
      <c r="Q326" s="2573"/>
      <c r="R326" s="2573"/>
      <c r="S326" s="2623"/>
      <c r="T326" s="2573"/>
      <c r="U326" s="2573"/>
      <c r="V326" s="2573"/>
      <c r="W326" s="2573"/>
      <c r="X326" s="2573"/>
      <c r="Y326" s="2573"/>
      <c r="Z326" s="1093"/>
      <c r="AA326" s="1094"/>
      <c r="AB326" s="1159" t="s">
        <v>1029</v>
      </c>
      <c r="AC326" s="1098"/>
      <c r="AD326" s="1098"/>
      <c r="AE326" s="1100"/>
      <c r="AF326" s="2616"/>
      <c r="AG326" s="2617"/>
      <c r="AH326" s="2617"/>
      <c r="AI326" s="2616"/>
      <c r="AJ326" s="2617"/>
      <c r="AK326" s="2617"/>
      <c r="AL326" s="1900"/>
      <c r="AM326" s="1738"/>
      <c r="AN326" s="1738"/>
      <c r="AO326" s="1738"/>
      <c r="AP326" s="1738"/>
      <c r="AQ326" s="1738"/>
      <c r="AR326" s="1738"/>
      <c r="AS326" s="1738"/>
      <c r="AT326" s="1738"/>
      <c r="AU326" s="1738"/>
      <c r="AV326" s="1738"/>
      <c r="AW326" s="1738"/>
      <c r="AX326" s="1738"/>
      <c r="AY326" s="1738"/>
      <c r="AZ326" s="1738"/>
      <c r="BA326" s="1738"/>
      <c r="BB326" s="1738"/>
      <c r="BC326" s="1738"/>
      <c r="BD326" s="1738"/>
      <c r="BE326" s="1738"/>
      <c r="BF326" s="1738"/>
    </row>
    <row r="327" spans="1:58" ht="11.25" customHeight="1">
      <c r="A327" s="1084" t="s">
        <v>992</v>
      </c>
      <c r="B327" s="1084"/>
      <c r="C327" s="1084"/>
      <c r="D327" s="1078"/>
      <c r="E327" s="1088"/>
      <c r="F327" s="2605"/>
      <c r="G327" s="2606"/>
      <c r="H327" s="2601" t="s">
        <v>151</v>
      </c>
      <c r="I327" s="2613"/>
      <c r="J327" s="2624"/>
      <c r="K327" s="2615"/>
      <c r="L327" s="2338"/>
      <c r="M327" s="2339"/>
      <c r="N327" s="1093"/>
      <c r="O327" s="1094"/>
      <c r="P327" s="1086" t="s">
        <v>1030</v>
      </c>
      <c r="Q327" s="1094"/>
      <c r="R327" s="1094"/>
      <c r="S327" s="1094"/>
      <c r="T327" s="1094"/>
      <c r="U327" s="1094"/>
      <c r="V327" s="1094"/>
      <c r="W327" s="1094"/>
      <c r="X327" s="1094"/>
      <c r="Y327" s="1094"/>
      <c r="Z327" s="1094"/>
      <c r="AA327" s="1094"/>
      <c r="AB327" s="1094"/>
      <c r="AC327" s="1094"/>
      <c r="AD327" s="1094"/>
      <c r="AE327" s="1101"/>
      <c r="AF327" s="2616"/>
      <c r="AG327" s="2617"/>
      <c r="AH327" s="2617"/>
      <c r="AI327" s="2616"/>
      <c r="AJ327" s="2617"/>
      <c r="AK327" s="2617"/>
      <c r="AL327" s="1900"/>
      <c r="AM327" s="1738"/>
      <c r="AN327" s="1738"/>
      <c r="AO327" s="1738"/>
      <c r="AP327" s="1738"/>
      <c r="AQ327" s="1738"/>
      <c r="AR327" s="1738"/>
      <c r="AS327" s="1738"/>
      <c r="AT327" s="1738"/>
      <c r="AU327" s="1738"/>
      <c r="AV327" s="1738"/>
      <c r="AW327" s="1738"/>
      <c r="AX327" s="1738"/>
      <c r="AY327" s="1738"/>
      <c r="AZ327" s="1738"/>
      <c r="BA327" s="1738"/>
      <c r="BB327" s="1738"/>
      <c r="BC327" s="1738"/>
      <c r="BD327" s="1738"/>
      <c r="BE327" s="1738"/>
      <c r="BF327" s="1738"/>
    </row>
    <row r="328" spans="1:58" ht="36.75" customHeight="1">
      <c r="A328" s="1084" t="s">
        <v>992</v>
      </c>
      <c r="B328" s="1084" t="s">
        <v>1031</v>
      </c>
      <c r="C328" s="1084"/>
      <c r="D328" s="1078"/>
      <c r="E328" s="1088"/>
      <c r="F328" s="2605"/>
      <c r="G328" s="2590" t="s">
        <v>686</v>
      </c>
      <c r="H328" s="2601" t="s">
        <v>152</v>
      </c>
      <c r="I328" s="2613" t="s">
        <v>1032</v>
      </c>
      <c r="J328" s="2624" t="s">
        <v>1033</v>
      </c>
      <c r="K328" s="2615" t="s">
        <v>1068</v>
      </c>
      <c r="L328" s="2338" t="s">
        <v>19</v>
      </c>
      <c r="M328" s="2339"/>
      <c r="N328" s="1898"/>
      <c r="O328" s="1095" t="s">
        <v>373</v>
      </c>
      <c r="P328" s="1096"/>
      <c r="Q328" s="1096"/>
      <c r="R328" s="1096"/>
      <c r="S328" s="1096"/>
      <c r="T328" s="1096"/>
      <c r="U328" s="1096"/>
      <c r="V328" s="1096"/>
      <c r="W328" s="1096"/>
      <c r="X328" s="1096"/>
      <c r="Y328" s="1096"/>
      <c r="Z328" s="1096"/>
      <c r="AA328" s="1096"/>
      <c r="AB328" s="1096"/>
      <c r="AC328" s="1096"/>
      <c r="AD328" s="1096"/>
      <c r="AE328" s="1096"/>
      <c r="AF328" s="2616">
        <v>4</v>
      </c>
      <c r="AG328" s="2617" t="s">
        <v>1026</v>
      </c>
      <c r="AH328" s="2617" t="s">
        <v>1035</v>
      </c>
      <c r="AI328" s="2616"/>
      <c r="AJ328" s="2617"/>
      <c r="AK328" s="2617"/>
      <c r="AL328" s="1900"/>
      <c r="AM328" s="1738"/>
      <c r="AN328" s="1738"/>
      <c r="AO328" s="1738"/>
      <c r="AP328" s="1738"/>
      <c r="AQ328" s="1738"/>
      <c r="AR328" s="1738"/>
      <c r="AS328" s="1738"/>
      <c r="AT328" s="1738"/>
      <c r="AU328" s="1738"/>
      <c r="AV328" s="1738"/>
      <c r="AW328" s="1738"/>
      <c r="AX328" s="1738"/>
      <c r="AY328" s="1738"/>
      <c r="AZ328" s="1738"/>
      <c r="BA328" s="1738"/>
      <c r="BB328" s="1738"/>
      <c r="BC328" s="1738"/>
      <c r="BD328" s="1738"/>
      <c r="BE328" s="1738"/>
      <c r="BF328" s="1738"/>
    </row>
    <row r="329" spans="1:58" ht="11.25" customHeight="1">
      <c r="A329" s="1084" t="s">
        <v>992</v>
      </c>
      <c r="B329" s="1084"/>
      <c r="C329" s="1084"/>
      <c r="D329" s="1078"/>
      <c r="E329" s="1088"/>
      <c r="F329" s="2605"/>
      <c r="G329" s="2606"/>
      <c r="H329" s="2601" t="s">
        <v>152</v>
      </c>
      <c r="I329" s="2613"/>
      <c r="J329" s="2624"/>
      <c r="K329" s="2615"/>
      <c r="L329" s="2338"/>
      <c r="M329" s="2339"/>
      <c r="N329" s="2618"/>
      <c r="O329" s="2619">
        <v>1</v>
      </c>
      <c r="P329" s="2620" t="s">
        <v>19</v>
      </c>
      <c r="Q329" s="2573" t="s">
        <v>22</v>
      </c>
      <c r="R329" s="2573" t="s">
        <v>22</v>
      </c>
      <c r="S329" s="2573" t="s">
        <v>22</v>
      </c>
      <c r="T329" s="2573" t="s">
        <v>22</v>
      </c>
      <c r="U329" s="2573" t="s">
        <v>22</v>
      </c>
      <c r="V329" s="2573" t="s">
        <v>22</v>
      </c>
      <c r="W329" s="2573" t="s">
        <v>22</v>
      </c>
      <c r="X329" s="2573" t="s">
        <v>22</v>
      </c>
      <c r="Y329" s="2573"/>
      <c r="Z329" s="1093"/>
      <c r="AA329" s="1094"/>
      <c r="AB329" s="1094"/>
      <c r="AC329" s="1098"/>
      <c r="AD329" s="1098"/>
      <c r="AE329" s="1099"/>
      <c r="AF329" s="2616"/>
      <c r="AG329" s="2617"/>
      <c r="AH329" s="2617"/>
      <c r="AI329" s="2616"/>
      <c r="AJ329" s="2617"/>
      <c r="AK329" s="2617"/>
      <c r="AL329" s="1900"/>
      <c r="AM329" s="1738"/>
      <c r="AN329" s="1738"/>
      <c r="AO329" s="1738"/>
      <c r="AP329" s="1738"/>
      <c r="AQ329" s="1738"/>
      <c r="AR329" s="1738"/>
      <c r="AS329" s="1738"/>
      <c r="AT329" s="1738"/>
      <c r="AU329" s="1738"/>
      <c r="AV329" s="1738"/>
      <c r="AW329" s="1738"/>
      <c r="AX329" s="1738"/>
      <c r="AY329" s="1738"/>
      <c r="AZ329" s="1738"/>
      <c r="BA329" s="1738"/>
      <c r="BB329" s="1738"/>
      <c r="BC329" s="1738"/>
      <c r="BD329" s="1738"/>
      <c r="BE329" s="1738"/>
      <c r="BF329" s="1738"/>
    </row>
    <row r="330" spans="1:58" ht="11.25" customHeight="1">
      <c r="A330" s="1084" t="s">
        <v>992</v>
      </c>
      <c r="B330" s="1084"/>
      <c r="C330" s="1084"/>
      <c r="D330" s="1078"/>
      <c r="E330" s="1088"/>
      <c r="F330" s="2605"/>
      <c r="G330" s="2606"/>
      <c r="H330" s="2601" t="s">
        <v>152</v>
      </c>
      <c r="I330" s="2613"/>
      <c r="J330" s="2624"/>
      <c r="K330" s="2615"/>
      <c r="L330" s="2338"/>
      <c r="M330" s="2339"/>
      <c r="N330" s="2618"/>
      <c r="O330" s="2619"/>
      <c r="P330" s="2621"/>
      <c r="Q330" s="2573"/>
      <c r="R330" s="2573"/>
      <c r="S330" s="2623"/>
      <c r="T330" s="2573"/>
      <c r="U330" s="2573"/>
      <c r="V330" s="2573"/>
      <c r="W330" s="2573"/>
      <c r="X330" s="2573"/>
      <c r="Y330" s="2573"/>
      <c r="Z330" s="1743"/>
      <c r="AA330" s="1711">
        <v>1</v>
      </c>
      <c r="AB330" s="1097" t="s">
        <v>1036</v>
      </c>
      <c r="AC330" s="1087">
        <v>15642.8843583166</v>
      </c>
      <c r="AD330" s="1097" t="str">
        <f>AB330</f>
        <v xml:space="preserve">      Прочие амортизационные отчисления</v>
      </c>
      <c r="AE330" s="1087"/>
      <c r="AF330" s="2616"/>
      <c r="AG330" s="2617"/>
      <c r="AH330" s="2617"/>
      <c r="AI330" s="2616"/>
      <c r="AJ330" s="2617"/>
      <c r="AK330" s="2617"/>
      <c r="AL330" s="1900"/>
      <c r="AM330" s="1738"/>
      <c r="AN330" s="1738"/>
      <c r="AO330" s="1738"/>
      <c r="AP330" s="1738"/>
      <c r="AQ330" s="1738"/>
      <c r="AR330" s="1738"/>
      <c r="AS330" s="1738"/>
      <c r="AT330" s="1738"/>
      <c r="AU330" s="1738"/>
      <c r="AV330" s="1738"/>
      <c r="AW330" s="1738"/>
      <c r="AX330" s="1738"/>
      <c r="AY330" s="1738"/>
      <c r="AZ330" s="1738"/>
      <c r="BA330" s="1738"/>
      <c r="BB330" s="1738"/>
      <c r="BC330" s="1738"/>
      <c r="BD330" s="1738"/>
      <c r="BE330" s="1738"/>
      <c r="BF330" s="1738"/>
    </row>
    <row r="331" spans="1:58" ht="11.25" customHeight="1">
      <c r="A331" s="1084" t="s">
        <v>992</v>
      </c>
      <c r="B331" s="1084"/>
      <c r="C331" s="1084"/>
      <c r="D331" s="1078"/>
      <c r="E331" s="1088"/>
      <c r="F331" s="2605"/>
      <c r="G331" s="2606"/>
      <c r="H331" s="2601" t="s">
        <v>152</v>
      </c>
      <c r="I331" s="2613"/>
      <c r="J331" s="2624"/>
      <c r="K331" s="2615"/>
      <c r="L331" s="2338"/>
      <c r="M331" s="2339"/>
      <c r="N331" s="2618"/>
      <c r="O331" s="2619"/>
      <c r="P331" s="2622"/>
      <c r="Q331" s="2573"/>
      <c r="R331" s="2573"/>
      <c r="S331" s="2623"/>
      <c r="T331" s="2573"/>
      <c r="U331" s="2573"/>
      <c r="V331" s="2573"/>
      <c r="W331" s="2573"/>
      <c r="X331" s="2573"/>
      <c r="Y331" s="2573"/>
      <c r="Z331" s="1093"/>
      <c r="AA331" s="1094"/>
      <c r="AB331" s="1159" t="s">
        <v>1029</v>
      </c>
      <c r="AC331" s="1098"/>
      <c r="AD331" s="1098"/>
      <c r="AE331" s="1100"/>
      <c r="AF331" s="2616"/>
      <c r="AG331" s="2617"/>
      <c r="AH331" s="2617"/>
      <c r="AI331" s="2616"/>
      <c r="AJ331" s="2617"/>
      <c r="AK331" s="2617"/>
      <c r="AL331" s="1900"/>
      <c r="AM331" s="1738"/>
      <c r="AN331" s="1738"/>
      <c r="AO331" s="1738"/>
      <c r="AP331" s="1738"/>
      <c r="AQ331" s="1738"/>
      <c r="AR331" s="1738"/>
      <c r="AS331" s="1738"/>
      <c r="AT331" s="1738"/>
      <c r="AU331" s="1738"/>
      <c r="AV331" s="1738"/>
      <c r="AW331" s="1738"/>
      <c r="AX331" s="1738"/>
      <c r="AY331" s="1738"/>
      <c r="AZ331" s="1738"/>
      <c r="BA331" s="1738"/>
      <c r="BB331" s="1738"/>
      <c r="BC331" s="1738"/>
      <c r="BD331" s="1738"/>
      <c r="BE331" s="1738"/>
      <c r="BF331" s="1738"/>
    </row>
    <row r="332" spans="1:58" ht="11.25" customHeight="1">
      <c r="A332" s="1084" t="s">
        <v>992</v>
      </c>
      <c r="B332" s="1084"/>
      <c r="C332" s="1084"/>
      <c r="D332" s="1078"/>
      <c r="E332" s="1088"/>
      <c r="F332" s="2605"/>
      <c r="G332" s="2606"/>
      <c r="H332" s="2601" t="s">
        <v>152</v>
      </c>
      <c r="I332" s="2613"/>
      <c r="J332" s="2624"/>
      <c r="K332" s="2615"/>
      <c r="L332" s="2338"/>
      <c r="M332" s="2339"/>
      <c r="N332" s="1093"/>
      <c r="O332" s="1094"/>
      <c r="P332" s="1086" t="s">
        <v>1030</v>
      </c>
      <c r="Q332" s="1094"/>
      <c r="R332" s="1094"/>
      <c r="S332" s="1094"/>
      <c r="T332" s="1094"/>
      <c r="U332" s="1094"/>
      <c r="V332" s="1094"/>
      <c r="W332" s="1094"/>
      <c r="X332" s="1094"/>
      <c r="Y332" s="1094"/>
      <c r="Z332" s="1094"/>
      <c r="AA332" s="1094"/>
      <c r="AB332" s="1094"/>
      <c r="AC332" s="1094"/>
      <c r="AD332" s="1094"/>
      <c r="AE332" s="1101"/>
      <c r="AF332" s="2616"/>
      <c r="AG332" s="2617"/>
      <c r="AH332" s="2617"/>
      <c r="AI332" s="2616"/>
      <c r="AJ332" s="2617"/>
      <c r="AK332" s="2617"/>
      <c r="AL332" s="1900"/>
      <c r="AM332" s="1738"/>
      <c r="AN332" s="1738"/>
      <c r="AO332" s="1738"/>
      <c r="AP332" s="1738"/>
      <c r="AQ332" s="1738"/>
      <c r="AR332" s="1738"/>
      <c r="AS332" s="1738"/>
      <c r="AT332" s="1738"/>
      <c r="AU332" s="1738"/>
      <c r="AV332" s="1738"/>
      <c r="AW332" s="1738"/>
      <c r="AX332" s="1738"/>
      <c r="AY332" s="1738"/>
      <c r="AZ332" s="1738"/>
      <c r="BA332" s="1738"/>
      <c r="BB332" s="1738"/>
      <c r="BC332" s="1738"/>
      <c r="BD332" s="1738"/>
      <c r="BE332" s="1738"/>
      <c r="BF332" s="1738"/>
    </row>
    <row r="333" spans="1:58" ht="11.25" customHeight="1">
      <c r="A333" s="1084" t="s">
        <v>992</v>
      </c>
      <c r="B333" s="1084" t="s">
        <v>1031</v>
      </c>
      <c r="C333" s="1084"/>
      <c r="D333" s="1078"/>
      <c r="E333" s="1088"/>
      <c r="F333" s="2605"/>
      <c r="G333" s="2590" t="s">
        <v>686</v>
      </c>
      <c r="H333" s="2601" t="s">
        <v>1054</v>
      </c>
      <c r="I333" s="2613" t="s">
        <v>1032</v>
      </c>
      <c r="J333" s="2624" t="s">
        <v>1033</v>
      </c>
      <c r="K333" s="2615" t="s">
        <v>1077</v>
      </c>
      <c r="L333" s="2338" t="s">
        <v>19</v>
      </c>
      <c r="M333" s="2339"/>
      <c r="N333" s="1898"/>
      <c r="O333" s="1095" t="s">
        <v>373</v>
      </c>
      <c r="P333" s="1096"/>
      <c r="Q333" s="1096"/>
      <c r="R333" s="1096"/>
      <c r="S333" s="1096"/>
      <c r="T333" s="1096"/>
      <c r="U333" s="1096"/>
      <c r="V333" s="1096"/>
      <c r="W333" s="1096"/>
      <c r="X333" s="1096"/>
      <c r="Y333" s="1096"/>
      <c r="Z333" s="1096"/>
      <c r="AA333" s="1096"/>
      <c r="AB333" s="1096"/>
      <c r="AC333" s="1096"/>
      <c r="AD333" s="1096"/>
      <c r="AE333" s="1096"/>
      <c r="AF333" s="2616">
        <v>3</v>
      </c>
      <c r="AG333" s="2617" t="s">
        <v>1026</v>
      </c>
      <c r="AH333" s="2617" t="s">
        <v>1035</v>
      </c>
      <c r="AI333" s="2616"/>
      <c r="AJ333" s="2617"/>
      <c r="AK333" s="2617"/>
      <c r="AL333" s="1900"/>
      <c r="AM333" s="1738"/>
      <c r="AN333" s="1738"/>
      <c r="AO333" s="1738"/>
      <c r="AP333" s="1738"/>
      <c r="AQ333" s="1738"/>
      <c r="AR333" s="1738"/>
      <c r="AS333" s="1738"/>
      <c r="AT333" s="1738"/>
      <c r="AU333" s="1738"/>
      <c r="AV333" s="1738"/>
      <c r="AW333" s="1738"/>
      <c r="AX333" s="1738"/>
      <c r="AY333" s="1738"/>
      <c r="AZ333" s="1738"/>
      <c r="BA333" s="1738"/>
      <c r="BB333" s="1738"/>
      <c r="BC333" s="1738"/>
      <c r="BD333" s="1738"/>
      <c r="BE333" s="1738"/>
      <c r="BF333" s="1738"/>
    </row>
    <row r="334" spans="1:58" ht="11.25" customHeight="1">
      <c r="A334" s="1084" t="s">
        <v>992</v>
      </c>
      <c r="B334" s="1084"/>
      <c r="C334" s="1084"/>
      <c r="D334" s="1078"/>
      <c r="E334" s="1088"/>
      <c r="F334" s="2605"/>
      <c r="G334" s="2606"/>
      <c r="H334" s="2601" t="s">
        <v>1054</v>
      </c>
      <c r="I334" s="2613"/>
      <c r="J334" s="2624"/>
      <c r="K334" s="2615"/>
      <c r="L334" s="2338"/>
      <c r="M334" s="2339"/>
      <c r="N334" s="2618"/>
      <c r="O334" s="2619">
        <v>1</v>
      </c>
      <c r="P334" s="2620" t="s">
        <v>19</v>
      </c>
      <c r="Q334" s="2573" t="s">
        <v>22</v>
      </c>
      <c r="R334" s="2573" t="s">
        <v>22</v>
      </c>
      <c r="S334" s="2573" t="s">
        <v>22</v>
      </c>
      <c r="T334" s="2573" t="s">
        <v>22</v>
      </c>
      <c r="U334" s="2573" t="s">
        <v>22</v>
      </c>
      <c r="V334" s="2573" t="s">
        <v>22</v>
      </c>
      <c r="W334" s="2573" t="s">
        <v>22</v>
      </c>
      <c r="X334" s="2573" t="s">
        <v>22</v>
      </c>
      <c r="Y334" s="2573"/>
      <c r="Z334" s="1093"/>
      <c r="AA334" s="1094"/>
      <c r="AB334" s="1094"/>
      <c r="AC334" s="1098"/>
      <c r="AD334" s="1098"/>
      <c r="AE334" s="1099"/>
      <c r="AF334" s="2616"/>
      <c r="AG334" s="2617"/>
      <c r="AH334" s="2617"/>
      <c r="AI334" s="2616"/>
      <c r="AJ334" s="2617"/>
      <c r="AK334" s="2617"/>
      <c r="AL334" s="1900"/>
      <c r="AM334" s="1738"/>
      <c r="AN334" s="1738"/>
      <c r="AO334" s="1738"/>
      <c r="AP334" s="1738"/>
      <c r="AQ334" s="1738"/>
      <c r="AR334" s="1738"/>
      <c r="AS334" s="1738"/>
      <c r="AT334" s="1738"/>
      <c r="AU334" s="1738"/>
      <c r="AV334" s="1738"/>
      <c r="AW334" s="1738"/>
      <c r="AX334" s="1738"/>
      <c r="AY334" s="1738"/>
      <c r="AZ334" s="1738"/>
      <c r="BA334" s="1738"/>
      <c r="BB334" s="1738"/>
      <c r="BC334" s="1738"/>
      <c r="BD334" s="1738"/>
      <c r="BE334" s="1738"/>
      <c r="BF334" s="1738"/>
    </row>
    <row r="335" spans="1:58" ht="11.25" customHeight="1">
      <c r="A335" s="1084" t="s">
        <v>992</v>
      </c>
      <c r="B335" s="1084"/>
      <c r="C335" s="1084"/>
      <c r="D335" s="1078"/>
      <c r="E335" s="1088"/>
      <c r="F335" s="2605"/>
      <c r="G335" s="2606"/>
      <c r="H335" s="2601" t="s">
        <v>1054</v>
      </c>
      <c r="I335" s="2613"/>
      <c r="J335" s="2624"/>
      <c r="K335" s="2615"/>
      <c r="L335" s="2338"/>
      <c r="M335" s="2339"/>
      <c r="N335" s="2618"/>
      <c r="O335" s="2619"/>
      <c r="P335" s="2621"/>
      <c r="Q335" s="2573"/>
      <c r="R335" s="2573"/>
      <c r="S335" s="2623"/>
      <c r="T335" s="2573"/>
      <c r="U335" s="2573"/>
      <c r="V335" s="2573"/>
      <c r="W335" s="2573"/>
      <c r="X335" s="2573"/>
      <c r="Y335" s="2573"/>
      <c r="Z335" s="1743"/>
      <c r="AA335" s="1711">
        <v>1</v>
      </c>
      <c r="AB335" s="1097" t="s">
        <v>1036</v>
      </c>
      <c r="AC335" s="1087">
        <v>17500</v>
      </c>
      <c r="AD335" s="1097" t="str">
        <f>AB335</f>
        <v xml:space="preserve">      Прочие амортизационные отчисления</v>
      </c>
      <c r="AE335" s="1087"/>
      <c r="AF335" s="2616"/>
      <c r="AG335" s="2617"/>
      <c r="AH335" s="2617"/>
      <c r="AI335" s="2616"/>
      <c r="AJ335" s="2617"/>
      <c r="AK335" s="2617"/>
      <c r="AL335" s="1900"/>
      <c r="AM335" s="1738"/>
      <c r="AN335" s="1738"/>
      <c r="AO335" s="1738"/>
      <c r="AP335" s="1738"/>
      <c r="AQ335" s="1738"/>
      <c r="AR335" s="1738"/>
      <c r="AS335" s="1738"/>
      <c r="AT335" s="1738"/>
      <c r="AU335" s="1738"/>
      <c r="AV335" s="1738"/>
      <c r="AW335" s="1738"/>
      <c r="AX335" s="1738"/>
      <c r="AY335" s="1738"/>
      <c r="AZ335" s="1738"/>
      <c r="BA335" s="1738"/>
      <c r="BB335" s="1738"/>
      <c r="BC335" s="1738"/>
      <c r="BD335" s="1738"/>
      <c r="BE335" s="1738"/>
      <c r="BF335" s="1738"/>
    </row>
    <row r="336" spans="1:58" ht="11.25" customHeight="1">
      <c r="A336" s="1084" t="s">
        <v>992</v>
      </c>
      <c r="B336" s="1084"/>
      <c r="C336" s="1084"/>
      <c r="D336" s="1078"/>
      <c r="E336" s="1088"/>
      <c r="F336" s="2605"/>
      <c r="G336" s="2606"/>
      <c r="H336" s="2601" t="s">
        <v>1054</v>
      </c>
      <c r="I336" s="2613"/>
      <c r="J336" s="2624"/>
      <c r="K336" s="2615"/>
      <c r="L336" s="2338"/>
      <c r="M336" s="2339"/>
      <c r="N336" s="2618"/>
      <c r="O336" s="2619"/>
      <c r="P336" s="2622"/>
      <c r="Q336" s="2573"/>
      <c r="R336" s="2573"/>
      <c r="S336" s="2623"/>
      <c r="T336" s="2573"/>
      <c r="U336" s="2573"/>
      <c r="V336" s="2573"/>
      <c r="W336" s="2573"/>
      <c r="X336" s="2573"/>
      <c r="Y336" s="2573"/>
      <c r="Z336" s="1093"/>
      <c r="AA336" s="1094"/>
      <c r="AB336" s="1159" t="s">
        <v>1029</v>
      </c>
      <c r="AC336" s="1098"/>
      <c r="AD336" s="1098"/>
      <c r="AE336" s="1100"/>
      <c r="AF336" s="2616"/>
      <c r="AG336" s="2617"/>
      <c r="AH336" s="2617"/>
      <c r="AI336" s="2616"/>
      <c r="AJ336" s="2617"/>
      <c r="AK336" s="2617"/>
      <c r="AL336" s="1900"/>
      <c r="AM336" s="1738"/>
      <c r="AN336" s="1738"/>
      <c r="AO336" s="1738"/>
      <c r="AP336" s="1738"/>
      <c r="AQ336" s="1738"/>
      <c r="AR336" s="1738"/>
      <c r="AS336" s="1738"/>
      <c r="AT336" s="1738"/>
      <c r="AU336" s="1738"/>
      <c r="AV336" s="1738"/>
      <c r="AW336" s="1738"/>
      <c r="AX336" s="1738"/>
      <c r="AY336" s="1738"/>
      <c r="AZ336" s="1738"/>
      <c r="BA336" s="1738"/>
      <c r="BB336" s="1738"/>
      <c r="BC336" s="1738"/>
      <c r="BD336" s="1738"/>
      <c r="BE336" s="1738"/>
      <c r="BF336" s="1738"/>
    </row>
    <row r="337" spans="1:58" ht="11.25" customHeight="1">
      <c r="A337" s="1084" t="s">
        <v>992</v>
      </c>
      <c r="B337" s="1084"/>
      <c r="C337" s="1084"/>
      <c r="D337" s="1078"/>
      <c r="E337" s="1088"/>
      <c r="F337" s="2605"/>
      <c r="G337" s="2606"/>
      <c r="H337" s="2601" t="s">
        <v>1054</v>
      </c>
      <c r="I337" s="2613"/>
      <c r="J337" s="2624"/>
      <c r="K337" s="2615"/>
      <c r="L337" s="2338"/>
      <c r="M337" s="2339"/>
      <c r="N337" s="1093"/>
      <c r="O337" s="1094"/>
      <c r="P337" s="1086" t="s">
        <v>1030</v>
      </c>
      <c r="Q337" s="1094"/>
      <c r="R337" s="1094"/>
      <c r="S337" s="1094"/>
      <c r="T337" s="1094"/>
      <c r="U337" s="1094"/>
      <c r="V337" s="1094"/>
      <c r="W337" s="1094"/>
      <c r="X337" s="1094"/>
      <c r="Y337" s="1094"/>
      <c r="Z337" s="1094"/>
      <c r="AA337" s="1094"/>
      <c r="AB337" s="1094"/>
      <c r="AC337" s="1094"/>
      <c r="AD337" s="1094"/>
      <c r="AE337" s="1101"/>
      <c r="AF337" s="2616"/>
      <c r="AG337" s="2617"/>
      <c r="AH337" s="2617"/>
      <c r="AI337" s="2616"/>
      <c r="AJ337" s="2617"/>
      <c r="AK337" s="2617"/>
      <c r="AL337" s="1900"/>
      <c r="AM337" s="1738"/>
      <c r="AN337" s="1738"/>
      <c r="AO337" s="1738"/>
      <c r="AP337" s="1738"/>
      <c r="AQ337" s="1738"/>
      <c r="AR337" s="1738"/>
      <c r="AS337" s="1738"/>
      <c r="AT337" s="1738"/>
      <c r="AU337" s="1738"/>
      <c r="AV337" s="1738"/>
      <c r="AW337" s="1738"/>
      <c r="AX337" s="1738"/>
      <c r="AY337" s="1738"/>
      <c r="AZ337" s="1738"/>
      <c r="BA337" s="1738"/>
      <c r="BB337" s="1738"/>
      <c r="BC337" s="1738"/>
      <c r="BD337" s="1738"/>
      <c r="BE337" s="1738"/>
      <c r="BF337" s="1738"/>
    </row>
    <row r="338" spans="1:58" ht="11.25" customHeight="1">
      <c r="A338" s="1084" t="s">
        <v>992</v>
      </c>
      <c r="B338" s="1084" t="s">
        <v>22</v>
      </c>
      <c r="C338" s="1084"/>
      <c r="D338" s="1078"/>
      <c r="E338" s="1088"/>
      <c r="F338" s="2605"/>
      <c r="G338" s="2590" t="s">
        <v>686</v>
      </c>
      <c r="H338" s="2601" t="s">
        <v>1056</v>
      </c>
      <c r="I338" s="2613" t="s">
        <v>1050</v>
      </c>
      <c r="J338" s="2614" t="s">
        <v>22</v>
      </c>
      <c r="K338" s="2615" t="s">
        <v>1051</v>
      </c>
      <c r="L338" s="2338" t="s">
        <v>19</v>
      </c>
      <c r="M338" s="2339"/>
      <c r="N338" s="1898"/>
      <c r="O338" s="1095" t="s">
        <v>373</v>
      </c>
      <c r="P338" s="1096"/>
      <c r="Q338" s="1096"/>
      <c r="R338" s="1096"/>
      <c r="S338" s="1096"/>
      <c r="T338" s="1096"/>
      <c r="U338" s="1096"/>
      <c r="V338" s="1096"/>
      <c r="W338" s="1096"/>
      <c r="X338" s="1096"/>
      <c r="Y338" s="1096"/>
      <c r="Z338" s="1096"/>
      <c r="AA338" s="1096"/>
      <c r="AB338" s="1096"/>
      <c r="AC338" s="1096"/>
      <c r="AD338" s="1096"/>
      <c r="AE338" s="1096"/>
      <c r="AF338" s="2616">
        <v>14</v>
      </c>
      <c r="AG338" s="2617" t="s">
        <v>1026</v>
      </c>
      <c r="AH338" s="2617" t="s">
        <v>1035</v>
      </c>
      <c r="AI338" s="2616"/>
      <c r="AJ338" s="2617"/>
      <c r="AK338" s="2617"/>
      <c r="AL338" s="1900"/>
      <c r="AM338" s="1738"/>
      <c r="AN338" s="1738"/>
      <c r="AO338" s="1738"/>
      <c r="AP338" s="1738"/>
      <c r="AQ338" s="1738"/>
      <c r="AR338" s="1738"/>
      <c r="AS338" s="1738"/>
      <c r="AT338" s="1738"/>
      <c r="AU338" s="1738"/>
      <c r="AV338" s="1738"/>
      <c r="AW338" s="1738"/>
      <c r="AX338" s="1738"/>
      <c r="AY338" s="1738"/>
      <c r="AZ338" s="1738"/>
      <c r="BA338" s="1738"/>
      <c r="BB338" s="1738"/>
      <c r="BC338" s="1738"/>
      <c r="BD338" s="1738"/>
      <c r="BE338" s="1738"/>
      <c r="BF338" s="1738"/>
    </row>
    <row r="339" spans="1:58" ht="11.25" customHeight="1">
      <c r="A339" s="1084" t="s">
        <v>992</v>
      </c>
      <c r="B339" s="1084"/>
      <c r="C339" s="1084"/>
      <c r="D339" s="1078"/>
      <c r="E339" s="1088"/>
      <c r="F339" s="2605"/>
      <c r="G339" s="2606"/>
      <c r="H339" s="2601" t="s">
        <v>1056</v>
      </c>
      <c r="I339" s="2613"/>
      <c r="J339" s="2614"/>
      <c r="K339" s="2615"/>
      <c r="L339" s="2338"/>
      <c r="M339" s="2339"/>
      <c r="N339" s="2618"/>
      <c r="O339" s="2619">
        <v>1</v>
      </c>
      <c r="P339" s="2620" t="s">
        <v>19</v>
      </c>
      <c r="Q339" s="2573" t="s">
        <v>22</v>
      </c>
      <c r="R339" s="2573" t="s">
        <v>22</v>
      </c>
      <c r="S339" s="2573" t="s">
        <v>22</v>
      </c>
      <c r="T339" s="2573" t="s">
        <v>22</v>
      </c>
      <c r="U339" s="2573" t="s">
        <v>22</v>
      </c>
      <c r="V339" s="2573" t="s">
        <v>22</v>
      </c>
      <c r="W339" s="2573" t="s">
        <v>22</v>
      </c>
      <c r="X339" s="2573" t="s">
        <v>22</v>
      </c>
      <c r="Y339" s="2573"/>
      <c r="Z339" s="1093"/>
      <c r="AA339" s="1094"/>
      <c r="AB339" s="1094"/>
      <c r="AC339" s="1098"/>
      <c r="AD339" s="1098"/>
      <c r="AE339" s="1099"/>
      <c r="AF339" s="2616"/>
      <c r="AG339" s="2617"/>
      <c r="AH339" s="2617"/>
      <c r="AI339" s="2616"/>
      <c r="AJ339" s="2617"/>
      <c r="AK339" s="2617"/>
      <c r="AL339" s="1900"/>
      <c r="AM339" s="1738"/>
      <c r="AN339" s="1738"/>
      <c r="AO339" s="1738"/>
      <c r="AP339" s="1738"/>
      <c r="AQ339" s="1738"/>
      <c r="AR339" s="1738"/>
      <c r="AS339" s="1738"/>
      <c r="AT339" s="1738"/>
      <c r="AU339" s="1738"/>
      <c r="AV339" s="1738"/>
      <c r="AW339" s="1738"/>
      <c r="AX339" s="1738"/>
      <c r="AY339" s="1738"/>
      <c r="AZ339" s="1738"/>
      <c r="BA339" s="1738"/>
      <c r="BB339" s="1738"/>
      <c r="BC339" s="1738"/>
      <c r="BD339" s="1738"/>
      <c r="BE339" s="1738"/>
      <c r="BF339" s="1738"/>
    </row>
    <row r="340" spans="1:58" ht="11.25" customHeight="1">
      <c r="A340" s="1084" t="s">
        <v>992</v>
      </c>
      <c r="B340" s="1084"/>
      <c r="C340" s="1084"/>
      <c r="D340" s="1078"/>
      <c r="E340" s="1088"/>
      <c r="F340" s="2605"/>
      <c r="G340" s="2606"/>
      <c r="H340" s="2601" t="s">
        <v>1056</v>
      </c>
      <c r="I340" s="2613"/>
      <c r="J340" s="2614"/>
      <c r="K340" s="2615"/>
      <c r="L340" s="2338"/>
      <c r="M340" s="2339"/>
      <c r="N340" s="2618"/>
      <c r="O340" s="2619"/>
      <c r="P340" s="2621"/>
      <c r="Q340" s="2573"/>
      <c r="R340" s="2573"/>
      <c r="S340" s="2623"/>
      <c r="T340" s="2573"/>
      <c r="U340" s="2573"/>
      <c r="V340" s="2573"/>
      <c r="W340" s="2573"/>
      <c r="X340" s="2573"/>
      <c r="Y340" s="2573"/>
      <c r="Z340" s="1743"/>
      <c r="AA340" s="1711">
        <v>1</v>
      </c>
      <c r="AB340" s="1097" t="s">
        <v>1036</v>
      </c>
      <c r="AC340" s="1087">
        <v>6470.0906846161697</v>
      </c>
      <c r="AD340" s="1097" t="str">
        <f>AB340</f>
        <v xml:space="preserve">      Прочие амортизационные отчисления</v>
      </c>
      <c r="AE340" s="1087"/>
      <c r="AF340" s="2616"/>
      <c r="AG340" s="2617"/>
      <c r="AH340" s="2617"/>
      <c r="AI340" s="2616"/>
      <c r="AJ340" s="2617"/>
      <c r="AK340" s="2617"/>
      <c r="AL340" s="1900"/>
      <c r="AM340" s="1738"/>
      <c r="AN340" s="1738"/>
      <c r="AO340" s="1738"/>
      <c r="AP340" s="1738"/>
      <c r="AQ340" s="1738"/>
      <c r="AR340" s="1738"/>
      <c r="AS340" s="1738"/>
      <c r="AT340" s="1738"/>
      <c r="AU340" s="1738"/>
      <c r="AV340" s="1738"/>
      <c r="AW340" s="1738"/>
      <c r="AX340" s="1738"/>
      <c r="AY340" s="1738"/>
      <c r="AZ340" s="1738"/>
      <c r="BA340" s="1738"/>
      <c r="BB340" s="1738"/>
      <c r="BC340" s="1738"/>
      <c r="BD340" s="1738"/>
      <c r="BE340" s="1738"/>
      <c r="BF340" s="1738"/>
    </row>
    <row r="341" spans="1:58" ht="11.25" customHeight="1">
      <c r="A341" s="1084" t="s">
        <v>992</v>
      </c>
      <c r="B341" s="1084"/>
      <c r="C341" s="1084"/>
      <c r="D341" s="1078"/>
      <c r="E341" s="1088"/>
      <c r="F341" s="2606"/>
      <c r="G341" s="2606"/>
      <c r="H341" s="2606"/>
      <c r="I341" s="2606"/>
      <c r="J341" s="2606"/>
      <c r="K341" s="2606"/>
      <c r="L341" s="2606"/>
      <c r="M341" s="2606"/>
      <c r="N341" s="2606"/>
      <c r="O341" s="2606"/>
      <c r="P341" s="2606"/>
      <c r="Q341" s="2606"/>
      <c r="R341" s="2606"/>
      <c r="S341" s="2606"/>
      <c r="T341" s="2606"/>
      <c r="U341" s="2606"/>
      <c r="V341" s="2606"/>
      <c r="W341" s="2606"/>
      <c r="X341" s="2606"/>
      <c r="Y341" s="2606"/>
      <c r="Z341" s="2054" t="s">
        <v>686</v>
      </c>
      <c r="AA341" s="1731" t="s">
        <v>109</v>
      </c>
      <c r="AB341" s="1097" t="s">
        <v>1028</v>
      </c>
      <c r="AC341" s="1087">
        <v>8308.9056453838293</v>
      </c>
      <c r="AD341" s="1097" t="str">
        <f>AB341</f>
        <v xml:space="preserve">  Прочие</v>
      </c>
      <c r="AE341" s="1087"/>
      <c r="AF341" s="2625"/>
      <c r="AG341" s="2626"/>
      <c r="AH341" s="2626"/>
      <c r="AI341" s="2625"/>
      <c r="AJ341" s="2626"/>
      <c r="AK341" s="2627"/>
      <c r="AL341" s="1900"/>
      <c r="AM341" s="1738"/>
      <c r="AN341" s="1738"/>
      <c r="AO341" s="1738"/>
      <c r="AP341" s="1738"/>
      <c r="AQ341" s="1738"/>
      <c r="AR341" s="1738"/>
      <c r="AS341" s="1738"/>
      <c r="AT341" s="1738"/>
      <c r="AU341" s="1738"/>
      <c r="AV341" s="1738"/>
      <c r="AW341" s="1738"/>
      <c r="AX341" s="1738"/>
      <c r="AY341" s="1738"/>
      <c r="AZ341" s="1738"/>
      <c r="BA341" s="1738"/>
      <c r="BB341" s="1738"/>
      <c r="BC341" s="1738"/>
      <c r="BD341" s="1738"/>
      <c r="BE341" s="1738"/>
      <c r="BF341" s="1738"/>
    </row>
    <row r="342" spans="1:58" ht="11.25" customHeight="1">
      <c r="A342" s="1084" t="s">
        <v>992</v>
      </c>
      <c r="B342" s="1084"/>
      <c r="C342" s="1084"/>
      <c r="D342" s="1078"/>
      <c r="E342" s="1088"/>
      <c r="F342" s="2605"/>
      <c r="G342" s="2606"/>
      <c r="H342" s="2601" t="s">
        <v>1056</v>
      </c>
      <c r="I342" s="2613"/>
      <c r="J342" s="2614"/>
      <c r="K342" s="2615"/>
      <c r="L342" s="2338"/>
      <c r="M342" s="2339"/>
      <c r="N342" s="2618"/>
      <c r="O342" s="2619"/>
      <c r="P342" s="2622"/>
      <c r="Q342" s="2573"/>
      <c r="R342" s="2573"/>
      <c r="S342" s="2623"/>
      <c r="T342" s="2573"/>
      <c r="U342" s="2573"/>
      <c r="V342" s="2573"/>
      <c r="W342" s="2573"/>
      <c r="X342" s="2573"/>
      <c r="Y342" s="2573"/>
      <c r="Z342" s="1093"/>
      <c r="AA342" s="1094"/>
      <c r="AB342" s="1159" t="s">
        <v>1029</v>
      </c>
      <c r="AC342" s="1098"/>
      <c r="AD342" s="1098"/>
      <c r="AE342" s="1100"/>
      <c r="AF342" s="2616"/>
      <c r="AG342" s="2617"/>
      <c r="AH342" s="2617"/>
      <c r="AI342" s="2616"/>
      <c r="AJ342" s="2617"/>
      <c r="AK342" s="2617"/>
      <c r="AL342" s="1900"/>
      <c r="AM342" s="1738"/>
      <c r="AN342" s="1738"/>
      <c r="AO342" s="1738"/>
      <c r="AP342" s="1738"/>
      <c r="AQ342" s="1738"/>
      <c r="AR342" s="1738"/>
      <c r="AS342" s="1738"/>
      <c r="AT342" s="1738"/>
      <c r="AU342" s="1738"/>
      <c r="AV342" s="1738"/>
      <c r="AW342" s="1738"/>
      <c r="AX342" s="1738"/>
      <c r="AY342" s="1738"/>
      <c r="AZ342" s="1738"/>
      <c r="BA342" s="1738"/>
      <c r="BB342" s="1738"/>
      <c r="BC342" s="1738"/>
      <c r="BD342" s="1738"/>
      <c r="BE342" s="1738"/>
      <c r="BF342" s="1738"/>
    </row>
    <row r="343" spans="1:58" ht="11.25" customHeight="1">
      <c r="A343" s="1084" t="s">
        <v>992</v>
      </c>
      <c r="B343" s="1084"/>
      <c r="C343" s="1084"/>
      <c r="D343" s="1078"/>
      <c r="E343" s="1088"/>
      <c r="F343" s="2605"/>
      <c r="G343" s="2606"/>
      <c r="H343" s="2601" t="s">
        <v>1056</v>
      </c>
      <c r="I343" s="2613"/>
      <c r="J343" s="2614"/>
      <c r="K343" s="2615"/>
      <c r="L343" s="2338"/>
      <c r="M343" s="2339"/>
      <c r="N343" s="1093"/>
      <c r="O343" s="1094"/>
      <c r="P343" s="1086" t="s">
        <v>1030</v>
      </c>
      <c r="Q343" s="1094"/>
      <c r="R343" s="1094"/>
      <c r="S343" s="1094"/>
      <c r="T343" s="1094"/>
      <c r="U343" s="1094"/>
      <c r="V343" s="1094"/>
      <c r="W343" s="1094"/>
      <c r="X343" s="1094"/>
      <c r="Y343" s="1094"/>
      <c r="Z343" s="1094"/>
      <c r="AA343" s="1094"/>
      <c r="AB343" s="1094"/>
      <c r="AC343" s="1094"/>
      <c r="AD343" s="1094"/>
      <c r="AE343" s="1101"/>
      <c r="AF343" s="2616"/>
      <c r="AG343" s="2617"/>
      <c r="AH343" s="2617"/>
      <c r="AI343" s="2616"/>
      <c r="AJ343" s="2617"/>
      <c r="AK343" s="2617"/>
      <c r="AL343" s="1900"/>
      <c r="AM343" s="1738"/>
      <c r="AN343" s="1738"/>
      <c r="AO343" s="1738"/>
      <c r="AP343" s="1738"/>
      <c r="AQ343" s="1738"/>
      <c r="AR343" s="1738"/>
      <c r="AS343" s="1738"/>
      <c r="AT343" s="1738"/>
      <c r="AU343" s="1738"/>
      <c r="AV343" s="1738"/>
      <c r="AW343" s="1738"/>
      <c r="AX343" s="1738"/>
      <c r="AY343" s="1738"/>
      <c r="AZ343" s="1738"/>
      <c r="BA343" s="1738"/>
      <c r="BB343" s="1738"/>
      <c r="BC343" s="1738"/>
      <c r="BD343" s="1738"/>
      <c r="BE343" s="1738"/>
      <c r="BF343" s="1738"/>
    </row>
    <row r="344" spans="1:58" ht="22.5" customHeight="1">
      <c r="A344" s="1084" t="s">
        <v>992</v>
      </c>
      <c r="B344" s="1084" t="s">
        <v>22</v>
      </c>
      <c r="C344" s="1084"/>
      <c r="D344" s="1078"/>
      <c r="E344" s="1088"/>
      <c r="F344" s="2605"/>
      <c r="G344" s="2590" t="s">
        <v>686</v>
      </c>
      <c r="H344" s="2601" t="s">
        <v>1059</v>
      </c>
      <c r="I344" s="2613" t="s">
        <v>1050</v>
      </c>
      <c r="J344" s="2614" t="s">
        <v>22</v>
      </c>
      <c r="K344" s="2615" t="s">
        <v>1069</v>
      </c>
      <c r="L344" s="2338" t="s">
        <v>19</v>
      </c>
      <c r="M344" s="2339"/>
      <c r="N344" s="1898"/>
      <c r="O344" s="1095" t="s">
        <v>373</v>
      </c>
      <c r="P344" s="1096"/>
      <c r="Q344" s="1096"/>
      <c r="R344" s="1096"/>
      <c r="S344" s="1096"/>
      <c r="T344" s="1096"/>
      <c r="U344" s="1096"/>
      <c r="V344" s="1096"/>
      <c r="W344" s="1096"/>
      <c r="X344" s="1096"/>
      <c r="Y344" s="1096"/>
      <c r="Z344" s="1096"/>
      <c r="AA344" s="1096"/>
      <c r="AB344" s="1096"/>
      <c r="AC344" s="1096"/>
      <c r="AD344" s="1096"/>
      <c r="AE344" s="1096"/>
      <c r="AF344" s="2616">
        <v>4</v>
      </c>
      <c r="AG344" s="2617" t="s">
        <v>1026</v>
      </c>
      <c r="AH344" s="2617" t="s">
        <v>1035</v>
      </c>
      <c r="AI344" s="2616"/>
      <c r="AJ344" s="2617"/>
      <c r="AK344" s="2617"/>
      <c r="AL344" s="1900"/>
      <c r="AM344" s="1738"/>
      <c r="AN344" s="1738"/>
      <c r="AO344" s="1738"/>
      <c r="AP344" s="1738"/>
      <c r="AQ344" s="1738"/>
      <c r="AR344" s="1738"/>
      <c r="AS344" s="1738"/>
      <c r="AT344" s="1738"/>
      <c r="AU344" s="1738"/>
      <c r="AV344" s="1738"/>
      <c r="AW344" s="1738"/>
      <c r="AX344" s="1738"/>
      <c r="AY344" s="1738"/>
      <c r="AZ344" s="1738"/>
      <c r="BA344" s="1738"/>
      <c r="BB344" s="1738"/>
      <c r="BC344" s="1738"/>
      <c r="BD344" s="1738"/>
      <c r="BE344" s="1738"/>
      <c r="BF344" s="1738"/>
    </row>
    <row r="345" spans="1:58" ht="11.25" customHeight="1">
      <c r="A345" s="1084" t="s">
        <v>992</v>
      </c>
      <c r="B345" s="1084"/>
      <c r="C345" s="1084"/>
      <c r="D345" s="1078"/>
      <c r="E345" s="1088"/>
      <c r="F345" s="2605"/>
      <c r="G345" s="2606"/>
      <c r="H345" s="2601" t="s">
        <v>1059</v>
      </c>
      <c r="I345" s="2613"/>
      <c r="J345" s="2614"/>
      <c r="K345" s="2615"/>
      <c r="L345" s="2338"/>
      <c r="M345" s="2339"/>
      <c r="N345" s="2618"/>
      <c r="O345" s="2619">
        <v>1</v>
      </c>
      <c r="P345" s="2620" t="s">
        <v>19</v>
      </c>
      <c r="Q345" s="2573" t="s">
        <v>22</v>
      </c>
      <c r="R345" s="2573" t="s">
        <v>22</v>
      </c>
      <c r="S345" s="2573" t="s">
        <v>22</v>
      </c>
      <c r="T345" s="2573" t="s">
        <v>22</v>
      </c>
      <c r="U345" s="2573" t="s">
        <v>22</v>
      </c>
      <c r="V345" s="2573" t="s">
        <v>22</v>
      </c>
      <c r="W345" s="2573" t="s">
        <v>22</v>
      </c>
      <c r="X345" s="2573" t="s">
        <v>22</v>
      </c>
      <c r="Y345" s="2573"/>
      <c r="Z345" s="1093"/>
      <c r="AA345" s="1094"/>
      <c r="AB345" s="1094"/>
      <c r="AC345" s="1098"/>
      <c r="AD345" s="1098"/>
      <c r="AE345" s="1099"/>
      <c r="AF345" s="2616"/>
      <c r="AG345" s="2617"/>
      <c r="AH345" s="2617"/>
      <c r="AI345" s="2616"/>
      <c r="AJ345" s="2617"/>
      <c r="AK345" s="2617"/>
      <c r="AL345" s="1900"/>
      <c r="AM345" s="1738"/>
      <c r="AN345" s="1738"/>
      <c r="AO345" s="1738"/>
      <c r="AP345" s="1738"/>
      <c r="AQ345" s="1738"/>
      <c r="AR345" s="1738"/>
      <c r="AS345" s="1738"/>
      <c r="AT345" s="1738"/>
      <c r="AU345" s="1738"/>
      <c r="AV345" s="1738"/>
      <c r="AW345" s="1738"/>
      <c r="AX345" s="1738"/>
      <c r="AY345" s="1738"/>
      <c r="AZ345" s="1738"/>
      <c r="BA345" s="1738"/>
      <c r="BB345" s="1738"/>
      <c r="BC345" s="1738"/>
      <c r="BD345" s="1738"/>
      <c r="BE345" s="1738"/>
      <c r="BF345" s="1738"/>
    </row>
    <row r="346" spans="1:58" ht="11.25" customHeight="1">
      <c r="A346" s="1084" t="s">
        <v>992</v>
      </c>
      <c r="B346" s="1084"/>
      <c r="C346" s="1084"/>
      <c r="D346" s="1078"/>
      <c r="E346" s="1088"/>
      <c r="F346" s="2605"/>
      <c r="G346" s="2606"/>
      <c r="H346" s="2601" t="s">
        <v>1059</v>
      </c>
      <c r="I346" s="2613"/>
      <c r="J346" s="2614"/>
      <c r="K346" s="2615"/>
      <c r="L346" s="2338"/>
      <c r="M346" s="2339"/>
      <c r="N346" s="2618"/>
      <c r="O346" s="2619"/>
      <c r="P346" s="2621"/>
      <c r="Q346" s="2573"/>
      <c r="R346" s="2573"/>
      <c r="S346" s="2623"/>
      <c r="T346" s="2573"/>
      <c r="U346" s="2573"/>
      <c r="V346" s="2573"/>
      <c r="W346" s="2573"/>
      <c r="X346" s="2573"/>
      <c r="Y346" s="2573"/>
      <c r="Z346" s="1743"/>
      <c r="AA346" s="1711">
        <v>1</v>
      </c>
      <c r="AB346" s="1097" t="s">
        <v>1036</v>
      </c>
      <c r="AC346" s="1087">
        <v>4200</v>
      </c>
      <c r="AD346" s="1097" t="str">
        <f>AB346</f>
        <v xml:space="preserve">      Прочие амортизационные отчисления</v>
      </c>
      <c r="AE346" s="1087"/>
      <c r="AF346" s="2616"/>
      <c r="AG346" s="2617"/>
      <c r="AH346" s="2617"/>
      <c r="AI346" s="2616"/>
      <c r="AJ346" s="2617"/>
      <c r="AK346" s="2617"/>
      <c r="AL346" s="1900"/>
      <c r="AM346" s="1738"/>
      <c r="AN346" s="1738"/>
      <c r="AO346" s="1738"/>
      <c r="AP346" s="1738"/>
      <c r="AQ346" s="1738"/>
      <c r="AR346" s="1738"/>
      <c r="AS346" s="1738"/>
      <c r="AT346" s="1738"/>
      <c r="AU346" s="1738"/>
      <c r="AV346" s="1738"/>
      <c r="AW346" s="1738"/>
      <c r="AX346" s="1738"/>
      <c r="AY346" s="1738"/>
      <c r="AZ346" s="1738"/>
      <c r="BA346" s="1738"/>
      <c r="BB346" s="1738"/>
      <c r="BC346" s="1738"/>
      <c r="BD346" s="1738"/>
      <c r="BE346" s="1738"/>
      <c r="BF346" s="1738"/>
    </row>
    <row r="347" spans="1:58" ht="11.25" customHeight="1">
      <c r="A347" s="1084" t="s">
        <v>992</v>
      </c>
      <c r="B347" s="1084"/>
      <c r="C347" s="1084"/>
      <c r="D347" s="1078"/>
      <c r="E347" s="1088"/>
      <c r="F347" s="2606"/>
      <c r="G347" s="2606"/>
      <c r="H347" s="2606"/>
      <c r="I347" s="2606"/>
      <c r="J347" s="2606"/>
      <c r="K347" s="2606"/>
      <c r="L347" s="2606"/>
      <c r="M347" s="2606"/>
      <c r="N347" s="2606"/>
      <c r="O347" s="2606"/>
      <c r="P347" s="2606"/>
      <c r="Q347" s="2606"/>
      <c r="R347" s="2606"/>
      <c r="S347" s="2606"/>
      <c r="T347" s="2606"/>
      <c r="U347" s="2606"/>
      <c r="V347" s="2606"/>
      <c r="W347" s="2606"/>
      <c r="X347" s="2606"/>
      <c r="Y347" s="2606"/>
      <c r="Z347" s="2054" t="s">
        <v>686</v>
      </c>
      <c r="AA347" s="1731" t="s">
        <v>109</v>
      </c>
      <c r="AB347" s="1097" t="s">
        <v>1028</v>
      </c>
      <c r="AC347" s="1087">
        <v>1800</v>
      </c>
      <c r="AD347" s="1097" t="str">
        <f>AB347</f>
        <v xml:space="preserve">  Прочие</v>
      </c>
      <c r="AE347" s="1087"/>
      <c r="AF347" s="2625"/>
      <c r="AG347" s="2626"/>
      <c r="AH347" s="2626"/>
      <c r="AI347" s="2625"/>
      <c r="AJ347" s="2626"/>
      <c r="AK347" s="2627"/>
      <c r="AL347" s="1900"/>
      <c r="AM347" s="1738"/>
      <c r="AN347" s="1738"/>
      <c r="AO347" s="1738"/>
      <c r="AP347" s="1738"/>
      <c r="AQ347" s="1738"/>
      <c r="AR347" s="1738"/>
      <c r="AS347" s="1738"/>
      <c r="AT347" s="1738"/>
      <c r="AU347" s="1738"/>
      <c r="AV347" s="1738"/>
      <c r="AW347" s="1738"/>
      <c r="AX347" s="1738"/>
      <c r="AY347" s="1738"/>
      <c r="AZ347" s="1738"/>
      <c r="BA347" s="1738"/>
      <c r="BB347" s="1738"/>
      <c r="BC347" s="1738"/>
      <c r="BD347" s="1738"/>
      <c r="BE347" s="1738"/>
      <c r="BF347" s="1738"/>
    </row>
    <row r="348" spans="1:58" ht="11.25" customHeight="1">
      <c r="A348" s="1084" t="s">
        <v>992</v>
      </c>
      <c r="B348" s="1084"/>
      <c r="C348" s="1084"/>
      <c r="D348" s="1078"/>
      <c r="E348" s="1088"/>
      <c r="F348" s="2605"/>
      <c r="G348" s="2606"/>
      <c r="H348" s="2601" t="s">
        <v>1059</v>
      </c>
      <c r="I348" s="2613"/>
      <c r="J348" s="2614"/>
      <c r="K348" s="2615"/>
      <c r="L348" s="2338"/>
      <c r="M348" s="2339"/>
      <c r="N348" s="2618"/>
      <c r="O348" s="2619"/>
      <c r="P348" s="2622"/>
      <c r="Q348" s="2573"/>
      <c r="R348" s="2573"/>
      <c r="S348" s="2623"/>
      <c r="T348" s="2573"/>
      <c r="U348" s="2573"/>
      <c r="V348" s="2573"/>
      <c r="W348" s="2573"/>
      <c r="X348" s="2573"/>
      <c r="Y348" s="2573"/>
      <c r="Z348" s="1093"/>
      <c r="AA348" s="1094"/>
      <c r="AB348" s="1159" t="s">
        <v>1029</v>
      </c>
      <c r="AC348" s="1098"/>
      <c r="AD348" s="1098"/>
      <c r="AE348" s="1100"/>
      <c r="AF348" s="2616"/>
      <c r="AG348" s="2617"/>
      <c r="AH348" s="2617"/>
      <c r="AI348" s="2616"/>
      <c r="AJ348" s="2617"/>
      <c r="AK348" s="2617"/>
      <c r="AL348" s="1900"/>
      <c r="AM348" s="1738"/>
      <c r="AN348" s="1738"/>
      <c r="AO348" s="1738"/>
      <c r="AP348" s="1738"/>
      <c r="AQ348" s="1738"/>
      <c r="AR348" s="1738"/>
      <c r="AS348" s="1738"/>
      <c r="AT348" s="1738"/>
      <c r="AU348" s="1738"/>
      <c r="AV348" s="1738"/>
      <c r="AW348" s="1738"/>
      <c r="AX348" s="1738"/>
      <c r="AY348" s="1738"/>
      <c r="AZ348" s="1738"/>
      <c r="BA348" s="1738"/>
      <c r="BB348" s="1738"/>
      <c r="BC348" s="1738"/>
      <c r="BD348" s="1738"/>
      <c r="BE348" s="1738"/>
      <c r="BF348" s="1738"/>
    </row>
    <row r="349" spans="1:58" ht="11.25" customHeight="1">
      <c r="A349" s="1084" t="s">
        <v>992</v>
      </c>
      <c r="B349" s="1084"/>
      <c r="C349" s="1084"/>
      <c r="D349" s="1078"/>
      <c r="E349" s="1088"/>
      <c r="F349" s="2605"/>
      <c r="G349" s="2606"/>
      <c r="H349" s="2601" t="s">
        <v>1059</v>
      </c>
      <c r="I349" s="2613"/>
      <c r="J349" s="2614"/>
      <c r="K349" s="2615"/>
      <c r="L349" s="2338"/>
      <c r="M349" s="2339"/>
      <c r="N349" s="1093"/>
      <c r="O349" s="1094"/>
      <c r="P349" s="1086" t="s">
        <v>1030</v>
      </c>
      <c r="Q349" s="1094"/>
      <c r="R349" s="1094"/>
      <c r="S349" s="1094"/>
      <c r="T349" s="1094"/>
      <c r="U349" s="1094"/>
      <c r="V349" s="1094"/>
      <c r="W349" s="1094"/>
      <c r="X349" s="1094"/>
      <c r="Y349" s="1094"/>
      <c r="Z349" s="1094"/>
      <c r="AA349" s="1094"/>
      <c r="AB349" s="1094"/>
      <c r="AC349" s="1094"/>
      <c r="AD349" s="1094"/>
      <c r="AE349" s="1101"/>
      <c r="AF349" s="2616"/>
      <c r="AG349" s="2617"/>
      <c r="AH349" s="2617"/>
      <c r="AI349" s="2616"/>
      <c r="AJ349" s="2617"/>
      <c r="AK349" s="2617"/>
      <c r="AL349" s="1900"/>
      <c r="AM349" s="1738"/>
      <c r="AN349" s="1738"/>
      <c r="AO349" s="1738"/>
      <c r="AP349" s="1738"/>
      <c r="AQ349" s="1738"/>
      <c r="AR349" s="1738"/>
      <c r="AS349" s="1738"/>
      <c r="AT349" s="1738"/>
      <c r="AU349" s="1738"/>
      <c r="AV349" s="1738"/>
      <c r="AW349" s="1738"/>
      <c r="AX349" s="1738"/>
      <c r="AY349" s="1738"/>
      <c r="AZ349" s="1738"/>
      <c r="BA349" s="1738"/>
      <c r="BB349" s="1738"/>
      <c r="BC349" s="1738"/>
      <c r="BD349" s="1738"/>
      <c r="BE349" s="1738"/>
      <c r="BF349" s="1738"/>
    </row>
    <row r="350" spans="1:58" ht="11.25" customHeight="1">
      <c r="A350" s="1084" t="s">
        <v>992</v>
      </c>
      <c r="B350" s="1084" t="s">
        <v>22</v>
      </c>
      <c r="C350" s="1084"/>
      <c r="D350" s="1078"/>
      <c r="E350" s="1088"/>
      <c r="F350" s="2605"/>
      <c r="G350" s="2590" t="s">
        <v>686</v>
      </c>
      <c r="H350" s="2601" t="s">
        <v>1061</v>
      </c>
      <c r="I350" s="2613" t="s">
        <v>1052</v>
      </c>
      <c r="J350" s="2614" t="s">
        <v>22</v>
      </c>
      <c r="K350" s="2615" t="s">
        <v>1055</v>
      </c>
      <c r="L350" s="2338" t="s">
        <v>19</v>
      </c>
      <c r="M350" s="2339"/>
      <c r="N350" s="1898"/>
      <c r="O350" s="1095" t="s">
        <v>373</v>
      </c>
      <c r="P350" s="1096"/>
      <c r="Q350" s="1096"/>
      <c r="R350" s="1096"/>
      <c r="S350" s="1096"/>
      <c r="T350" s="1096"/>
      <c r="U350" s="1096"/>
      <c r="V350" s="1096"/>
      <c r="W350" s="1096"/>
      <c r="X350" s="1096"/>
      <c r="Y350" s="1096"/>
      <c r="Z350" s="1096"/>
      <c r="AA350" s="1096"/>
      <c r="AB350" s="1096"/>
      <c r="AC350" s="1096"/>
      <c r="AD350" s="1096"/>
      <c r="AE350" s="1096"/>
      <c r="AF350" s="2616">
        <v>6</v>
      </c>
      <c r="AG350" s="2617" t="s">
        <v>1026</v>
      </c>
      <c r="AH350" s="2617" t="s">
        <v>1038</v>
      </c>
      <c r="AI350" s="2616"/>
      <c r="AJ350" s="2617"/>
      <c r="AK350" s="2617"/>
      <c r="AL350" s="1900"/>
      <c r="AM350" s="1738"/>
      <c r="AN350" s="1738"/>
      <c r="AO350" s="1738"/>
      <c r="AP350" s="1738"/>
      <c r="AQ350" s="1738"/>
      <c r="AR350" s="1738"/>
      <c r="AS350" s="1738"/>
      <c r="AT350" s="1738"/>
      <c r="AU350" s="1738"/>
      <c r="AV350" s="1738"/>
      <c r="AW350" s="1738"/>
      <c r="AX350" s="1738"/>
      <c r="AY350" s="1738"/>
      <c r="AZ350" s="1738"/>
      <c r="BA350" s="1738"/>
      <c r="BB350" s="1738"/>
      <c r="BC350" s="1738"/>
      <c r="BD350" s="1738"/>
      <c r="BE350" s="1738"/>
      <c r="BF350" s="1738"/>
    </row>
    <row r="351" spans="1:58" ht="11.25" customHeight="1">
      <c r="A351" s="1084" t="s">
        <v>992</v>
      </c>
      <c r="B351" s="1084"/>
      <c r="C351" s="1084"/>
      <c r="D351" s="1078"/>
      <c r="E351" s="1088"/>
      <c r="F351" s="2605"/>
      <c r="G351" s="2606"/>
      <c r="H351" s="2601" t="s">
        <v>1061</v>
      </c>
      <c r="I351" s="2613"/>
      <c r="J351" s="2614"/>
      <c r="K351" s="2615"/>
      <c r="L351" s="2338"/>
      <c r="M351" s="2339"/>
      <c r="N351" s="2618"/>
      <c r="O351" s="2619">
        <v>1</v>
      </c>
      <c r="P351" s="2620" t="s">
        <v>19</v>
      </c>
      <c r="Q351" s="2573" t="s">
        <v>22</v>
      </c>
      <c r="R351" s="2573" t="s">
        <v>22</v>
      </c>
      <c r="S351" s="2573" t="s">
        <v>22</v>
      </c>
      <c r="T351" s="2573" t="s">
        <v>22</v>
      </c>
      <c r="U351" s="2573" t="s">
        <v>22</v>
      </c>
      <c r="V351" s="2573" t="s">
        <v>22</v>
      </c>
      <c r="W351" s="2573" t="s">
        <v>22</v>
      </c>
      <c r="X351" s="2573" t="s">
        <v>22</v>
      </c>
      <c r="Y351" s="2573"/>
      <c r="Z351" s="1093"/>
      <c r="AA351" s="1094"/>
      <c r="AB351" s="1094"/>
      <c r="AC351" s="1098"/>
      <c r="AD351" s="1098"/>
      <c r="AE351" s="1099"/>
      <c r="AF351" s="2616"/>
      <c r="AG351" s="2617"/>
      <c r="AH351" s="2617"/>
      <c r="AI351" s="2616"/>
      <c r="AJ351" s="2617"/>
      <c r="AK351" s="2617"/>
      <c r="AL351" s="1900"/>
      <c r="AM351" s="1738"/>
      <c r="AN351" s="1738"/>
      <c r="AO351" s="1738"/>
      <c r="AP351" s="1738"/>
      <c r="AQ351" s="1738"/>
      <c r="AR351" s="1738"/>
      <c r="AS351" s="1738"/>
      <c r="AT351" s="1738"/>
      <c r="AU351" s="1738"/>
      <c r="AV351" s="1738"/>
      <c r="AW351" s="1738"/>
      <c r="AX351" s="1738"/>
      <c r="AY351" s="1738"/>
      <c r="AZ351" s="1738"/>
      <c r="BA351" s="1738"/>
      <c r="BB351" s="1738"/>
      <c r="BC351" s="1738"/>
      <c r="BD351" s="1738"/>
      <c r="BE351" s="1738"/>
      <c r="BF351" s="1738"/>
    </row>
    <row r="352" spans="1:58" ht="11.25" customHeight="1">
      <c r="A352" s="1084" t="s">
        <v>992</v>
      </c>
      <c r="B352" s="1084"/>
      <c r="C352" s="1084"/>
      <c r="D352" s="1078"/>
      <c r="E352" s="1088"/>
      <c r="F352" s="2605"/>
      <c r="G352" s="2606"/>
      <c r="H352" s="2601" t="s">
        <v>1061</v>
      </c>
      <c r="I352" s="2613"/>
      <c r="J352" s="2614"/>
      <c r="K352" s="2615"/>
      <c r="L352" s="2338"/>
      <c r="M352" s="2339"/>
      <c r="N352" s="2618"/>
      <c r="O352" s="2619"/>
      <c r="P352" s="2621"/>
      <c r="Q352" s="2573"/>
      <c r="R352" s="2573"/>
      <c r="S352" s="2623"/>
      <c r="T352" s="2573"/>
      <c r="U352" s="2573"/>
      <c r="V352" s="2573"/>
      <c r="W352" s="2573"/>
      <c r="X352" s="2573"/>
      <c r="Y352" s="2573"/>
      <c r="Z352" s="1743"/>
      <c r="AA352" s="1711">
        <v>1</v>
      </c>
      <c r="AB352" s="1097" t="s">
        <v>1036</v>
      </c>
      <c r="AC352" s="1087">
        <v>160558.438599683</v>
      </c>
      <c r="AD352" s="1097" t="str">
        <f>AB352</f>
        <v xml:space="preserve">      Прочие амортизационные отчисления</v>
      </c>
      <c r="AE352" s="1087"/>
      <c r="AF352" s="2616"/>
      <c r="AG352" s="2617"/>
      <c r="AH352" s="2617"/>
      <c r="AI352" s="2616"/>
      <c r="AJ352" s="2617"/>
      <c r="AK352" s="2617"/>
      <c r="AL352" s="1900"/>
      <c r="AM352" s="1738"/>
      <c r="AN352" s="1738"/>
      <c r="AO352" s="1738"/>
      <c r="AP352" s="1738"/>
      <c r="AQ352" s="1738"/>
      <c r="AR352" s="1738"/>
      <c r="AS352" s="1738"/>
      <c r="AT352" s="1738"/>
      <c r="AU352" s="1738"/>
      <c r="AV352" s="1738"/>
      <c r="AW352" s="1738"/>
      <c r="AX352" s="1738"/>
      <c r="AY352" s="1738"/>
      <c r="AZ352" s="1738"/>
      <c r="BA352" s="1738"/>
      <c r="BB352" s="1738"/>
      <c r="BC352" s="1738"/>
      <c r="BD352" s="1738"/>
      <c r="BE352" s="1738"/>
      <c r="BF352" s="1738"/>
    </row>
    <row r="353" spans="1:58" ht="11.25" customHeight="1">
      <c r="A353" s="1084" t="s">
        <v>992</v>
      </c>
      <c r="B353" s="1084"/>
      <c r="C353" s="1084"/>
      <c r="D353" s="1078"/>
      <c r="E353" s="1088"/>
      <c r="F353" s="2606"/>
      <c r="G353" s="2606"/>
      <c r="H353" s="2606"/>
      <c r="I353" s="2606"/>
      <c r="J353" s="2606"/>
      <c r="K353" s="2606"/>
      <c r="L353" s="2606"/>
      <c r="M353" s="2606"/>
      <c r="N353" s="2606"/>
      <c r="O353" s="2606"/>
      <c r="P353" s="2606"/>
      <c r="Q353" s="2606"/>
      <c r="R353" s="2606"/>
      <c r="S353" s="2606"/>
      <c r="T353" s="2606"/>
      <c r="U353" s="2606"/>
      <c r="V353" s="2606"/>
      <c r="W353" s="2606"/>
      <c r="X353" s="2606"/>
      <c r="Y353" s="2606"/>
      <c r="Z353" s="2054" t="s">
        <v>686</v>
      </c>
      <c r="AA353" s="1731" t="s">
        <v>109</v>
      </c>
      <c r="AB353" s="1097" t="s">
        <v>1028</v>
      </c>
      <c r="AC353" s="1087">
        <v>276107.931400317</v>
      </c>
      <c r="AD353" s="1097" t="str">
        <f>AB353</f>
        <v xml:space="preserve">  Прочие</v>
      </c>
      <c r="AE353" s="1087"/>
      <c r="AF353" s="2625"/>
      <c r="AG353" s="2626"/>
      <c r="AH353" s="2626"/>
      <c r="AI353" s="2625"/>
      <c r="AJ353" s="2626"/>
      <c r="AK353" s="2627"/>
      <c r="AL353" s="1900"/>
      <c r="AM353" s="1738"/>
      <c r="AN353" s="1738"/>
      <c r="AO353" s="1738"/>
      <c r="AP353" s="1738"/>
      <c r="AQ353" s="1738"/>
      <c r="AR353" s="1738"/>
      <c r="AS353" s="1738"/>
      <c r="AT353" s="1738"/>
      <c r="AU353" s="1738"/>
      <c r="AV353" s="1738"/>
      <c r="AW353" s="1738"/>
      <c r="AX353" s="1738"/>
      <c r="AY353" s="1738"/>
      <c r="AZ353" s="1738"/>
      <c r="BA353" s="1738"/>
      <c r="BB353" s="1738"/>
      <c r="BC353" s="1738"/>
      <c r="BD353" s="1738"/>
      <c r="BE353" s="1738"/>
      <c r="BF353" s="1738"/>
    </row>
    <row r="354" spans="1:58" ht="11.25" customHeight="1">
      <c r="A354" s="1084" t="s">
        <v>992</v>
      </c>
      <c r="B354" s="1084"/>
      <c r="C354" s="1084"/>
      <c r="D354" s="1078"/>
      <c r="E354" s="1088"/>
      <c r="F354" s="2605"/>
      <c r="G354" s="2606"/>
      <c r="H354" s="2601" t="s">
        <v>1061</v>
      </c>
      <c r="I354" s="2613"/>
      <c r="J354" s="2614"/>
      <c r="K354" s="2615"/>
      <c r="L354" s="2338"/>
      <c r="M354" s="2339"/>
      <c r="N354" s="2618"/>
      <c r="O354" s="2619"/>
      <c r="P354" s="2622"/>
      <c r="Q354" s="2573"/>
      <c r="R354" s="2573"/>
      <c r="S354" s="2623"/>
      <c r="T354" s="2573"/>
      <c r="U354" s="2573"/>
      <c r="V354" s="2573"/>
      <c r="W354" s="2573"/>
      <c r="X354" s="2573"/>
      <c r="Y354" s="2573"/>
      <c r="Z354" s="1093"/>
      <c r="AA354" s="1094"/>
      <c r="AB354" s="1159" t="s">
        <v>1029</v>
      </c>
      <c r="AC354" s="1098"/>
      <c r="AD354" s="1098"/>
      <c r="AE354" s="1100"/>
      <c r="AF354" s="2616"/>
      <c r="AG354" s="2617"/>
      <c r="AH354" s="2617"/>
      <c r="AI354" s="2616"/>
      <c r="AJ354" s="2617"/>
      <c r="AK354" s="2617"/>
      <c r="AL354" s="1900"/>
      <c r="AM354" s="1738"/>
      <c r="AN354" s="1738"/>
      <c r="AO354" s="1738"/>
      <c r="AP354" s="1738"/>
      <c r="AQ354" s="1738"/>
      <c r="AR354" s="1738"/>
      <c r="AS354" s="1738"/>
      <c r="AT354" s="1738"/>
      <c r="AU354" s="1738"/>
      <c r="AV354" s="1738"/>
      <c r="AW354" s="1738"/>
      <c r="AX354" s="1738"/>
      <c r="AY354" s="1738"/>
      <c r="AZ354" s="1738"/>
      <c r="BA354" s="1738"/>
      <c r="BB354" s="1738"/>
      <c r="BC354" s="1738"/>
      <c r="BD354" s="1738"/>
      <c r="BE354" s="1738"/>
      <c r="BF354" s="1738"/>
    </row>
    <row r="355" spans="1:58" ht="11.25" customHeight="1">
      <c r="A355" s="1084" t="s">
        <v>992</v>
      </c>
      <c r="B355" s="1084"/>
      <c r="C355" s="1084"/>
      <c r="D355" s="1078"/>
      <c r="E355" s="1088"/>
      <c r="F355" s="2605"/>
      <c r="G355" s="2606"/>
      <c r="H355" s="2601" t="s">
        <v>1061</v>
      </c>
      <c r="I355" s="2613"/>
      <c r="J355" s="2614"/>
      <c r="K355" s="2615"/>
      <c r="L355" s="2338"/>
      <c r="M355" s="2339"/>
      <c r="N355" s="1093"/>
      <c r="O355" s="1094"/>
      <c r="P355" s="1086" t="s">
        <v>1030</v>
      </c>
      <c r="Q355" s="1094"/>
      <c r="R355" s="1094"/>
      <c r="S355" s="1094"/>
      <c r="T355" s="1094"/>
      <c r="U355" s="1094"/>
      <c r="V355" s="1094"/>
      <c r="W355" s="1094"/>
      <c r="X355" s="1094"/>
      <c r="Y355" s="1094"/>
      <c r="Z355" s="1094"/>
      <c r="AA355" s="1094"/>
      <c r="AB355" s="1094"/>
      <c r="AC355" s="1094"/>
      <c r="AD355" s="1094"/>
      <c r="AE355" s="1101"/>
      <c r="AF355" s="2616"/>
      <c r="AG355" s="2617"/>
      <c r="AH355" s="2617"/>
      <c r="AI355" s="2616"/>
      <c r="AJ355" s="2617"/>
      <c r="AK355" s="2617"/>
      <c r="AL355" s="1900"/>
      <c r="AM355" s="1738"/>
      <c r="AN355" s="1738"/>
      <c r="AO355" s="1738"/>
      <c r="AP355" s="1738"/>
      <c r="AQ355" s="1738"/>
      <c r="AR355" s="1738"/>
      <c r="AS355" s="1738"/>
      <c r="AT355" s="1738"/>
      <c r="AU355" s="1738"/>
      <c r="AV355" s="1738"/>
      <c r="AW355" s="1738"/>
      <c r="AX355" s="1738"/>
      <c r="AY355" s="1738"/>
      <c r="AZ355" s="1738"/>
      <c r="BA355" s="1738"/>
      <c r="BB355" s="1738"/>
      <c r="BC355" s="1738"/>
      <c r="BD355" s="1738"/>
      <c r="BE355" s="1738"/>
      <c r="BF355" s="1738"/>
    </row>
    <row r="356" spans="1:58" ht="20.25" customHeight="1">
      <c r="A356" s="1084" t="s">
        <v>992</v>
      </c>
      <c r="B356" s="1084" t="s">
        <v>1031</v>
      </c>
      <c r="C356" s="1084"/>
      <c r="D356" s="1078"/>
      <c r="E356" s="1088"/>
      <c r="F356" s="2605"/>
      <c r="G356" s="2590" t="s">
        <v>686</v>
      </c>
      <c r="H356" s="2601" t="s">
        <v>1070</v>
      </c>
      <c r="I356" s="2613" t="s">
        <v>1032</v>
      </c>
      <c r="J356" s="2624" t="s">
        <v>1033</v>
      </c>
      <c r="K356" s="2615" t="s">
        <v>1065</v>
      </c>
      <c r="L356" s="2338" t="s">
        <v>19</v>
      </c>
      <c r="M356" s="2339"/>
      <c r="N356" s="1898"/>
      <c r="O356" s="1095" t="s">
        <v>373</v>
      </c>
      <c r="P356" s="1096"/>
      <c r="Q356" s="1096"/>
      <c r="R356" s="1096"/>
      <c r="S356" s="1096"/>
      <c r="T356" s="1096"/>
      <c r="U356" s="1096"/>
      <c r="V356" s="1096"/>
      <c r="W356" s="1096"/>
      <c r="X356" s="1096"/>
      <c r="Y356" s="1096"/>
      <c r="Z356" s="1096"/>
      <c r="AA356" s="1096"/>
      <c r="AB356" s="1096"/>
      <c r="AC356" s="1096"/>
      <c r="AD356" s="1096"/>
      <c r="AE356" s="1096"/>
      <c r="AF356" s="2616">
        <v>4</v>
      </c>
      <c r="AG356" s="2617" t="s">
        <v>1026</v>
      </c>
      <c r="AH356" s="2617" t="s">
        <v>1035</v>
      </c>
      <c r="AI356" s="2616"/>
      <c r="AJ356" s="2617"/>
      <c r="AK356" s="2617"/>
      <c r="AL356" s="1900"/>
      <c r="AM356" s="1738"/>
      <c r="AN356" s="1738"/>
      <c r="AO356" s="1738"/>
      <c r="AP356" s="1738"/>
      <c r="AQ356" s="1738"/>
      <c r="AR356" s="1738"/>
      <c r="AS356" s="1738"/>
      <c r="AT356" s="1738"/>
      <c r="AU356" s="1738"/>
      <c r="AV356" s="1738"/>
      <c r="AW356" s="1738"/>
      <c r="AX356" s="1738"/>
      <c r="AY356" s="1738"/>
      <c r="AZ356" s="1738"/>
      <c r="BA356" s="1738"/>
      <c r="BB356" s="1738"/>
      <c r="BC356" s="1738"/>
      <c r="BD356" s="1738"/>
      <c r="BE356" s="1738"/>
      <c r="BF356" s="1738"/>
    </row>
    <row r="357" spans="1:58" ht="11.25" customHeight="1">
      <c r="A357" s="1084" t="s">
        <v>992</v>
      </c>
      <c r="B357" s="1084"/>
      <c r="C357" s="1084"/>
      <c r="D357" s="1078"/>
      <c r="E357" s="1088"/>
      <c r="F357" s="2605"/>
      <c r="G357" s="2606"/>
      <c r="H357" s="2601" t="s">
        <v>1070</v>
      </c>
      <c r="I357" s="2613"/>
      <c r="J357" s="2624"/>
      <c r="K357" s="2615"/>
      <c r="L357" s="2338"/>
      <c r="M357" s="2339"/>
      <c r="N357" s="2618"/>
      <c r="O357" s="2619">
        <v>1</v>
      </c>
      <c r="P357" s="2620" t="s">
        <v>19</v>
      </c>
      <c r="Q357" s="2573" t="s">
        <v>22</v>
      </c>
      <c r="R357" s="2573" t="s">
        <v>22</v>
      </c>
      <c r="S357" s="2573" t="s">
        <v>22</v>
      </c>
      <c r="T357" s="2573" t="s">
        <v>22</v>
      </c>
      <c r="U357" s="2573" t="s">
        <v>22</v>
      </c>
      <c r="V357" s="2573" t="s">
        <v>22</v>
      </c>
      <c r="W357" s="2573" t="s">
        <v>22</v>
      </c>
      <c r="X357" s="2573" t="s">
        <v>22</v>
      </c>
      <c r="Y357" s="2573"/>
      <c r="Z357" s="1093"/>
      <c r="AA357" s="1094"/>
      <c r="AB357" s="1094"/>
      <c r="AC357" s="1098"/>
      <c r="AD357" s="1098"/>
      <c r="AE357" s="1099"/>
      <c r="AF357" s="2616"/>
      <c r="AG357" s="2617"/>
      <c r="AH357" s="2617"/>
      <c r="AI357" s="2616"/>
      <c r="AJ357" s="2617"/>
      <c r="AK357" s="2617"/>
      <c r="AL357" s="1900"/>
      <c r="AM357" s="1738"/>
      <c r="AN357" s="1738"/>
      <c r="AO357" s="1738"/>
      <c r="AP357" s="1738"/>
      <c r="AQ357" s="1738"/>
      <c r="AR357" s="1738"/>
      <c r="AS357" s="1738"/>
      <c r="AT357" s="1738"/>
      <c r="AU357" s="1738"/>
      <c r="AV357" s="1738"/>
      <c r="AW357" s="1738"/>
      <c r="AX357" s="1738"/>
      <c r="AY357" s="1738"/>
      <c r="AZ357" s="1738"/>
      <c r="BA357" s="1738"/>
      <c r="BB357" s="1738"/>
      <c r="BC357" s="1738"/>
      <c r="BD357" s="1738"/>
      <c r="BE357" s="1738"/>
      <c r="BF357" s="1738"/>
    </row>
    <row r="358" spans="1:58" ht="11.25" customHeight="1">
      <c r="A358" s="1084" t="s">
        <v>992</v>
      </c>
      <c r="B358" s="1084"/>
      <c r="C358" s="1084"/>
      <c r="D358" s="1078"/>
      <c r="E358" s="1088"/>
      <c r="F358" s="2605"/>
      <c r="G358" s="2606"/>
      <c r="H358" s="2601" t="s">
        <v>1070</v>
      </c>
      <c r="I358" s="2613"/>
      <c r="J358" s="2624"/>
      <c r="K358" s="2615"/>
      <c r="L358" s="2338"/>
      <c r="M358" s="2339"/>
      <c r="N358" s="2618"/>
      <c r="O358" s="2619"/>
      <c r="P358" s="2621"/>
      <c r="Q358" s="2573"/>
      <c r="R358" s="2573"/>
      <c r="S358" s="2623"/>
      <c r="T358" s="2573"/>
      <c r="U358" s="2573"/>
      <c r="V358" s="2573"/>
      <c r="W358" s="2573"/>
      <c r="X358" s="2573"/>
      <c r="Y358" s="2573"/>
      <c r="Z358" s="1743"/>
      <c r="AA358" s="1711">
        <v>1</v>
      </c>
      <c r="AB358" s="1097" t="s">
        <v>1036</v>
      </c>
      <c r="AC358" s="1087">
        <v>5745.72963146026</v>
      </c>
      <c r="AD358" s="1097" t="str">
        <f>AB358</f>
        <v xml:space="preserve">      Прочие амортизационные отчисления</v>
      </c>
      <c r="AE358" s="1087"/>
      <c r="AF358" s="2616"/>
      <c r="AG358" s="2617"/>
      <c r="AH358" s="2617"/>
      <c r="AI358" s="2616"/>
      <c r="AJ358" s="2617"/>
      <c r="AK358" s="2617"/>
      <c r="AL358" s="1900"/>
      <c r="AM358" s="1738"/>
      <c r="AN358" s="1738"/>
      <c r="AO358" s="1738"/>
      <c r="AP358" s="1738"/>
      <c r="AQ358" s="1738"/>
      <c r="AR358" s="1738"/>
      <c r="AS358" s="1738"/>
      <c r="AT358" s="1738"/>
      <c r="AU358" s="1738"/>
      <c r="AV358" s="1738"/>
      <c r="AW358" s="1738"/>
      <c r="AX358" s="1738"/>
      <c r="AY358" s="1738"/>
      <c r="AZ358" s="1738"/>
      <c r="BA358" s="1738"/>
      <c r="BB358" s="1738"/>
      <c r="BC358" s="1738"/>
      <c r="BD358" s="1738"/>
      <c r="BE358" s="1738"/>
      <c r="BF358" s="1738"/>
    </row>
    <row r="359" spans="1:58" ht="11.25" customHeight="1">
      <c r="A359" s="1084" t="s">
        <v>992</v>
      </c>
      <c r="B359" s="1084"/>
      <c r="C359" s="1084"/>
      <c r="D359" s="1078"/>
      <c r="E359" s="1088"/>
      <c r="F359" s="2606"/>
      <c r="G359" s="2606"/>
      <c r="H359" s="2606"/>
      <c r="I359" s="2606"/>
      <c r="J359" s="2606"/>
      <c r="K359" s="2606"/>
      <c r="L359" s="2606"/>
      <c r="M359" s="2606"/>
      <c r="N359" s="2606"/>
      <c r="O359" s="2606"/>
      <c r="P359" s="2606"/>
      <c r="Q359" s="2606"/>
      <c r="R359" s="2606"/>
      <c r="S359" s="2606"/>
      <c r="T359" s="2606"/>
      <c r="U359" s="2606"/>
      <c r="V359" s="2606"/>
      <c r="W359" s="2606"/>
      <c r="X359" s="2606"/>
      <c r="Y359" s="2606"/>
      <c r="Z359" s="2054" t="s">
        <v>686</v>
      </c>
      <c r="AA359" s="1731" t="s">
        <v>109</v>
      </c>
      <c r="AB359" s="1097" t="s">
        <v>1028</v>
      </c>
      <c r="AC359" s="1087">
        <v>83301.570368539702</v>
      </c>
      <c r="AD359" s="1097" t="str">
        <f>AB359</f>
        <v xml:space="preserve">  Прочие</v>
      </c>
      <c r="AE359" s="1087"/>
      <c r="AF359" s="2625"/>
      <c r="AG359" s="2626"/>
      <c r="AH359" s="2626"/>
      <c r="AI359" s="2625"/>
      <c r="AJ359" s="2626"/>
      <c r="AK359" s="2627"/>
      <c r="AL359" s="1900"/>
      <c r="AM359" s="1738"/>
      <c r="AN359" s="1738"/>
      <c r="AO359" s="1738"/>
      <c r="AP359" s="1738"/>
      <c r="AQ359" s="1738"/>
      <c r="AR359" s="1738"/>
      <c r="AS359" s="1738"/>
      <c r="AT359" s="1738"/>
      <c r="AU359" s="1738"/>
      <c r="AV359" s="1738"/>
      <c r="AW359" s="1738"/>
      <c r="AX359" s="1738"/>
      <c r="AY359" s="1738"/>
      <c r="AZ359" s="1738"/>
      <c r="BA359" s="1738"/>
      <c r="BB359" s="1738"/>
      <c r="BC359" s="1738"/>
      <c r="BD359" s="1738"/>
      <c r="BE359" s="1738"/>
      <c r="BF359" s="1738"/>
    </row>
    <row r="360" spans="1:58" ht="11.25" customHeight="1">
      <c r="A360" s="1084" t="s">
        <v>992</v>
      </c>
      <c r="B360" s="1084"/>
      <c r="C360" s="1084"/>
      <c r="D360" s="1078"/>
      <c r="E360" s="1088"/>
      <c r="F360" s="2605"/>
      <c r="G360" s="2606"/>
      <c r="H360" s="2601" t="s">
        <v>1070</v>
      </c>
      <c r="I360" s="2613"/>
      <c r="J360" s="2624"/>
      <c r="K360" s="2615"/>
      <c r="L360" s="2338"/>
      <c r="M360" s="2339"/>
      <c r="N360" s="2618"/>
      <c r="O360" s="2619"/>
      <c r="P360" s="2622"/>
      <c r="Q360" s="2573"/>
      <c r="R360" s="2573"/>
      <c r="S360" s="2623"/>
      <c r="T360" s="2573"/>
      <c r="U360" s="2573"/>
      <c r="V360" s="2573"/>
      <c r="W360" s="2573"/>
      <c r="X360" s="2573"/>
      <c r="Y360" s="2573"/>
      <c r="Z360" s="1093"/>
      <c r="AA360" s="1094"/>
      <c r="AB360" s="1159" t="s">
        <v>1029</v>
      </c>
      <c r="AC360" s="1098"/>
      <c r="AD360" s="1098"/>
      <c r="AE360" s="1100"/>
      <c r="AF360" s="2616"/>
      <c r="AG360" s="2617"/>
      <c r="AH360" s="2617"/>
      <c r="AI360" s="2616"/>
      <c r="AJ360" s="2617"/>
      <c r="AK360" s="2617"/>
      <c r="AL360" s="1900"/>
      <c r="AM360" s="1738"/>
      <c r="AN360" s="1738"/>
      <c r="AO360" s="1738"/>
      <c r="AP360" s="1738"/>
      <c r="AQ360" s="1738"/>
      <c r="AR360" s="1738"/>
      <c r="AS360" s="1738"/>
      <c r="AT360" s="1738"/>
      <c r="AU360" s="1738"/>
      <c r="AV360" s="1738"/>
      <c r="AW360" s="1738"/>
      <c r="AX360" s="1738"/>
      <c r="AY360" s="1738"/>
      <c r="AZ360" s="1738"/>
      <c r="BA360" s="1738"/>
      <c r="BB360" s="1738"/>
      <c r="BC360" s="1738"/>
      <c r="BD360" s="1738"/>
      <c r="BE360" s="1738"/>
      <c r="BF360" s="1738"/>
    </row>
    <row r="361" spans="1:58" ht="11.25" customHeight="1">
      <c r="A361" s="1084" t="s">
        <v>992</v>
      </c>
      <c r="B361" s="1084"/>
      <c r="C361" s="1084"/>
      <c r="D361" s="1078"/>
      <c r="E361" s="1088"/>
      <c r="F361" s="2605"/>
      <c r="G361" s="2606"/>
      <c r="H361" s="2601" t="s">
        <v>1070</v>
      </c>
      <c r="I361" s="2613"/>
      <c r="J361" s="2624"/>
      <c r="K361" s="2615"/>
      <c r="L361" s="2338"/>
      <c r="M361" s="2339"/>
      <c r="N361" s="1093"/>
      <c r="O361" s="1094"/>
      <c r="P361" s="1086" t="s">
        <v>1030</v>
      </c>
      <c r="Q361" s="1094"/>
      <c r="R361" s="1094"/>
      <c r="S361" s="1094"/>
      <c r="T361" s="1094"/>
      <c r="U361" s="1094"/>
      <c r="V361" s="1094"/>
      <c r="W361" s="1094"/>
      <c r="X361" s="1094"/>
      <c r="Y361" s="1094"/>
      <c r="Z361" s="1094"/>
      <c r="AA361" s="1094"/>
      <c r="AB361" s="1094"/>
      <c r="AC361" s="1094"/>
      <c r="AD361" s="1094"/>
      <c r="AE361" s="1101"/>
      <c r="AF361" s="2616"/>
      <c r="AG361" s="2617"/>
      <c r="AH361" s="2617"/>
      <c r="AI361" s="2616"/>
      <c r="AJ361" s="2617"/>
      <c r="AK361" s="2617"/>
      <c r="AL361" s="1900"/>
      <c r="AM361" s="1738"/>
      <c r="AN361" s="1738"/>
      <c r="AO361" s="1738"/>
      <c r="AP361" s="1738"/>
      <c r="AQ361" s="1738"/>
      <c r="AR361" s="1738"/>
      <c r="AS361" s="1738"/>
      <c r="AT361" s="1738"/>
      <c r="AU361" s="1738"/>
      <c r="AV361" s="1738"/>
      <c r="AW361" s="1738"/>
      <c r="AX361" s="1738"/>
      <c r="AY361" s="1738"/>
      <c r="AZ361" s="1738"/>
      <c r="BA361" s="1738"/>
      <c r="BB361" s="1738"/>
      <c r="BC361" s="1738"/>
      <c r="BD361" s="1738"/>
      <c r="BE361" s="1738"/>
      <c r="BF361" s="1738"/>
    </row>
    <row r="362" spans="1:58" ht="11.25" customHeight="1">
      <c r="A362" s="1084" t="s">
        <v>992</v>
      </c>
      <c r="B362" s="1084" t="s">
        <v>1031</v>
      </c>
      <c r="C362" s="1084"/>
      <c r="D362" s="1078"/>
      <c r="E362" s="1088"/>
      <c r="F362" s="2605"/>
      <c r="G362" s="2590" t="s">
        <v>686</v>
      </c>
      <c r="H362" s="2601" t="s">
        <v>1071</v>
      </c>
      <c r="I362" s="2613" t="s">
        <v>1032</v>
      </c>
      <c r="J362" s="2624" t="s">
        <v>1033</v>
      </c>
      <c r="K362" s="2615" t="s">
        <v>1067</v>
      </c>
      <c r="L362" s="2338" t="s">
        <v>19</v>
      </c>
      <c r="M362" s="2339"/>
      <c r="N362" s="1898"/>
      <c r="O362" s="1095" t="s">
        <v>373</v>
      </c>
      <c r="P362" s="1096"/>
      <c r="Q362" s="1096"/>
      <c r="R362" s="1096"/>
      <c r="S362" s="1096"/>
      <c r="T362" s="1096"/>
      <c r="U362" s="1096"/>
      <c r="V362" s="1096"/>
      <c r="W362" s="1096"/>
      <c r="X362" s="1096"/>
      <c r="Y362" s="1096"/>
      <c r="Z362" s="1096"/>
      <c r="AA362" s="1096"/>
      <c r="AB362" s="1096"/>
      <c r="AC362" s="1096"/>
      <c r="AD362" s="1096"/>
      <c r="AE362" s="1096"/>
      <c r="AF362" s="2616">
        <v>4</v>
      </c>
      <c r="AG362" s="2617" t="s">
        <v>1026</v>
      </c>
      <c r="AH362" s="2617" t="s">
        <v>1035</v>
      </c>
      <c r="AI362" s="2616"/>
      <c r="AJ362" s="2617"/>
      <c r="AK362" s="2617"/>
      <c r="AL362" s="1900"/>
      <c r="AM362" s="1738"/>
      <c r="AN362" s="1738"/>
      <c r="AO362" s="1738"/>
      <c r="AP362" s="1738"/>
      <c r="AQ362" s="1738"/>
      <c r="AR362" s="1738"/>
      <c r="AS362" s="1738"/>
      <c r="AT362" s="1738"/>
      <c r="AU362" s="1738"/>
      <c r="AV362" s="1738"/>
      <c r="AW362" s="1738"/>
      <c r="AX362" s="1738"/>
      <c r="AY362" s="1738"/>
      <c r="AZ362" s="1738"/>
      <c r="BA362" s="1738"/>
      <c r="BB362" s="1738"/>
      <c r="BC362" s="1738"/>
      <c r="BD362" s="1738"/>
      <c r="BE362" s="1738"/>
      <c r="BF362" s="1738"/>
    </row>
    <row r="363" spans="1:58" ht="11.25" customHeight="1">
      <c r="A363" s="1084" t="s">
        <v>992</v>
      </c>
      <c r="B363" s="1084"/>
      <c r="C363" s="1084"/>
      <c r="D363" s="1078"/>
      <c r="E363" s="1088"/>
      <c r="F363" s="2605"/>
      <c r="G363" s="2606"/>
      <c r="H363" s="2601" t="s">
        <v>1070</v>
      </c>
      <c r="I363" s="2613"/>
      <c r="J363" s="2624"/>
      <c r="K363" s="2615"/>
      <c r="L363" s="2338"/>
      <c r="M363" s="2339"/>
      <c r="N363" s="2618"/>
      <c r="O363" s="2619">
        <v>1</v>
      </c>
      <c r="P363" s="2620" t="s">
        <v>19</v>
      </c>
      <c r="Q363" s="2573" t="s">
        <v>22</v>
      </c>
      <c r="R363" s="2573" t="s">
        <v>22</v>
      </c>
      <c r="S363" s="2573" t="s">
        <v>22</v>
      </c>
      <c r="T363" s="2573" t="s">
        <v>22</v>
      </c>
      <c r="U363" s="2573" t="s">
        <v>22</v>
      </c>
      <c r="V363" s="2573" t="s">
        <v>22</v>
      </c>
      <c r="W363" s="2573" t="s">
        <v>22</v>
      </c>
      <c r="X363" s="2573" t="s">
        <v>22</v>
      </c>
      <c r="Y363" s="2573"/>
      <c r="Z363" s="1093"/>
      <c r="AA363" s="1094"/>
      <c r="AB363" s="1094"/>
      <c r="AC363" s="1098"/>
      <c r="AD363" s="1098"/>
      <c r="AE363" s="1099"/>
      <c r="AF363" s="2616"/>
      <c r="AG363" s="2617"/>
      <c r="AH363" s="2617"/>
      <c r="AI363" s="2616"/>
      <c r="AJ363" s="2617"/>
      <c r="AK363" s="2617"/>
      <c r="AL363" s="1900"/>
      <c r="AM363" s="1738"/>
      <c r="AN363" s="1738"/>
      <c r="AO363" s="1738"/>
      <c r="AP363" s="1738"/>
      <c r="AQ363" s="1738"/>
      <c r="AR363" s="1738"/>
      <c r="AS363" s="1738"/>
      <c r="AT363" s="1738"/>
      <c r="AU363" s="1738"/>
      <c r="AV363" s="1738"/>
      <c r="AW363" s="1738"/>
      <c r="AX363" s="1738"/>
      <c r="AY363" s="1738"/>
      <c r="AZ363" s="1738"/>
      <c r="BA363" s="1738"/>
      <c r="BB363" s="1738"/>
      <c r="BC363" s="1738"/>
      <c r="BD363" s="1738"/>
      <c r="BE363" s="1738"/>
      <c r="BF363" s="1738"/>
    </row>
    <row r="364" spans="1:58" ht="11.25" customHeight="1">
      <c r="A364" s="1084" t="s">
        <v>992</v>
      </c>
      <c r="B364" s="1084"/>
      <c r="C364" s="1084"/>
      <c r="D364" s="1078"/>
      <c r="E364" s="1088"/>
      <c r="F364" s="2605"/>
      <c r="G364" s="2606"/>
      <c r="H364" s="2601" t="s">
        <v>1070</v>
      </c>
      <c r="I364" s="2613"/>
      <c r="J364" s="2624"/>
      <c r="K364" s="2615"/>
      <c r="L364" s="2338"/>
      <c r="M364" s="2339"/>
      <c r="N364" s="2618"/>
      <c r="O364" s="2619"/>
      <c r="P364" s="2621"/>
      <c r="Q364" s="2573"/>
      <c r="R364" s="2573"/>
      <c r="S364" s="2623"/>
      <c r="T364" s="2573"/>
      <c r="U364" s="2573"/>
      <c r="V364" s="2573"/>
      <c r="W364" s="2573"/>
      <c r="X364" s="2573"/>
      <c r="Y364" s="2573"/>
      <c r="Z364" s="1743"/>
      <c r="AA364" s="1711">
        <v>1</v>
      </c>
      <c r="AB364" s="1097" t="s">
        <v>1036</v>
      </c>
      <c r="AC364" s="1087">
        <v>84721.667962747</v>
      </c>
      <c r="AD364" s="1097" t="str">
        <f>AB364</f>
        <v xml:space="preserve">      Прочие амортизационные отчисления</v>
      </c>
      <c r="AE364" s="1087"/>
      <c r="AF364" s="2616"/>
      <c r="AG364" s="2617"/>
      <c r="AH364" s="2617"/>
      <c r="AI364" s="2616"/>
      <c r="AJ364" s="2617"/>
      <c r="AK364" s="2617"/>
      <c r="AL364" s="1900"/>
      <c r="AM364" s="1738"/>
      <c r="AN364" s="1738"/>
      <c r="AO364" s="1738"/>
      <c r="AP364" s="1738"/>
      <c r="AQ364" s="1738"/>
      <c r="AR364" s="1738"/>
      <c r="AS364" s="1738"/>
      <c r="AT364" s="1738"/>
      <c r="AU364" s="1738"/>
      <c r="AV364" s="1738"/>
      <c r="AW364" s="1738"/>
      <c r="AX364" s="1738"/>
      <c r="AY364" s="1738"/>
      <c r="AZ364" s="1738"/>
      <c r="BA364" s="1738"/>
      <c r="BB364" s="1738"/>
      <c r="BC364" s="1738"/>
      <c r="BD364" s="1738"/>
      <c r="BE364" s="1738"/>
      <c r="BF364" s="1738"/>
    </row>
    <row r="365" spans="1:58" ht="11.25" customHeight="1">
      <c r="A365" s="1084" t="s">
        <v>992</v>
      </c>
      <c r="B365" s="1084"/>
      <c r="C365" s="1084"/>
      <c r="D365" s="1078"/>
      <c r="E365" s="1088"/>
      <c r="F365" s="2606"/>
      <c r="G365" s="2606"/>
      <c r="H365" s="2606"/>
      <c r="I365" s="2606"/>
      <c r="J365" s="2606"/>
      <c r="K365" s="2606"/>
      <c r="L365" s="2606"/>
      <c r="M365" s="2606"/>
      <c r="N365" s="2606"/>
      <c r="O365" s="2606"/>
      <c r="P365" s="2606"/>
      <c r="Q365" s="2606"/>
      <c r="R365" s="2606"/>
      <c r="S365" s="2606"/>
      <c r="T365" s="2606"/>
      <c r="U365" s="2606"/>
      <c r="V365" s="2606"/>
      <c r="W365" s="2606"/>
      <c r="X365" s="2606"/>
      <c r="Y365" s="2606"/>
      <c r="Z365" s="2054" t="s">
        <v>686</v>
      </c>
      <c r="AA365" s="1731" t="s">
        <v>109</v>
      </c>
      <c r="AB365" s="1097" t="s">
        <v>1028</v>
      </c>
      <c r="AC365" s="1087">
        <v>334867.43643725303</v>
      </c>
      <c r="AD365" s="1097" t="str">
        <f>AB365</f>
        <v xml:space="preserve">  Прочие</v>
      </c>
      <c r="AE365" s="1087"/>
      <c r="AF365" s="2625"/>
      <c r="AG365" s="2626"/>
      <c r="AH365" s="2626"/>
      <c r="AI365" s="2625"/>
      <c r="AJ365" s="2626"/>
      <c r="AK365" s="2627"/>
      <c r="AL365" s="1900"/>
      <c r="AM365" s="1738"/>
      <c r="AN365" s="1738"/>
      <c r="AO365" s="1738"/>
      <c r="AP365" s="1738"/>
      <c r="AQ365" s="1738"/>
      <c r="AR365" s="1738"/>
      <c r="AS365" s="1738"/>
      <c r="AT365" s="1738"/>
      <c r="AU365" s="1738"/>
      <c r="AV365" s="1738"/>
      <c r="AW365" s="1738"/>
      <c r="AX365" s="1738"/>
      <c r="AY365" s="1738"/>
      <c r="AZ365" s="1738"/>
      <c r="BA365" s="1738"/>
      <c r="BB365" s="1738"/>
      <c r="BC365" s="1738"/>
      <c r="BD365" s="1738"/>
      <c r="BE365" s="1738"/>
      <c r="BF365" s="1738"/>
    </row>
    <row r="366" spans="1:58" ht="11.25" customHeight="1">
      <c r="A366" s="1084" t="s">
        <v>992</v>
      </c>
      <c r="B366" s="1084"/>
      <c r="C366" s="1084"/>
      <c r="D366" s="1078"/>
      <c r="E366" s="1088"/>
      <c r="F366" s="2605"/>
      <c r="G366" s="2606"/>
      <c r="H366" s="2601" t="s">
        <v>1070</v>
      </c>
      <c r="I366" s="2613"/>
      <c r="J366" s="2624"/>
      <c r="K366" s="2615"/>
      <c r="L366" s="2338"/>
      <c r="M366" s="2339"/>
      <c r="N366" s="2618"/>
      <c r="O366" s="2619"/>
      <c r="P366" s="2622"/>
      <c r="Q366" s="2573"/>
      <c r="R366" s="2573"/>
      <c r="S366" s="2623"/>
      <c r="T366" s="2573"/>
      <c r="U366" s="2573"/>
      <c r="V366" s="2573"/>
      <c r="W366" s="2573"/>
      <c r="X366" s="2573"/>
      <c r="Y366" s="2573"/>
      <c r="Z366" s="1093"/>
      <c r="AA366" s="1094"/>
      <c r="AB366" s="1159" t="s">
        <v>1029</v>
      </c>
      <c r="AC366" s="1098"/>
      <c r="AD366" s="1098"/>
      <c r="AE366" s="1100"/>
      <c r="AF366" s="2616"/>
      <c r="AG366" s="2617"/>
      <c r="AH366" s="2617"/>
      <c r="AI366" s="2616"/>
      <c r="AJ366" s="2617"/>
      <c r="AK366" s="2617"/>
      <c r="AL366" s="1900"/>
      <c r="AM366" s="1738"/>
      <c r="AN366" s="1738"/>
      <c r="AO366" s="1738"/>
      <c r="AP366" s="1738"/>
      <c r="AQ366" s="1738"/>
      <c r="AR366" s="1738"/>
      <c r="AS366" s="1738"/>
      <c r="AT366" s="1738"/>
      <c r="AU366" s="1738"/>
      <c r="AV366" s="1738"/>
      <c r="AW366" s="1738"/>
      <c r="AX366" s="1738"/>
      <c r="AY366" s="1738"/>
      <c r="AZ366" s="1738"/>
      <c r="BA366" s="1738"/>
      <c r="BB366" s="1738"/>
      <c r="BC366" s="1738"/>
      <c r="BD366" s="1738"/>
      <c r="BE366" s="1738"/>
      <c r="BF366" s="1738"/>
    </row>
    <row r="367" spans="1:58" ht="11.25" customHeight="1">
      <c r="A367" s="1084" t="s">
        <v>992</v>
      </c>
      <c r="B367" s="1084"/>
      <c r="C367" s="1084"/>
      <c r="D367" s="1078"/>
      <c r="E367" s="1088"/>
      <c r="F367" s="2605"/>
      <c r="G367" s="2606"/>
      <c r="H367" s="2601" t="s">
        <v>1070</v>
      </c>
      <c r="I367" s="2613"/>
      <c r="J367" s="2624"/>
      <c r="K367" s="2615"/>
      <c r="L367" s="2338"/>
      <c r="M367" s="2339"/>
      <c r="N367" s="1093"/>
      <c r="O367" s="1094"/>
      <c r="P367" s="1086" t="s">
        <v>1030</v>
      </c>
      <c r="Q367" s="1094"/>
      <c r="R367" s="1094"/>
      <c r="S367" s="1094"/>
      <c r="T367" s="1094"/>
      <c r="U367" s="1094"/>
      <c r="V367" s="1094"/>
      <c r="W367" s="1094"/>
      <c r="X367" s="1094"/>
      <c r="Y367" s="1094"/>
      <c r="Z367" s="1094"/>
      <c r="AA367" s="1094"/>
      <c r="AB367" s="1094"/>
      <c r="AC367" s="1094"/>
      <c r="AD367" s="1094"/>
      <c r="AE367" s="1101"/>
      <c r="AF367" s="2616"/>
      <c r="AG367" s="2617"/>
      <c r="AH367" s="2617"/>
      <c r="AI367" s="2616"/>
      <c r="AJ367" s="2617"/>
      <c r="AK367" s="2617"/>
      <c r="AL367" s="1900"/>
      <c r="AM367" s="1738"/>
      <c r="AN367" s="1738"/>
      <c r="AO367" s="1738"/>
      <c r="AP367" s="1738"/>
      <c r="AQ367" s="1738"/>
      <c r="AR367" s="1738"/>
      <c r="AS367" s="1738"/>
      <c r="AT367" s="1738"/>
      <c r="AU367" s="1738"/>
      <c r="AV367" s="1738"/>
      <c r="AW367" s="1738"/>
      <c r="AX367" s="1738"/>
      <c r="AY367" s="1738"/>
      <c r="AZ367" s="1738"/>
      <c r="BA367" s="1738"/>
      <c r="BB367" s="1738"/>
      <c r="BC367" s="1738"/>
      <c r="BD367" s="1738"/>
      <c r="BE367" s="1738"/>
      <c r="BF367" s="1738"/>
    </row>
    <row r="368" spans="1:58" ht="11.25" customHeight="1">
      <c r="A368" s="1084" t="s">
        <v>992</v>
      </c>
      <c r="B368" s="1084" t="s">
        <v>1031</v>
      </c>
      <c r="C368" s="1084"/>
      <c r="D368" s="1078"/>
      <c r="E368" s="1088"/>
      <c r="F368" s="2605"/>
      <c r="G368" s="2590" t="s">
        <v>686</v>
      </c>
      <c r="H368" s="2601" t="s">
        <v>1072</v>
      </c>
      <c r="I368" s="2613" t="s">
        <v>1032</v>
      </c>
      <c r="J368" s="2624" t="s">
        <v>1033</v>
      </c>
      <c r="K368" s="2615" t="s">
        <v>1078</v>
      </c>
      <c r="L368" s="2338" t="s">
        <v>19</v>
      </c>
      <c r="M368" s="2339"/>
      <c r="N368" s="1898"/>
      <c r="O368" s="1095" t="s">
        <v>373</v>
      </c>
      <c r="P368" s="1096"/>
      <c r="Q368" s="1096"/>
      <c r="R368" s="1096"/>
      <c r="S368" s="1096"/>
      <c r="T368" s="1096"/>
      <c r="U368" s="1096"/>
      <c r="V368" s="1096"/>
      <c r="W368" s="1096"/>
      <c r="X368" s="1096"/>
      <c r="Y368" s="1096"/>
      <c r="Z368" s="1096"/>
      <c r="AA368" s="1096"/>
      <c r="AB368" s="1096"/>
      <c r="AC368" s="1096"/>
      <c r="AD368" s="1096"/>
      <c r="AE368" s="1096"/>
      <c r="AF368" s="2616">
        <v>3</v>
      </c>
      <c r="AG368" s="2617" t="s">
        <v>1026</v>
      </c>
      <c r="AH368" s="2617" t="s">
        <v>1035</v>
      </c>
      <c r="AI368" s="2616"/>
      <c r="AJ368" s="2617"/>
      <c r="AK368" s="2617"/>
      <c r="AL368" s="1900"/>
      <c r="AM368" s="1738"/>
      <c r="AN368" s="1738"/>
      <c r="AO368" s="1738"/>
      <c r="AP368" s="1738"/>
      <c r="AQ368" s="1738"/>
      <c r="AR368" s="1738"/>
      <c r="AS368" s="1738"/>
      <c r="AT368" s="1738"/>
      <c r="AU368" s="1738"/>
      <c r="AV368" s="1738"/>
      <c r="AW368" s="1738"/>
      <c r="AX368" s="1738"/>
      <c r="AY368" s="1738"/>
      <c r="AZ368" s="1738"/>
      <c r="BA368" s="1738"/>
      <c r="BB368" s="1738"/>
      <c r="BC368" s="1738"/>
      <c r="BD368" s="1738"/>
      <c r="BE368" s="1738"/>
      <c r="BF368" s="1738"/>
    </row>
    <row r="369" spans="1:58" ht="11.25" customHeight="1">
      <c r="A369" s="1084" t="s">
        <v>992</v>
      </c>
      <c r="B369" s="1084"/>
      <c r="C369" s="1084"/>
      <c r="D369" s="1078"/>
      <c r="E369" s="1088"/>
      <c r="F369" s="2605"/>
      <c r="G369" s="2606"/>
      <c r="H369" s="2601" t="s">
        <v>1071</v>
      </c>
      <c r="I369" s="2613"/>
      <c r="J369" s="2624"/>
      <c r="K369" s="2615"/>
      <c r="L369" s="2338"/>
      <c r="M369" s="2339"/>
      <c r="N369" s="2618"/>
      <c r="O369" s="2619">
        <v>1</v>
      </c>
      <c r="P369" s="2620" t="s">
        <v>19</v>
      </c>
      <c r="Q369" s="2573" t="s">
        <v>22</v>
      </c>
      <c r="R369" s="2573" t="s">
        <v>22</v>
      </c>
      <c r="S369" s="2573" t="s">
        <v>22</v>
      </c>
      <c r="T369" s="2573" t="s">
        <v>22</v>
      </c>
      <c r="U369" s="2573" t="s">
        <v>22</v>
      </c>
      <c r="V369" s="2573" t="s">
        <v>22</v>
      </c>
      <c r="W369" s="2573" t="s">
        <v>22</v>
      </c>
      <c r="X369" s="2573" t="s">
        <v>22</v>
      </c>
      <c r="Y369" s="2573"/>
      <c r="Z369" s="1093"/>
      <c r="AA369" s="1094"/>
      <c r="AB369" s="1094"/>
      <c r="AC369" s="1098"/>
      <c r="AD369" s="1098"/>
      <c r="AE369" s="1099"/>
      <c r="AF369" s="2616"/>
      <c r="AG369" s="2617"/>
      <c r="AH369" s="2617"/>
      <c r="AI369" s="2616"/>
      <c r="AJ369" s="2617"/>
      <c r="AK369" s="2617"/>
      <c r="AL369" s="1900"/>
      <c r="AM369" s="1738"/>
      <c r="AN369" s="1738"/>
      <c r="AO369" s="1738"/>
      <c r="AP369" s="1738"/>
      <c r="AQ369" s="1738"/>
      <c r="AR369" s="1738"/>
      <c r="AS369" s="1738"/>
      <c r="AT369" s="1738"/>
      <c r="AU369" s="1738"/>
      <c r="AV369" s="1738"/>
      <c r="AW369" s="1738"/>
      <c r="AX369" s="1738"/>
      <c r="AY369" s="1738"/>
      <c r="AZ369" s="1738"/>
      <c r="BA369" s="1738"/>
      <c r="BB369" s="1738"/>
      <c r="BC369" s="1738"/>
      <c r="BD369" s="1738"/>
      <c r="BE369" s="1738"/>
      <c r="BF369" s="1738"/>
    </row>
    <row r="370" spans="1:58" ht="11.25" customHeight="1">
      <c r="A370" s="1084" t="s">
        <v>992</v>
      </c>
      <c r="B370" s="1084"/>
      <c r="C370" s="1084"/>
      <c r="D370" s="1078"/>
      <c r="E370" s="1088"/>
      <c r="F370" s="2605"/>
      <c r="G370" s="2606"/>
      <c r="H370" s="2601" t="s">
        <v>1071</v>
      </c>
      <c r="I370" s="2613"/>
      <c r="J370" s="2624"/>
      <c r="K370" s="2615"/>
      <c r="L370" s="2338"/>
      <c r="M370" s="2339"/>
      <c r="N370" s="2618"/>
      <c r="O370" s="2619"/>
      <c r="P370" s="2621"/>
      <c r="Q370" s="2573"/>
      <c r="R370" s="2573"/>
      <c r="S370" s="2623"/>
      <c r="T370" s="2573"/>
      <c r="U370" s="2573"/>
      <c r="V370" s="2573"/>
      <c r="W370" s="2573"/>
      <c r="X370" s="2573"/>
      <c r="Y370" s="2573"/>
      <c r="Z370" s="1743"/>
      <c r="AA370" s="1711">
        <v>1</v>
      </c>
      <c r="AB370" s="1097" t="s">
        <v>1036</v>
      </c>
      <c r="AC370" s="1087">
        <v>2212.5</v>
      </c>
      <c r="AD370" s="1097" t="str">
        <f>AB370</f>
        <v xml:space="preserve">      Прочие амортизационные отчисления</v>
      </c>
      <c r="AE370" s="1087"/>
      <c r="AF370" s="2616"/>
      <c r="AG370" s="2617"/>
      <c r="AH370" s="2617"/>
      <c r="AI370" s="2616"/>
      <c r="AJ370" s="2617"/>
      <c r="AK370" s="2617"/>
      <c r="AL370" s="1900"/>
      <c r="AM370" s="1738"/>
      <c r="AN370" s="1738"/>
      <c r="AO370" s="1738"/>
      <c r="AP370" s="1738"/>
      <c r="AQ370" s="1738"/>
      <c r="AR370" s="1738"/>
      <c r="AS370" s="1738"/>
      <c r="AT370" s="1738"/>
      <c r="AU370" s="1738"/>
      <c r="AV370" s="1738"/>
      <c r="AW370" s="1738"/>
      <c r="AX370" s="1738"/>
      <c r="AY370" s="1738"/>
      <c r="AZ370" s="1738"/>
      <c r="BA370" s="1738"/>
      <c r="BB370" s="1738"/>
      <c r="BC370" s="1738"/>
      <c r="BD370" s="1738"/>
      <c r="BE370" s="1738"/>
      <c r="BF370" s="1738"/>
    </row>
    <row r="371" spans="1:58" ht="11.25" customHeight="1">
      <c r="A371" s="1084" t="s">
        <v>992</v>
      </c>
      <c r="B371" s="1084"/>
      <c r="C371" s="1084"/>
      <c r="D371" s="1078"/>
      <c r="E371" s="1088"/>
      <c r="F371" s="2605"/>
      <c r="G371" s="2606"/>
      <c r="H371" s="2601" t="s">
        <v>1071</v>
      </c>
      <c r="I371" s="2613"/>
      <c r="J371" s="2624"/>
      <c r="K371" s="2615"/>
      <c r="L371" s="2338"/>
      <c r="M371" s="2339"/>
      <c r="N371" s="2618"/>
      <c r="O371" s="2619"/>
      <c r="P371" s="2622"/>
      <c r="Q371" s="2573"/>
      <c r="R371" s="2573"/>
      <c r="S371" s="2623"/>
      <c r="T371" s="2573"/>
      <c r="U371" s="2573"/>
      <c r="V371" s="2573"/>
      <c r="W371" s="2573"/>
      <c r="X371" s="2573"/>
      <c r="Y371" s="2573"/>
      <c r="Z371" s="1093"/>
      <c r="AA371" s="1094"/>
      <c r="AB371" s="1159" t="s">
        <v>1029</v>
      </c>
      <c r="AC371" s="1098"/>
      <c r="AD371" s="1098"/>
      <c r="AE371" s="1100"/>
      <c r="AF371" s="2616"/>
      <c r="AG371" s="2617"/>
      <c r="AH371" s="2617"/>
      <c r="AI371" s="2616"/>
      <c r="AJ371" s="2617"/>
      <c r="AK371" s="2617"/>
      <c r="AL371" s="1900"/>
      <c r="AM371" s="1738"/>
      <c r="AN371" s="1738"/>
      <c r="AO371" s="1738"/>
      <c r="AP371" s="1738"/>
      <c r="AQ371" s="1738"/>
      <c r="AR371" s="1738"/>
      <c r="AS371" s="1738"/>
      <c r="AT371" s="1738"/>
      <c r="AU371" s="1738"/>
      <c r="AV371" s="1738"/>
      <c r="AW371" s="1738"/>
      <c r="AX371" s="1738"/>
      <c r="AY371" s="1738"/>
      <c r="AZ371" s="1738"/>
      <c r="BA371" s="1738"/>
      <c r="BB371" s="1738"/>
      <c r="BC371" s="1738"/>
      <c r="BD371" s="1738"/>
      <c r="BE371" s="1738"/>
      <c r="BF371" s="1738"/>
    </row>
    <row r="372" spans="1:58" ht="11.25" customHeight="1">
      <c r="A372" s="1084" t="s">
        <v>992</v>
      </c>
      <c r="B372" s="1084"/>
      <c r="C372" s="1084"/>
      <c r="D372" s="1078"/>
      <c r="E372" s="1088"/>
      <c r="F372" s="2605"/>
      <c r="G372" s="2606"/>
      <c r="H372" s="2601" t="s">
        <v>1071</v>
      </c>
      <c r="I372" s="2613"/>
      <c r="J372" s="2624"/>
      <c r="K372" s="2615"/>
      <c r="L372" s="2338"/>
      <c r="M372" s="2339"/>
      <c r="N372" s="1093"/>
      <c r="O372" s="1094"/>
      <c r="P372" s="1086" t="s">
        <v>1030</v>
      </c>
      <c r="Q372" s="1094"/>
      <c r="R372" s="1094"/>
      <c r="S372" s="1094"/>
      <c r="T372" s="1094"/>
      <c r="U372" s="1094"/>
      <c r="V372" s="1094"/>
      <c r="W372" s="1094"/>
      <c r="X372" s="1094"/>
      <c r="Y372" s="1094"/>
      <c r="Z372" s="1094"/>
      <c r="AA372" s="1094"/>
      <c r="AB372" s="1094"/>
      <c r="AC372" s="1094"/>
      <c r="AD372" s="1094"/>
      <c r="AE372" s="1101"/>
      <c r="AF372" s="2616"/>
      <c r="AG372" s="2617"/>
      <c r="AH372" s="2617"/>
      <c r="AI372" s="2616"/>
      <c r="AJ372" s="2617"/>
      <c r="AK372" s="2617"/>
      <c r="AL372" s="1900"/>
      <c r="AM372" s="1738"/>
      <c r="AN372" s="1738"/>
      <c r="AO372" s="1738"/>
      <c r="AP372" s="1738"/>
      <c r="AQ372" s="1738"/>
      <c r="AR372" s="1738"/>
      <c r="AS372" s="1738"/>
      <c r="AT372" s="1738"/>
      <c r="AU372" s="1738"/>
      <c r="AV372" s="1738"/>
      <c r="AW372" s="1738"/>
      <c r="AX372" s="1738"/>
      <c r="AY372" s="1738"/>
      <c r="AZ372" s="1738"/>
      <c r="BA372" s="1738"/>
      <c r="BB372" s="1738"/>
      <c r="BC372" s="1738"/>
      <c r="BD372" s="1738"/>
      <c r="BE372" s="1738"/>
      <c r="BF372" s="1738"/>
    </row>
    <row r="373" spans="1:58" ht="11.25" customHeight="1">
      <c r="A373" s="1084" t="s">
        <v>992</v>
      </c>
      <c r="B373" s="1084" t="s">
        <v>1031</v>
      </c>
      <c r="C373" s="1084"/>
      <c r="D373" s="1078"/>
      <c r="E373" s="1088"/>
      <c r="F373" s="2605"/>
      <c r="G373" s="2590" t="s">
        <v>686</v>
      </c>
      <c r="H373" s="2601" t="s">
        <v>1073</v>
      </c>
      <c r="I373" s="2613" t="s">
        <v>1032</v>
      </c>
      <c r="J373" s="2624" t="s">
        <v>1033</v>
      </c>
      <c r="K373" s="2615" t="s">
        <v>1079</v>
      </c>
      <c r="L373" s="2338" t="s">
        <v>19</v>
      </c>
      <c r="M373" s="2339"/>
      <c r="N373" s="1898"/>
      <c r="O373" s="1095" t="s">
        <v>373</v>
      </c>
      <c r="P373" s="1096"/>
      <c r="Q373" s="1096"/>
      <c r="R373" s="1096"/>
      <c r="S373" s="1096"/>
      <c r="T373" s="1096"/>
      <c r="U373" s="1096"/>
      <c r="V373" s="1096"/>
      <c r="W373" s="1096"/>
      <c r="X373" s="1096"/>
      <c r="Y373" s="1096"/>
      <c r="Z373" s="1096"/>
      <c r="AA373" s="1096"/>
      <c r="AB373" s="1096"/>
      <c r="AC373" s="1096"/>
      <c r="AD373" s="1096"/>
      <c r="AE373" s="1096"/>
      <c r="AF373" s="2616">
        <v>3</v>
      </c>
      <c r="AG373" s="2617" t="s">
        <v>1026</v>
      </c>
      <c r="AH373" s="2617" t="s">
        <v>1035</v>
      </c>
      <c r="AI373" s="2616"/>
      <c r="AJ373" s="2617"/>
      <c r="AK373" s="2617"/>
      <c r="AL373" s="1900"/>
      <c r="AM373" s="1738"/>
      <c r="AN373" s="1738"/>
      <c r="AO373" s="1738"/>
      <c r="AP373" s="1738"/>
      <c r="AQ373" s="1738"/>
      <c r="AR373" s="1738"/>
      <c r="AS373" s="1738"/>
      <c r="AT373" s="1738"/>
      <c r="AU373" s="1738"/>
      <c r="AV373" s="1738"/>
      <c r="AW373" s="1738"/>
      <c r="AX373" s="1738"/>
      <c r="AY373" s="1738"/>
      <c r="AZ373" s="1738"/>
      <c r="BA373" s="1738"/>
      <c r="BB373" s="1738"/>
      <c r="BC373" s="1738"/>
      <c r="BD373" s="1738"/>
      <c r="BE373" s="1738"/>
      <c r="BF373" s="1738"/>
    </row>
    <row r="374" spans="1:58" ht="11.25" customHeight="1">
      <c r="A374" s="1084" t="s">
        <v>992</v>
      </c>
      <c r="B374" s="1084"/>
      <c r="C374" s="1084"/>
      <c r="D374" s="1078"/>
      <c r="E374" s="1088"/>
      <c r="F374" s="2605"/>
      <c r="G374" s="2606"/>
      <c r="H374" s="2601" t="s">
        <v>1072</v>
      </c>
      <c r="I374" s="2613"/>
      <c r="J374" s="2624"/>
      <c r="K374" s="2615"/>
      <c r="L374" s="2338"/>
      <c r="M374" s="2339"/>
      <c r="N374" s="2618"/>
      <c r="O374" s="2619">
        <v>1</v>
      </c>
      <c r="P374" s="2620" t="s">
        <v>19</v>
      </c>
      <c r="Q374" s="2573" t="s">
        <v>22</v>
      </c>
      <c r="R374" s="2573" t="s">
        <v>22</v>
      </c>
      <c r="S374" s="2573" t="s">
        <v>22</v>
      </c>
      <c r="T374" s="2573" t="s">
        <v>22</v>
      </c>
      <c r="U374" s="2573" t="s">
        <v>22</v>
      </c>
      <c r="V374" s="2573" t="s">
        <v>22</v>
      </c>
      <c r="W374" s="2573" t="s">
        <v>22</v>
      </c>
      <c r="X374" s="2573" t="s">
        <v>22</v>
      </c>
      <c r="Y374" s="2573"/>
      <c r="Z374" s="1093"/>
      <c r="AA374" s="1094"/>
      <c r="AB374" s="1094"/>
      <c r="AC374" s="1098"/>
      <c r="AD374" s="1098"/>
      <c r="AE374" s="1099"/>
      <c r="AF374" s="2616"/>
      <c r="AG374" s="2617"/>
      <c r="AH374" s="2617"/>
      <c r="AI374" s="2616"/>
      <c r="AJ374" s="2617"/>
      <c r="AK374" s="2617"/>
      <c r="AL374" s="1900"/>
      <c r="AM374" s="1738"/>
      <c r="AN374" s="1738"/>
      <c r="AO374" s="1738"/>
      <c r="AP374" s="1738"/>
      <c r="AQ374" s="1738"/>
      <c r="AR374" s="1738"/>
      <c r="AS374" s="1738"/>
      <c r="AT374" s="1738"/>
      <c r="AU374" s="1738"/>
      <c r="AV374" s="1738"/>
      <c r="AW374" s="1738"/>
      <c r="AX374" s="1738"/>
      <c r="AY374" s="1738"/>
      <c r="AZ374" s="1738"/>
      <c r="BA374" s="1738"/>
      <c r="BB374" s="1738"/>
      <c r="BC374" s="1738"/>
      <c r="BD374" s="1738"/>
      <c r="BE374" s="1738"/>
      <c r="BF374" s="1738"/>
    </row>
    <row r="375" spans="1:58" ht="11.25" customHeight="1">
      <c r="A375" s="1084" t="s">
        <v>992</v>
      </c>
      <c r="B375" s="1084"/>
      <c r="C375" s="1084"/>
      <c r="D375" s="1078"/>
      <c r="E375" s="1088"/>
      <c r="F375" s="2605"/>
      <c r="G375" s="2606"/>
      <c r="H375" s="2601" t="s">
        <v>1072</v>
      </c>
      <c r="I375" s="2613"/>
      <c r="J375" s="2624"/>
      <c r="K375" s="2615"/>
      <c r="L375" s="2338"/>
      <c r="M375" s="2339"/>
      <c r="N375" s="2618"/>
      <c r="O375" s="2619"/>
      <c r="P375" s="2621"/>
      <c r="Q375" s="2573"/>
      <c r="R375" s="2573"/>
      <c r="S375" s="2623"/>
      <c r="T375" s="2573"/>
      <c r="U375" s="2573"/>
      <c r="V375" s="2573"/>
      <c r="W375" s="2573"/>
      <c r="X375" s="2573"/>
      <c r="Y375" s="2573"/>
      <c r="Z375" s="1743"/>
      <c r="AA375" s="1711">
        <v>1</v>
      </c>
      <c r="AB375" s="1097" t="s">
        <v>1028</v>
      </c>
      <c r="AC375" s="1087">
        <v>2212.5</v>
      </c>
      <c r="AD375" s="1097" t="str">
        <f>AB375</f>
        <v xml:space="preserve">  Прочие</v>
      </c>
      <c r="AE375" s="1087"/>
      <c r="AF375" s="2616"/>
      <c r="AG375" s="2617"/>
      <c r="AH375" s="2617"/>
      <c r="AI375" s="2616"/>
      <c r="AJ375" s="2617"/>
      <c r="AK375" s="2617"/>
      <c r="AL375" s="1900"/>
      <c r="AM375" s="1738"/>
      <c r="AN375" s="1738"/>
      <c r="AO375" s="1738"/>
      <c r="AP375" s="1738"/>
      <c r="AQ375" s="1738"/>
      <c r="AR375" s="1738"/>
      <c r="AS375" s="1738"/>
      <c r="AT375" s="1738"/>
      <c r="AU375" s="1738"/>
      <c r="AV375" s="1738"/>
      <c r="AW375" s="1738"/>
      <c r="AX375" s="1738"/>
      <c r="AY375" s="1738"/>
      <c r="AZ375" s="1738"/>
      <c r="BA375" s="1738"/>
      <c r="BB375" s="1738"/>
      <c r="BC375" s="1738"/>
      <c r="BD375" s="1738"/>
      <c r="BE375" s="1738"/>
      <c r="BF375" s="1738"/>
    </row>
    <row r="376" spans="1:58" ht="11.25" customHeight="1">
      <c r="A376" s="1084" t="s">
        <v>992</v>
      </c>
      <c r="B376" s="1084"/>
      <c r="C376" s="1084"/>
      <c r="D376" s="1078"/>
      <c r="E376" s="1088"/>
      <c r="F376" s="2605"/>
      <c r="G376" s="2606"/>
      <c r="H376" s="2601" t="s">
        <v>1072</v>
      </c>
      <c r="I376" s="2613"/>
      <c r="J376" s="2624"/>
      <c r="K376" s="2615"/>
      <c r="L376" s="2338"/>
      <c r="M376" s="2339"/>
      <c r="N376" s="2618"/>
      <c r="O376" s="2619"/>
      <c r="P376" s="2622"/>
      <c r="Q376" s="2573"/>
      <c r="R376" s="2573"/>
      <c r="S376" s="2623"/>
      <c r="T376" s="2573"/>
      <c r="U376" s="2573"/>
      <c r="V376" s="2573"/>
      <c r="W376" s="2573"/>
      <c r="X376" s="2573"/>
      <c r="Y376" s="2573"/>
      <c r="Z376" s="1093"/>
      <c r="AA376" s="1094"/>
      <c r="AB376" s="1159" t="s">
        <v>1029</v>
      </c>
      <c r="AC376" s="1098"/>
      <c r="AD376" s="1098"/>
      <c r="AE376" s="1100"/>
      <c r="AF376" s="2616"/>
      <c r="AG376" s="2617"/>
      <c r="AH376" s="2617"/>
      <c r="AI376" s="2616"/>
      <c r="AJ376" s="2617"/>
      <c r="AK376" s="2617"/>
      <c r="AL376" s="1900"/>
      <c r="AM376" s="1738"/>
      <c r="AN376" s="1738"/>
      <c r="AO376" s="1738"/>
      <c r="AP376" s="1738"/>
      <c r="AQ376" s="1738"/>
      <c r="AR376" s="1738"/>
      <c r="AS376" s="1738"/>
      <c r="AT376" s="1738"/>
      <c r="AU376" s="1738"/>
      <c r="AV376" s="1738"/>
      <c r="AW376" s="1738"/>
      <c r="AX376" s="1738"/>
      <c r="AY376" s="1738"/>
      <c r="AZ376" s="1738"/>
      <c r="BA376" s="1738"/>
      <c r="BB376" s="1738"/>
      <c r="BC376" s="1738"/>
      <c r="BD376" s="1738"/>
      <c r="BE376" s="1738"/>
      <c r="BF376" s="1738"/>
    </row>
    <row r="377" spans="1:58" ht="11.25" customHeight="1">
      <c r="A377" s="1084" t="s">
        <v>992</v>
      </c>
      <c r="B377" s="1084"/>
      <c r="C377" s="1084"/>
      <c r="D377" s="1078"/>
      <c r="E377" s="1088"/>
      <c r="F377" s="2605"/>
      <c r="G377" s="2606"/>
      <c r="H377" s="2601" t="s">
        <v>1072</v>
      </c>
      <c r="I377" s="2613"/>
      <c r="J377" s="2624"/>
      <c r="K377" s="2615"/>
      <c r="L377" s="2338"/>
      <c r="M377" s="2339"/>
      <c r="N377" s="1093"/>
      <c r="O377" s="1094"/>
      <c r="P377" s="1086" t="s">
        <v>1030</v>
      </c>
      <c r="Q377" s="1094"/>
      <c r="R377" s="1094"/>
      <c r="S377" s="1094"/>
      <c r="T377" s="1094"/>
      <c r="U377" s="1094"/>
      <c r="V377" s="1094"/>
      <c r="W377" s="1094"/>
      <c r="X377" s="1094"/>
      <c r="Y377" s="1094"/>
      <c r="Z377" s="1094"/>
      <c r="AA377" s="1094"/>
      <c r="AB377" s="1094"/>
      <c r="AC377" s="1094"/>
      <c r="AD377" s="1094"/>
      <c r="AE377" s="1101"/>
      <c r="AF377" s="2616"/>
      <c r="AG377" s="2617"/>
      <c r="AH377" s="2617"/>
      <c r="AI377" s="2616"/>
      <c r="AJ377" s="2617"/>
      <c r="AK377" s="2617"/>
      <c r="AL377" s="1900"/>
      <c r="AM377" s="1738"/>
      <c r="AN377" s="1738"/>
      <c r="AO377" s="1738"/>
      <c r="AP377" s="1738"/>
      <c r="AQ377" s="1738"/>
      <c r="AR377" s="1738"/>
      <c r="AS377" s="1738"/>
      <c r="AT377" s="1738"/>
      <c r="AU377" s="1738"/>
      <c r="AV377" s="1738"/>
      <c r="AW377" s="1738"/>
      <c r="AX377" s="1738"/>
      <c r="AY377" s="1738"/>
      <c r="AZ377" s="1738"/>
      <c r="BA377" s="1738"/>
      <c r="BB377" s="1738"/>
      <c r="BC377" s="1738"/>
      <c r="BD377" s="1738"/>
      <c r="BE377" s="1738"/>
      <c r="BF377" s="1738"/>
    </row>
    <row r="378" spans="1:58" ht="11.25" customHeight="1">
      <c r="A378" s="1084" t="s">
        <v>992</v>
      </c>
      <c r="B378" s="1084" t="s">
        <v>22</v>
      </c>
      <c r="C378" s="1084"/>
      <c r="D378" s="1078"/>
      <c r="E378" s="1088"/>
      <c r="F378" s="2605"/>
      <c r="G378" s="2590" t="s">
        <v>686</v>
      </c>
      <c r="H378" s="2601" t="s">
        <v>1080</v>
      </c>
      <c r="I378" s="2613" t="s">
        <v>1052</v>
      </c>
      <c r="J378" s="2614" t="s">
        <v>22</v>
      </c>
      <c r="K378" s="2615" t="s">
        <v>1062</v>
      </c>
      <c r="L378" s="2338" t="s">
        <v>19</v>
      </c>
      <c r="M378" s="2339"/>
      <c r="N378" s="1898"/>
      <c r="O378" s="1095" t="s">
        <v>373</v>
      </c>
      <c r="P378" s="1096"/>
      <c r="Q378" s="1096"/>
      <c r="R378" s="1096"/>
      <c r="S378" s="1096"/>
      <c r="T378" s="1096"/>
      <c r="U378" s="1096"/>
      <c r="V378" s="1096"/>
      <c r="W378" s="1096"/>
      <c r="X378" s="1096"/>
      <c r="Y378" s="1096"/>
      <c r="Z378" s="1096"/>
      <c r="AA378" s="1096"/>
      <c r="AB378" s="1096"/>
      <c r="AC378" s="1096"/>
      <c r="AD378" s="1096"/>
      <c r="AE378" s="1096"/>
      <c r="AF378" s="2616">
        <v>3</v>
      </c>
      <c r="AG378" s="2617" t="s">
        <v>1026</v>
      </c>
      <c r="AH378" s="2617" t="s">
        <v>1038</v>
      </c>
      <c r="AI378" s="2616"/>
      <c r="AJ378" s="2617"/>
      <c r="AK378" s="2617"/>
      <c r="AL378" s="1900"/>
      <c r="AM378" s="1738"/>
      <c r="AN378" s="1738"/>
      <c r="AO378" s="1738"/>
      <c r="AP378" s="1738"/>
      <c r="AQ378" s="1738"/>
      <c r="AR378" s="1738"/>
      <c r="AS378" s="1738"/>
      <c r="AT378" s="1738"/>
      <c r="AU378" s="1738"/>
      <c r="AV378" s="1738"/>
      <c r="AW378" s="1738"/>
      <c r="AX378" s="1738"/>
      <c r="AY378" s="1738"/>
      <c r="AZ378" s="1738"/>
      <c r="BA378" s="1738"/>
      <c r="BB378" s="1738"/>
      <c r="BC378" s="1738"/>
      <c r="BD378" s="1738"/>
      <c r="BE378" s="1738"/>
      <c r="BF378" s="1738"/>
    </row>
    <row r="379" spans="1:58" ht="11.25" customHeight="1">
      <c r="A379" s="1084" t="s">
        <v>992</v>
      </c>
      <c r="B379" s="1084"/>
      <c r="C379" s="1084"/>
      <c r="D379" s="1078"/>
      <c r="E379" s="1088"/>
      <c r="F379" s="2605"/>
      <c r="G379" s="2606"/>
      <c r="H379" s="2601" t="s">
        <v>1073</v>
      </c>
      <c r="I379" s="2613"/>
      <c r="J379" s="2614"/>
      <c r="K379" s="2615"/>
      <c r="L379" s="2338"/>
      <c r="M379" s="2339"/>
      <c r="N379" s="2618"/>
      <c r="O379" s="2619">
        <v>1</v>
      </c>
      <c r="P379" s="2620" t="s">
        <v>19</v>
      </c>
      <c r="Q379" s="2573" t="s">
        <v>22</v>
      </c>
      <c r="R379" s="2573" t="s">
        <v>22</v>
      </c>
      <c r="S379" s="2573" t="s">
        <v>22</v>
      </c>
      <c r="T379" s="2573" t="s">
        <v>22</v>
      </c>
      <c r="U379" s="2573" t="s">
        <v>22</v>
      </c>
      <c r="V379" s="2573" t="s">
        <v>22</v>
      </c>
      <c r="W379" s="2573" t="s">
        <v>22</v>
      </c>
      <c r="X379" s="2573" t="s">
        <v>22</v>
      </c>
      <c r="Y379" s="2573"/>
      <c r="Z379" s="1093"/>
      <c r="AA379" s="1094"/>
      <c r="AB379" s="1094"/>
      <c r="AC379" s="1098"/>
      <c r="AD379" s="1098"/>
      <c r="AE379" s="1099"/>
      <c r="AF379" s="2616"/>
      <c r="AG379" s="2617"/>
      <c r="AH379" s="2617"/>
      <c r="AI379" s="2616"/>
      <c r="AJ379" s="2617"/>
      <c r="AK379" s="2617"/>
      <c r="AL379" s="1900"/>
      <c r="AM379" s="1738"/>
      <c r="AN379" s="1738"/>
      <c r="AO379" s="1738"/>
      <c r="AP379" s="1738"/>
      <c r="AQ379" s="1738"/>
      <c r="AR379" s="1738"/>
      <c r="AS379" s="1738"/>
      <c r="AT379" s="1738"/>
      <c r="AU379" s="1738"/>
      <c r="AV379" s="1738"/>
      <c r="AW379" s="1738"/>
      <c r="AX379" s="1738"/>
      <c r="AY379" s="1738"/>
      <c r="AZ379" s="1738"/>
      <c r="BA379" s="1738"/>
      <c r="BB379" s="1738"/>
      <c r="BC379" s="1738"/>
      <c r="BD379" s="1738"/>
      <c r="BE379" s="1738"/>
      <c r="BF379" s="1738"/>
    </row>
    <row r="380" spans="1:58" ht="11.25" customHeight="1">
      <c r="A380" s="1084" t="s">
        <v>992</v>
      </c>
      <c r="B380" s="1084"/>
      <c r="C380" s="1084"/>
      <c r="D380" s="1078"/>
      <c r="E380" s="1088"/>
      <c r="F380" s="2605"/>
      <c r="G380" s="2606"/>
      <c r="H380" s="2601" t="s">
        <v>1073</v>
      </c>
      <c r="I380" s="2613"/>
      <c r="J380" s="2614"/>
      <c r="K380" s="2615"/>
      <c r="L380" s="2338"/>
      <c r="M380" s="2339"/>
      <c r="N380" s="2618"/>
      <c r="O380" s="2619"/>
      <c r="P380" s="2621"/>
      <c r="Q380" s="2573"/>
      <c r="R380" s="2573"/>
      <c r="S380" s="2623"/>
      <c r="T380" s="2573"/>
      <c r="U380" s="2573"/>
      <c r="V380" s="2573"/>
      <c r="W380" s="2573"/>
      <c r="X380" s="2573"/>
      <c r="Y380" s="2573"/>
      <c r="Z380" s="1743"/>
      <c r="AA380" s="1711">
        <v>1</v>
      </c>
      <c r="AB380" s="1097" t="s">
        <v>1039</v>
      </c>
      <c r="AC380" s="1087">
        <v>125257.12179999999</v>
      </c>
      <c r="AD380" s="1097" t="str">
        <f>AB380</f>
        <v xml:space="preserve">  Прочие собственные средства</v>
      </c>
      <c r="AE380" s="1087"/>
      <c r="AF380" s="2616"/>
      <c r="AG380" s="2617"/>
      <c r="AH380" s="2617"/>
      <c r="AI380" s="2616"/>
      <c r="AJ380" s="2617"/>
      <c r="AK380" s="2617"/>
      <c r="AL380" s="1900"/>
      <c r="AM380" s="1738"/>
      <c r="AN380" s="1738"/>
      <c r="AO380" s="1738"/>
      <c r="AP380" s="1738"/>
      <c r="AQ380" s="1738"/>
      <c r="AR380" s="1738"/>
      <c r="AS380" s="1738"/>
      <c r="AT380" s="1738"/>
      <c r="AU380" s="1738"/>
      <c r="AV380" s="1738"/>
      <c r="AW380" s="1738"/>
      <c r="AX380" s="1738"/>
      <c r="AY380" s="1738"/>
      <c r="AZ380" s="1738"/>
      <c r="BA380" s="1738"/>
      <c r="BB380" s="1738"/>
      <c r="BC380" s="1738"/>
      <c r="BD380" s="1738"/>
      <c r="BE380" s="1738"/>
      <c r="BF380" s="1738"/>
    </row>
    <row r="381" spans="1:58" ht="11.25" customHeight="1">
      <c r="A381" s="1084" t="s">
        <v>992</v>
      </c>
      <c r="B381" s="1084"/>
      <c r="C381" s="1084"/>
      <c r="D381" s="1078"/>
      <c r="E381" s="1088"/>
      <c r="F381" s="2605"/>
      <c r="G381" s="2606"/>
      <c r="H381" s="2601" t="s">
        <v>1073</v>
      </c>
      <c r="I381" s="2613"/>
      <c r="J381" s="2614"/>
      <c r="K381" s="2615"/>
      <c r="L381" s="2338"/>
      <c r="M381" s="2339"/>
      <c r="N381" s="2618"/>
      <c r="O381" s="2619"/>
      <c r="P381" s="2622"/>
      <c r="Q381" s="2573"/>
      <c r="R381" s="2573"/>
      <c r="S381" s="2623"/>
      <c r="T381" s="2573"/>
      <c r="U381" s="2573"/>
      <c r="V381" s="2573"/>
      <c r="W381" s="2573"/>
      <c r="X381" s="2573"/>
      <c r="Y381" s="2573"/>
      <c r="Z381" s="1093"/>
      <c r="AA381" s="1094"/>
      <c r="AB381" s="1159" t="s">
        <v>1029</v>
      </c>
      <c r="AC381" s="1098"/>
      <c r="AD381" s="1098"/>
      <c r="AE381" s="1100"/>
      <c r="AF381" s="2616"/>
      <c r="AG381" s="2617"/>
      <c r="AH381" s="2617"/>
      <c r="AI381" s="2616"/>
      <c r="AJ381" s="2617"/>
      <c r="AK381" s="2617"/>
      <c r="AL381" s="1900"/>
      <c r="AM381" s="1738"/>
      <c r="AN381" s="1738"/>
      <c r="AO381" s="1738"/>
      <c r="AP381" s="1738"/>
      <c r="AQ381" s="1738"/>
      <c r="AR381" s="1738"/>
      <c r="AS381" s="1738"/>
      <c r="AT381" s="1738"/>
      <c r="AU381" s="1738"/>
      <c r="AV381" s="1738"/>
      <c r="AW381" s="1738"/>
      <c r="AX381" s="1738"/>
      <c r="AY381" s="1738"/>
      <c r="AZ381" s="1738"/>
      <c r="BA381" s="1738"/>
      <c r="BB381" s="1738"/>
      <c r="BC381" s="1738"/>
      <c r="BD381" s="1738"/>
      <c r="BE381" s="1738"/>
      <c r="BF381" s="1738"/>
    </row>
    <row r="382" spans="1:58" ht="11.25" customHeight="1">
      <c r="A382" s="1084" t="s">
        <v>992</v>
      </c>
      <c r="B382" s="1084"/>
      <c r="C382" s="1084"/>
      <c r="D382" s="1078"/>
      <c r="E382" s="1088"/>
      <c r="F382" s="2605"/>
      <c r="G382" s="2606"/>
      <c r="H382" s="2601" t="s">
        <v>1073</v>
      </c>
      <c r="I382" s="2613"/>
      <c r="J382" s="2614"/>
      <c r="K382" s="2615"/>
      <c r="L382" s="2338"/>
      <c r="M382" s="2339"/>
      <c r="N382" s="1093"/>
      <c r="O382" s="1094"/>
      <c r="P382" s="1086" t="s">
        <v>1030</v>
      </c>
      <c r="Q382" s="1094"/>
      <c r="R382" s="1094"/>
      <c r="S382" s="1094"/>
      <c r="T382" s="1094"/>
      <c r="U382" s="1094"/>
      <c r="V382" s="1094"/>
      <c r="W382" s="1094"/>
      <c r="X382" s="1094"/>
      <c r="Y382" s="1094"/>
      <c r="Z382" s="1094"/>
      <c r="AA382" s="1094"/>
      <c r="AB382" s="1094"/>
      <c r="AC382" s="1094"/>
      <c r="AD382" s="1094"/>
      <c r="AE382" s="1101"/>
      <c r="AF382" s="2616"/>
      <c r="AG382" s="2617"/>
      <c r="AH382" s="2617"/>
      <c r="AI382" s="2616"/>
      <c r="AJ382" s="2617"/>
      <c r="AK382" s="2617"/>
      <c r="AL382" s="1900"/>
      <c r="AM382" s="1738"/>
      <c r="AN382" s="1738"/>
      <c r="AO382" s="1738"/>
      <c r="AP382" s="1738"/>
      <c r="AQ382" s="1738"/>
      <c r="AR382" s="1738"/>
      <c r="AS382" s="1738"/>
      <c r="AT382" s="1738"/>
      <c r="AU382" s="1738"/>
      <c r="AV382" s="1738"/>
      <c r="AW382" s="1738"/>
      <c r="AX382" s="1738"/>
      <c r="AY382" s="1738"/>
      <c r="AZ382" s="1738"/>
      <c r="BA382" s="1738"/>
      <c r="BB382" s="1738"/>
      <c r="BC382" s="1738"/>
      <c r="BD382" s="1738"/>
      <c r="BE382" s="1738"/>
      <c r="BF382" s="1738"/>
    </row>
    <row r="383" spans="1:58" ht="11.25" customHeight="1">
      <c r="A383" s="1084" t="s">
        <v>992</v>
      </c>
      <c r="B383" s="1084" t="s">
        <v>1031</v>
      </c>
      <c r="C383" s="1084"/>
      <c r="D383" s="1078"/>
      <c r="E383" s="1088"/>
      <c r="F383" s="2605"/>
      <c r="G383" s="2590" t="s">
        <v>686</v>
      </c>
      <c r="H383" s="2601" t="s">
        <v>1081</v>
      </c>
      <c r="I383" s="2613" t="s">
        <v>1032</v>
      </c>
      <c r="J383" s="2624" t="s">
        <v>1033</v>
      </c>
      <c r="K383" s="2615" t="s">
        <v>1047</v>
      </c>
      <c r="L383" s="2338" t="s">
        <v>19</v>
      </c>
      <c r="M383" s="2339"/>
      <c r="N383" s="1898"/>
      <c r="O383" s="1095" t="s">
        <v>373</v>
      </c>
      <c r="P383" s="1096"/>
      <c r="Q383" s="1096"/>
      <c r="R383" s="1096"/>
      <c r="S383" s="1096"/>
      <c r="T383" s="1096"/>
      <c r="U383" s="1096"/>
      <c r="V383" s="1096"/>
      <c r="W383" s="1096"/>
      <c r="X383" s="1096"/>
      <c r="Y383" s="1096"/>
      <c r="Z383" s="1096"/>
      <c r="AA383" s="1096"/>
      <c r="AB383" s="1096"/>
      <c r="AC383" s="1096"/>
      <c r="AD383" s="1096"/>
      <c r="AE383" s="1096"/>
      <c r="AF383" s="2616">
        <v>3</v>
      </c>
      <c r="AG383" s="2617" t="s">
        <v>1026</v>
      </c>
      <c r="AH383" s="2617" t="s">
        <v>1038</v>
      </c>
      <c r="AI383" s="2616"/>
      <c r="AJ383" s="2617"/>
      <c r="AK383" s="2617"/>
      <c r="AL383" s="1900"/>
      <c r="AM383" s="1738"/>
      <c r="AN383" s="1738"/>
      <c r="AO383" s="1738"/>
      <c r="AP383" s="1738"/>
      <c r="AQ383" s="1738"/>
      <c r="AR383" s="1738"/>
      <c r="AS383" s="1738"/>
      <c r="AT383" s="1738"/>
      <c r="AU383" s="1738"/>
      <c r="AV383" s="1738"/>
      <c r="AW383" s="1738"/>
      <c r="AX383" s="1738"/>
      <c r="AY383" s="1738"/>
      <c r="AZ383" s="1738"/>
      <c r="BA383" s="1738"/>
      <c r="BB383" s="1738"/>
      <c r="BC383" s="1738"/>
      <c r="BD383" s="1738"/>
      <c r="BE383" s="1738"/>
      <c r="BF383" s="1738"/>
    </row>
    <row r="384" spans="1:58" ht="11.25" customHeight="1">
      <c r="A384" s="1084" t="s">
        <v>992</v>
      </c>
      <c r="B384" s="1084"/>
      <c r="C384" s="1084"/>
      <c r="D384" s="1078"/>
      <c r="E384" s="1088"/>
      <c r="F384" s="2605"/>
      <c r="G384" s="2606"/>
      <c r="H384" s="2601" t="s">
        <v>1080</v>
      </c>
      <c r="I384" s="2613"/>
      <c r="J384" s="2624"/>
      <c r="K384" s="2615"/>
      <c r="L384" s="2338"/>
      <c r="M384" s="2339"/>
      <c r="N384" s="2618"/>
      <c r="O384" s="2619">
        <v>1</v>
      </c>
      <c r="P384" s="2620" t="s">
        <v>19</v>
      </c>
      <c r="Q384" s="2573" t="s">
        <v>22</v>
      </c>
      <c r="R384" s="2573" t="s">
        <v>22</v>
      </c>
      <c r="S384" s="2573" t="s">
        <v>22</v>
      </c>
      <c r="T384" s="2573" t="s">
        <v>22</v>
      </c>
      <c r="U384" s="2573" t="s">
        <v>22</v>
      </c>
      <c r="V384" s="2573" t="s">
        <v>22</v>
      </c>
      <c r="W384" s="2573" t="s">
        <v>22</v>
      </c>
      <c r="X384" s="2573" t="s">
        <v>22</v>
      </c>
      <c r="Y384" s="2573"/>
      <c r="Z384" s="1093"/>
      <c r="AA384" s="1094"/>
      <c r="AB384" s="1094"/>
      <c r="AC384" s="1098"/>
      <c r="AD384" s="1098"/>
      <c r="AE384" s="1099"/>
      <c r="AF384" s="2616"/>
      <c r="AG384" s="2617"/>
      <c r="AH384" s="2617"/>
      <c r="AI384" s="2616"/>
      <c r="AJ384" s="2617"/>
      <c r="AK384" s="2617"/>
      <c r="AL384" s="1900"/>
      <c r="AM384" s="1738"/>
      <c r="AN384" s="1738"/>
      <c r="AO384" s="1738"/>
      <c r="AP384" s="1738"/>
      <c r="AQ384" s="1738"/>
      <c r="AR384" s="1738"/>
      <c r="AS384" s="1738"/>
      <c r="AT384" s="1738"/>
      <c r="AU384" s="1738"/>
      <c r="AV384" s="1738"/>
      <c r="AW384" s="1738"/>
      <c r="AX384" s="1738"/>
      <c r="AY384" s="1738"/>
      <c r="AZ384" s="1738"/>
      <c r="BA384" s="1738"/>
      <c r="BB384" s="1738"/>
      <c r="BC384" s="1738"/>
      <c r="BD384" s="1738"/>
      <c r="BE384" s="1738"/>
      <c r="BF384" s="1738"/>
    </row>
    <row r="385" spans="1:58" ht="11.25" customHeight="1">
      <c r="A385" s="1084" t="s">
        <v>992</v>
      </c>
      <c r="B385" s="1084"/>
      <c r="C385" s="1084"/>
      <c r="D385" s="1078"/>
      <c r="E385" s="1088"/>
      <c r="F385" s="2605"/>
      <c r="G385" s="2606"/>
      <c r="H385" s="2601" t="s">
        <v>1080</v>
      </c>
      <c r="I385" s="2613"/>
      <c r="J385" s="2624"/>
      <c r="K385" s="2615"/>
      <c r="L385" s="2338"/>
      <c r="M385" s="2339"/>
      <c r="N385" s="2618"/>
      <c r="O385" s="2619"/>
      <c r="P385" s="2621"/>
      <c r="Q385" s="2573"/>
      <c r="R385" s="2573"/>
      <c r="S385" s="2623"/>
      <c r="T385" s="2573"/>
      <c r="U385" s="2573"/>
      <c r="V385" s="2573"/>
      <c r="W385" s="2573"/>
      <c r="X385" s="2573"/>
      <c r="Y385" s="2573"/>
      <c r="Z385" s="1743"/>
      <c r="AA385" s="1711">
        <v>1</v>
      </c>
      <c r="AB385" s="1097" t="s">
        <v>1028</v>
      </c>
      <c r="AC385" s="1087">
        <v>368921.74739615998</v>
      </c>
      <c r="AD385" s="1097" t="str">
        <f>AB385</f>
        <v xml:space="preserve">  Прочие</v>
      </c>
      <c r="AE385" s="1087"/>
      <c r="AF385" s="2616"/>
      <c r="AG385" s="2617"/>
      <c r="AH385" s="2617"/>
      <c r="AI385" s="2616"/>
      <c r="AJ385" s="2617"/>
      <c r="AK385" s="2617"/>
      <c r="AL385" s="1900"/>
      <c r="AM385" s="1738"/>
      <c r="AN385" s="1738"/>
      <c r="AO385" s="1738"/>
      <c r="AP385" s="1738"/>
      <c r="AQ385" s="1738"/>
      <c r="AR385" s="1738"/>
      <c r="AS385" s="1738"/>
      <c r="AT385" s="1738"/>
      <c r="AU385" s="1738"/>
      <c r="AV385" s="1738"/>
      <c r="AW385" s="1738"/>
      <c r="AX385" s="1738"/>
      <c r="AY385" s="1738"/>
      <c r="AZ385" s="1738"/>
      <c r="BA385" s="1738"/>
      <c r="BB385" s="1738"/>
      <c r="BC385" s="1738"/>
      <c r="BD385" s="1738"/>
      <c r="BE385" s="1738"/>
      <c r="BF385" s="1738"/>
    </row>
    <row r="386" spans="1:58" ht="11.25" customHeight="1">
      <c r="A386" s="1084" t="s">
        <v>992</v>
      </c>
      <c r="B386" s="1084"/>
      <c r="C386" s="1084"/>
      <c r="D386" s="1078"/>
      <c r="E386" s="1088"/>
      <c r="F386" s="2605"/>
      <c r="G386" s="2606"/>
      <c r="H386" s="2601" t="s">
        <v>1080</v>
      </c>
      <c r="I386" s="2613"/>
      <c r="J386" s="2624"/>
      <c r="K386" s="2615"/>
      <c r="L386" s="2338"/>
      <c r="M386" s="2339"/>
      <c r="N386" s="2618"/>
      <c r="O386" s="2619"/>
      <c r="P386" s="2622"/>
      <c r="Q386" s="2573"/>
      <c r="R386" s="2573"/>
      <c r="S386" s="2623"/>
      <c r="T386" s="2573"/>
      <c r="U386" s="2573"/>
      <c r="V386" s="2573"/>
      <c r="W386" s="2573"/>
      <c r="X386" s="2573"/>
      <c r="Y386" s="2573"/>
      <c r="Z386" s="1093"/>
      <c r="AA386" s="1094"/>
      <c r="AB386" s="1159" t="s">
        <v>1029</v>
      </c>
      <c r="AC386" s="1098"/>
      <c r="AD386" s="1098"/>
      <c r="AE386" s="1100"/>
      <c r="AF386" s="2616"/>
      <c r="AG386" s="2617"/>
      <c r="AH386" s="2617"/>
      <c r="AI386" s="2616"/>
      <c r="AJ386" s="2617"/>
      <c r="AK386" s="2617"/>
      <c r="AL386" s="1900"/>
      <c r="AM386" s="1738"/>
      <c r="AN386" s="1738"/>
      <c r="AO386" s="1738"/>
      <c r="AP386" s="1738"/>
      <c r="AQ386" s="1738"/>
      <c r="AR386" s="1738"/>
      <c r="AS386" s="1738"/>
      <c r="AT386" s="1738"/>
      <c r="AU386" s="1738"/>
      <c r="AV386" s="1738"/>
      <c r="AW386" s="1738"/>
      <c r="AX386" s="1738"/>
      <c r="AY386" s="1738"/>
      <c r="AZ386" s="1738"/>
      <c r="BA386" s="1738"/>
      <c r="BB386" s="1738"/>
      <c r="BC386" s="1738"/>
      <c r="BD386" s="1738"/>
      <c r="BE386" s="1738"/>
      <c r="BF386" s="1738"/>
    </row>
    <row r="387" spans="1:58" ht="11.25" customHeight="1">
      <c r="A387" s="1084" t="s">
        <v>992</v>
      </c>
      <c r="B387" s="1084"/>
      <c r="C387" s="1084"/>
      <c r="D387" s="1078"/>
      <c r="E387" s="1088"/>
      <c r="F387" s="2605"/>
      <c r="G387" s="2606"/>
      <c r="H387" s="2601" t="s">
        <v>1080</v>
      </c>
      <c r="I387" s="2613"/>
      <c r="J387" s="2624"/>
      <c r="K387" s="2615"/>
      <c r="L387" s="2338"/>
      <c r="M387" s="2339"/>
      <c r="N387" s="1093"/>
      <c r="O387" s="1094"/>
      <c r="P387" s="1086" t="s">
        <v>1030</v>
      </c>
      <c r="Q387" s="1094"/>
      <c r="R387" s="1094"/>
      <c r="S387" s="1094"/>
      <c r="T387" s="1094"/>
      <c r="U387" s="1094"/>
      <c r="V387" s="1094"/>
      <c r="W387" s="1094"/>
      <c r="X387" s="1094"/>
      <c r="Y387" s="1094"/>
      <c r="Z387" s="1094"/>
      <c r="AA387" s="1094"/>
      <c r="AB387" s="1094"/>
      <c r="AC387" s="1094"/>
      <c r="AD387" s="1094"/>
      <c r="AE387" s="1101"/>
      <c r="AF387" s="2616"/>
      <c r="AG387" s="2617"/>
      <c r="AH387" s="2617"/>
      <c r="AI387" s="2616"/>
      <c r="AJ387" s="2617"/>
      <c r="AK387" s="2617"/>
      <c r="AL387" s="1900"/>
      <c r="AM387" s="1738"/>
      <c r="AN387" s="1738"/>
      <c r="AO387" s="1738"/>
      <c r="AP387" s="1738"/>
      <c r="AQ387" s="1738"/>
      <c r="AR387" s="1738"/>
      <c r="AS387" s="1738"/>
      <c r="AT387" s="1738"/>
      <c r="AU387" s="1738"/>
      <c r="AV387" s="1738"/>
      <c r="AW387" s="1738"/>
      <c r="AX387" s="1738"/>
      <c r="AY387" s="1738"/>
      <c r="AZ387" s="1738"/>
      <c r="BA387" s="1738"/>
      <c r="BB387" s="1738"/>
      <c r="BC387" s="1738"/>
      <c r="BD387" s="1738"/>
      <c r="BE387" s="1738"/>
      <c r="BF387" s="1738"/>
    </row>
    <row r="388" spans="1:58" ht="12" customHeight="1">
      <c r="A388" s="1084" t="s">
        <v>992</v>
      </c>
      <c r="B388" s="1084"/>
      <c r="C388" s="1084"/>
      <c r="D388" s="1078"/>
      <c r="E388" s="1088"/>
      <c r="F388" s="2607"/>
      <c r="G388" s="1108"/>
      <c r="H388" s="1108"/>
      <c r="I388" s="2603" t="s">
        <v>1063</v>
      </c>
      <c r="J388" s="2603"/>
      <c r="K388" s="2603"/>
      <c r="L388" s="1091"/>
      <c r="M388" s="1091"/>
      <c r="N388" s="1092"/>
      <c r="O388" s="1092"/>
      <c r="P388" s="1092"/>
      <c r="Q388" s="1092"/>
      <c r="R388" s="1092"/>
      <c r="S388" s="1092"/>
      <c r="T388" s="1092"/>
      <c r="U388" s="1092"/>
      <c r="V388" s="1092"/>
      <c r="W388" s="1092"/>
      <c r="X388" s="1092"/>
      <c r="Y388" s="1092"/>
      <c r="Z388" s="1092"/>
      <c r="AA388" s="1092"/>
      <c r="AB388" s="1092"/>
      <c r="AC388" s="1092"/>
      <c r="AD388" s="1092"/>
      <c r="AE388" s="1092"/>
      <c r="AF388" s="1092"/>
      <c r="AG388" s="1091"/>
      <c r="AH388" s="1091"/>
      <c r="AI388" s="1092"/>
      <c r="AJ388" s="1091"/>
      <c r="AK388" s="1092"/>
      <c r="AL388" s="1900"/>
      <c r="AM388" s="1738"/>
      <c r="AN388" s="1738"/>
      <c r="AO388" s="1738"/>
      <c r="AP388" s="1738"/>
      <c r="AQ388" s="1738"/>
      <c r="AR388" s="1738"/>
      <c r="AS388" s="1738"/>
      <c r="AT388" s="1738"/>
      <c r="AU388" s="1738"/>
      <c r="AV388" s="1738"/>
      <c r="AW388" s="1738"/>
      <c r="AX388" s="1738"/>
      <c r="AY388" s="1738"/>
      <c r="AZ388" s="1738"/>
      <c r="BA388" s="1738"/>
      <c r="BB388" s="1738"/>
      <c r="BC388" s="1738"/>
      <c r="BD388" s="1738"/>
      <c r="BE388" s="1738"/>
      <c r="BF388" s="1738"/>
    </row>
    <row r="389" spans="1:58" ht="0.75" customHeight="1">
      <c r="A389" s="1084" t="s">
        <v>992</v>
      </c>
      <c r="B389" s="1084"/>
      <c r="C389" s="1084"/>
      <c r="D389" s="1078"/>
      <c r="E389" s="1088"/>
      <c r="F389" s="2604">
        <v>2027</v>
      </c>
      <c r="G389" s="2601"/>
      <c r="H389" s="2609" t="s">
        <v>373</v>
      </c>
      <c r="I389" s="2610"/>
      <c r="J389" s="2600"/>
      <c r="K389" s="2600"/>
      <c r="L389" s="2602"/>
      <c r="M389" s="2453"/>
      <c r="N389" s="1948"/>
      <c r="O389" s="1947"/>
      <c r="P389" s="1948"/>
      <c r="Q389" s="1948"/>
      <c r="R389" s="1948"/>
      <c r="S389" s="1948"/>
      <c r="T389" s="1948"/>
      <c r="U389" s="1948"/>
      <c r="V389" s="1948"/>
      <c r="W389" s="1948"/>
      <c r="X389" s="1948"/>
      <c r="Y389" s="1948"/>
      <c r="Z389" s="1948"/>
      <c r="AA389" s="1948"/>
      <c r="AB389" s="1948"/>
      <c r="AC389" s="1948"/>
      <c r="AD389" s="1948"/>
      <c r="AE389" s="1948"/>
      <c r="AF389" s="2608"/>
      <c r="AG389" s="2602"/>
      <c r="AH389" s="2602"/>
      <c r="AI389" s="2608"/>
      <c r="AJ389" s="2602"/>
      <c r="AK389" s="2602"/>
      <c r="AL389" s="1900"/>
      <c r="AM389" s="1738"/>
      <c r="AN389" s="1738"/>
      <c r="AO389" s="1738"/>
      <c r="AP389" s="1738"/>
      <c r="AQ389" s="1738"/>
      <c r="AR389" s="1738"/>
      <c r="AS389" s="1738"/>
      <c r="AT389" s="1738"/>
      <c r="AU389" s="1738"/>
      <c r="AV389" s="1738"/>
      <c r="AW389" s="1738"/>
      <c r="AX389" s="1738"/>
      <c r="AY389" s="1738"/>
      <c r="AZ389" s="1738"/>
      <c r="BA389" s="1738"/>
      <c r="BB389" s="1738"/>
      <c r="BC389" s="1738"/>
      <c r="BD389" s="1738"/>
      <c r="BE389" s="1738"/>
      <c r="BF389" s="1738"/>
    </row>
    <row r="390" spans="1:58" ht="0.75" customHeight="1">
      <c r="A390" s="1084" t="s">
        <v>992</v>
      </c>
      <c r="B390" s="1084"/>
      <c r="C390" s="1084"/>
      <c r="D390" s="1078"/>
      <c r="E390" s="1088"/>
      <c r="F390" s="2604"/>
      <c r="G390" s="2601"/>
      <c r="H390" s="2609"/>
      <c r="I390" s="2610"/>
      <c r="J390" s="2600"/>
      <c r="K390" s="2600"/>
      <c r="L390" s="2602"/>
      <c r="M390" s="2453"/>
      <c r="N390" s="2611"/>
      <c r="O390" s="2612"/>
      <c r="P390" s="2597"/>
      <c r="Q390" s="2600"/>
      <c r="R390" s="2600"/>
      <c r="S390" s="2600"/>
      <c r="T390" s="2600"/>
      <c r="U390" s="2600"/>
      <c r="V390" s="2600"/>
      <c r="W390" s="2600"/>
      <c r="X390" s="2600"/>
      <c r="Y390" s="2600"/>
      <c r="Z390" s="1949"/>
      <c r="AA390" s="1950"/>
      <c r="AB390" s="1950"/>
      <c r="AC390" s="1951"/>
      <c r="AD390" s="1951"/>
      <c r="AE390" s="1952"/>
      <c r="AF390" s="2608"/>
      <c r="AG390" s="2602"/>
      <c r="AH390" s="2602"/>
      <c r="AI390" s="2608"/>
      <c r="AJ390" s="2602"/>
      <c r="AK390" s="2602"/>
      <c r="AL390" s="1900"/>
      <c r="AM390" s="1738"/>
      <c r="AN390" s="1738"/>
      <c r="AO390" s="1738"/>
      <c r="AP390" s="1738"/>
      <c r="AQ390" s="1738"/>
      <c r="AR390" s="1738"/>
      <c r="AS390" s="1738"/>
      <c r="AT390" s="1738"/>
      <c r="AU390" s="1738"/>
      <c r="AV390" s="1738"/>
      <c r="AW390" s="1738"/>
      <c r="AX390" s="1738"/>
      <c r="AY390" s="1738"/>
      <c r="AZ390" s="1738"/>
      <c r="BA390" s="1738"/>
      <c r="BB390" s="1738"/>
      <c r="BC390" s="1738"/>
      <c r="BD390" s="1738"/>
      <c r="BE390" s="1738"/>
      <c r="BF390" s="1738"/>
    </row>
    <row r="391" spans="1:58" ht="0.75" customHeight="1">
      <c r="A391" s="1084" t="s">
        <v>992</v>
      </c>
      <c r="B391" s="1084"/>
      <c r="C391" s="1084"/>
      <c r="D391" s="1078"/>
      <c r="E391" s="1088"/>
      <c r="F391" s="2604"/>
      <c r="G391" s="2601"/>
      <c r="H391" s="2609"/>
      <c r="I391" s="2610"/>
      <c r="J391" s="2600"/>
      <c r="K391" s="2600"/>
      <c r="L391" s="2602"/>
      <c r="M391" s="2453"/>
      <c r="N391" s="2611"/>
      <c r="O391" s="2612"/>
      <c r="P391" s="2598"/>
      <c r="Q391" s="2600"/>
      <c r="R391" s="2600"/>
      <c r="S391" s="2600"/>
      <c r="T391" s="2600"/>
      <c r="U391" s="2600"/>
      <c r="V391" s="2600"/>
      <c r="W391" s="2600"/>
      <c r="X391" s="2600"/>
      <c r="Y391" s="2600"/>
      <c r="Z391" s="1953"/>
      <c r="AA391" s="1954"/>
      <c r="AB391" s="1955"/>
      <c r="AC391" s="1956"/>
      <c r="AD391" s="1955"/>
      <c r="AE391" s="1956"/>
      <c r="AF391" s="2608"/>
      <c r="AG391" s="2602"/>
      <c r="AH391" s="2602"/>
      <c r="AI391" s="2608"/>
      <c r="AJ391" s="2602"/>
      <c r="AK391" s="2602"/>
      <c r="AL391" s="1900"/>
      <c r="AM391" s="1738"/>
      <c r="AN391" s="1738"/>
      <c r="AO391" s="1738"/>
      <c r="AP391" s="1738"/>
      <c r="AQ391" s="1738"/>
      <c r="AR391" s="1738"/>
      <c r="AS391" s="1738"/>
      <c r="AT391" s="1738"/>
      <c r="AU391" s="1738"/>
      <c r="AV391" s="1738"/>
      <c r="AW391" s="1738"/>
      <c r="AX391" s="1738"/>
      <c r="AY391" s="1738"/>
      <c r="AZ391" s="1738"/>
      <c r="BA391" s="1738"/>
      <c r="BB391" s="1738"/>
      <c r="BC391" s="1738"/>
      <c r="BD391" s="1738"/>
      <c r="BE391" s="1738"/>
      <c r="BF391" s="1738"/>
    </row>
    <row r="392" spans="1:58" ht="0.75" customHeight="1">
      <c r="A392" s="1084" t="s">
        <v>992</v>
      </c>
      <c r="B392" s="1084"/>
      <c r="C392" s="1084"/>
      <c r="D392" s="1078"/>
      <c r="E392" s="1088"/>
      <c r="F392" s="2604"/>
      <c r="G392" s="2601"/>
      <c r="H392" s="2609"/>
      <c r="I392" s="2610"/>
      <c r="J392" s="2600"/>
      <c r="K392" s="2600"/>
      <c r="L392" s="2602"/>
      <c r="M392" s="2453"/>
      <c r="N392" s="2611"/>
      <c r="O392" s="2612"/>
      <c r="P392" s="2599"/>
      <c r="Q392" s="2600"/>
      <c r="R392" s="2600"/>
      <c r="S392" s="2600"/>
      <c r="T392" s="2600"/>
      <c r="U392" s="2600"/>
      <c r="V392" s="2600"/>
      <c r="W392" s="2600"/>
      <c r="X392" s="2600"/>
      <c r="Y392" s="2600"/>
      <c r="Z392" s="1949"/>
      <c r="AA392" s="1950"/>
      <c r="AB392" s="1957"/>
      <c r="AC392" s="1951"/>
      <c r="AD392" s="1951"/>
      <c r="AE392" s="1958"/>
      <c r="AF392" s="2608"/>
      <c r="AG392" s="2602"/>
      <c r="AH392" s="2602"/>
      <c r="AI392" s="2608"/>
      <c r="AJ392" s="2602"/>
      <c r="AK392" s="2602"/>
      <c r="AL392" s="1900"/>
      <c r="AM392" s="1738"/>
      <c r="AN392" s="1738"/>
      <c r="AO392" s="1738"/>
      <c r="AP392" s="1738"/>
      <c r="AQ392" s="1738"/>
      <c r="AR392" s="1738"/>
      <c r="AS392" s="1738"/>
      <c r="AT392" s="1738"/>
      <c r="AU392" s="1738"/>
      <c r="AV392" s="1738"/>
      <c r="AW392" s="1738"/>
      <c r="AX392" s="1738"/>
      <c r="AY392" s="1738"/>
      <c r="AZ392" s="1738"/>
      <c r="BA392" s="1738"/>
      <c r="BB392" s="1738"/>
      <c r="BC392" s="1738"/>
      <c r="BD392" s="1738"/>
      <c r="BE392" s="1738"/>
      <c r="BF392" s="1738"/>
    </row>
    <row r="393" spans="1:58" ht="0.75" customHeight="1">
      <c r="A393" s="1084" t="s">
        <v>992</v>
      </c>
      <c r="B393" s="1084"/>
      <c r="C393" s="1084"/>
      <c r="D393" s="1078"/>
      <c r="E393" s="1088"/>
      <c r="F393" s="2604"/>
      <c r="G393" s="2601"/>
      <c r="H393" s="2609"/>
      <c r="I393" s="2610"/>
      <c r="J393" s="2600"/>
      <c r="K393" s="2600"/>
      <c r="L393" s="2602"/>
      <c r="M393" s="2453"/>
      <c r="N393" s="1950"/>
      <c r="O393" s="1950"/>
      <c r="P393" s="1957"/>
      <c r="Q393" s="1950"/>
      <c r="R393" s="1950"/>
      <c r="S393" s="1950"/>
      <c r="T393" s="1950"/>
      <c r="U393" s="1950"/>
      <c r="V393" s="1950"/>
      <c r="W393" s="1950"/>
      <c r="X393" s="1950"/>
      <c r="Y393" s="1950"/>
      <c r="Z393" s="1950"/>
      <c r="AA393" s="1950"/>
      <c r="AB393" s="1950"/>
      <c r="AC393" s="1950"/>
      <c r="AD393" s="1950"/>
      <c r="AE393" s="1959"/>
      <c r="AF393" s="2608"/>
      <c r="AG393" s="2602"/>
      <c r="AH393" s="2602"/>
      <c r="AI393" s="2608"/>
      <c r="AJ393" s="2602"/>
      <c r="AK393" s="2602"/>
      <c r="AL393" s="1900"/>
      <c r="AM393" s="1738"/>
      <c r="AN393" s="1738"/>
      <c r="AO393" s="1738"/>
      <c r="AP393" s="1738"/>
      <c r="AQ393" s="1738"/>
      <c r="AR393" s="1738"/>
      <c r="AS393" s="1738"/>
      <c r="AT393" s="1738"/>
      <c r="AU393" s="1738"/>
      <c r="AV393" s="1738"/>
      <c r="AW393" s="1738"/>
      <c r="AX393" s="1738"/>
      <c r="AY393" s="1738"/>
      <c r="AZ393" s="1738"/>
      <c r="BA393" s="1738"/>
      <c r="BB393" s="1738"/>
      <c r="BC393" s="1738"/>
      <c r="BD393" s="1738"/>
      <c r="BE393" s="1738"/>
      <c r="BF393" s="1738"/>
    </row>
    <row r="394" spans="1:58" ht="11.25" customHeight="1">
      <c r="A394" s="1084" t="s">
        <v>992</v>
      </c>
      <c r="B394" s="1084" t="s">
        <v>22</v>
      </c>
      <c r="C394" s="1084"/>
      <c r="D394" s="1078"/>
      <c r="E394" s="1088"/>
      <c r="F394" s="2605"/>
      <c r="G394" s="2590" t="s">
        <v>686</v>
      </c>
      <c r="H394" s="2601" t="s">
        <v>108</v>
      </c>
      <c r="I394" s="2613" t="s">
        <v>1024</v>
      </c>
      <c r="J394" s="2614" t="s">
        <v>22</v>
      </c>
      <c r="K394" s="2615" t="s">
        <v>1025</v>
      </c>
      <c r="L394" s="2338" t="s">
        <v>19</v>
      </c>
      <c r="M394" s="2339"/>
      <c r="N394" s="1898"/>
      <c r="O394" s="1095" t="s">
        <v>373</v>
      </c>
      <c r="P394" s="1096"/>
      <c r="Q394" s="1096"/>
      <c r="R394" s="1096"/>
      <c r="S394" s="1096"/>
      <c r="T394" s="1096"/>
      <c r="U394" s="1096"/>
      <c r="V394" s="1096"/>
      <c r="W394" s="1096"/>
      <c r="X394" s="1096"/>
      <c r="Y394" s="1096"/>
      <c r="Z394" s="1096"/>
      <c r="AA394" s="1096"/>
      <c r="AB394" s="1096"/>
      <c r="AC394" s="1096"/>
      <c r="AD394" s="1096"/>
      <c r="AE394" s="1096"/>
      <c r="AF394" s="2616">
        <v>6</v>
      </c>
      <c r="AG394" s="2617" t="s">
        <v>1026</v>
      </c>
      <c r="AH394" s="2617" t="s">
        <v>1035</v>
      </c>
      <c r="AI394" s="2616"/>
      <c r="AJ394" s="2617"/>
      <c r="AK394" s="2617"/>
      <c r="AL394" s="1900"/>
      <c r="AM394" s="1738"/>
      <c r="AN394" s="1738"/>
      <c r="AO394" s="1738"/>
      <c r="AP394" s="1738"/>
      <c r="AQ394" s="1738"/>
      <c r="AR394" s="1738"/>
      <c r="AS394" s="1738"/>
      <c r="AT394" s="1738"/>
      <c r="AU394" s="1738"/>
      <c r="AV394" s="1738"/>
      <c r="AW394" s="1738"/>
      <c r="AX394" s="1738"/>
      <c r="AY394" s="1738"/>
      <c r="AZ394" s="1738"/>
      <c r="BA394" s="1738"/>
      <c r="BB394" s="1738"/>
      <c r="BC394" s="1738"/>
      <c r="BD394" s="1738"/>
      <c r="BE394" s="1738"/>
      <c r="BF394" s="1738"/>
    </row>
    <row r="395" spans="1:58" ht="11.25" customHeight="1">
      <c r="A395" s="1084" t="s">
        <v>992</v>
      </c>
      <c r="B395" s="1084"/>
      <c r="C395" s="1084"/>
      <c r="D395" s="1078"/>
      <c r="E395" s="1088"/>
      <c r="F395" s="2605"/>
      <c r="G395" s="2606"/>
      <c r="H395" s="2601" t="s">
        <v>373</v>
      </c>
      <c r="I395" s="2613"/>
      <c r="J395" s="2614"/>
      <c r="K395" s="2615"/>
      <c r="L395" s="2338"/>
      <c r="M395" s="2339"/>
      <c r="N395" s="2618"/>
      <c r="O395" s="2619">
        <v>1</v>
      </c>
      <c r="P395" s="2620" t="s">
        <v>19</v>
      </c>
      <c r="Q395" s="2573" t="s">
        <v>22</v>
      </c>
      <c r="R395" s="2573" t="s">
        <v>22</v>
      </c>
      <c r="S395" s="2573" t="s">
        <v>22</v>
      </c>
      <c r="T395" s="2573" t="s">
        <v>22</v>
      </c>
      <c r="U395" s="2573" t="s">
        <v>22</v>
      </c>
      <c r="V395" s="2573" t="s">
        <v>22</v>
      </c>
      <c r="W395" s="2573" t="s">
        <v>22</v>
      </c>
      <c r="X395" s="2573" t="s">
        <v>22</v>
      </c>
      <c r="Y395" s="2573"/>
      <c r="Z395" s="1093"/>
      <c r="AA395" s="1094"/>
      <c r="AB395" s="1094"/>
      <c r="AC395" s="1098"/>
      <c r="AD395" s="1098"/>
      <c r="AE395" s="1099"/>
      <c r="AF395" s="2616"/>
      <c r="AG395" s="2617"/>
      <c r="AH395" s="2617"/>
      <c r="AI395" s="2616"/>
      <c r="AJ395" s="2617"/>
      <c r="AK395" s="2617"/>
      <c r="AL395" s="1900"/>
      <c r="AM395" s="1738"/>
      <c r="AN395" s="1738"/>
      <c r="AO395" s="1738"/>
      <c r="AP395" s="1738"/>
      <c r="AQ395" s="1738"/>
      <c r="AR395" s="1738"/>
      <c r="AS395" s="1738"/>
      <c r="AT395" s="1738"/>
      <c r="AU395" s="1738"/>
      <c r="AV395" s="1738"/>
      <c r="AW395" s="1738"/>
      <c r="AX395" s="1738"/>
      <c r="AY395" s="1738"/>
      <c r="AZ395" s="1738"/>
      <c r="BA395" s="1738"/>
      <c r="BB395" s="1738"/>
      <c r="BC395" s="1738"/>
      <c r="BD395" s="1738"/>
      <c r="BE395" s="1738"/>
      <c r="BF395" s="1738"/>
    </row>
    <row r="396" spans="1:58" ht="11.25" customHeight="1">
      <c r="A396" s="1084" t="s">
        <v>992</v>
      </c>
      <c r="B396" s="1084"/>
      <c r="C396" s="1084"/>
      <c r="D396" s="1078"/>
      <c r="E396" s="1088"/>
      <c r="F396" s="2605"/>
      <c r="G396" s="2606"/>
      <c r="H396" s="2601" t="s">
        <v>373</v>
      </c>
      <c r="I396" s="2613"/>
      <c r="J396" s="2614"/>
      <c r="K396" s="2615"/>
      <c r="L396" s="2338"/>
      <c r="M396" s="2339"/>
      <c r="N396" s="2618"/>
      <c r="O396" s="2619"/>
      <c r="P396" s="2621"/>
      <c r="Q396" s="2573"/>
      <c r="R396" s="2573"/>
      <c r="S396" s="2623"/>
      <c r="T396" s="2573"/>
      <c r="U396" s="2573"/>
      <c r="V396" s="2573"/>
      <c r="W396" s="2573"/>
      <c r="X396" s="2573"/>
      <c r="Y396" s="2573"/>
      <c r="Z396" s="1743"/>
      <c r="AA396" s="1711">
        <v>1</v>
      </c>
      <c r="AB396" s="1097" t="s">
        <v>1028</v>
      </c>
      <c r="AC396" s="1087">
        <v>350000</v>
      </c>
      <c r="AD396" s="1097" t="str">
        <f>AB396</f>
        <v xml:space="preserve">  Прочие</v>
      </c>
      <c r="AE396" s="1087"/>
      <c r="AF396" s="2616"/>
      <c r="AG396" s="2617"/>
      <c r="AH396" s="2617"/>
      <c r="AI396" s="2616"/>
      <c r="AJ396" s="2617"/>
      <c r="AK396" s="2617"/>
      <c r="AL396" s="1900"/>
      <c r="AM396" s="1738"/>
      <c r="AN396" s="1738"/>
      <c r="AO396" s="1738"/>
      <c r="AP396" s="1738"/>
      <c r="AQ396" s="1738"/>
      <c r="AR396" s="1738"/>
      <c r="AS396" s="1738"/>
      <c r="AT396" s="1738"/>
      <c r="AU396" s="1738"/>
      <c r="AV396" s="1738"/>
      <c r="AW396" s="1738"/>
      <c r="AX396" s="1738"/>
      <c r="AY396" s="1738"/>
      <c r="AZ396" s="1738"/>
      <c r="BA396" s="1738"/>
      <c r="BB396" s="1738"/>
      <c r="BC396" s="1738"/>
      <c r="BD396" s="1738"/>
      <c r="BE396" s="1738"/>
      <c r="BF396" s="1738"/>
    </row>
    <row r="397" spans="1:58" ht="39.75" customHeight="1">
      <c r="A397" s="1084" t="s">
        <v>992</v>
      </c>
      <c r="B397" s="1084"/>
      <c r="C397" s="1084"/>
      <c r="D397" s="1078"/>
      <c r="E397" s="1088"/>
      <c r="F397" s="2605"/>
      <c r="G397" s="2606"/>
      <c r="H397" s="2601" t="s">
        <v>373</v>
      </c>
      <c r="I397" s="2613"/>
      <c r="J397" s="2614"/>
      <c r="K397" s="2615"/>
      <c r="L397" s="2338"/>
      <c r="M397" s="2339"/>
      <c r="N397" s="2618"/>
      <c r="O397" s="2619"/>
      <c r="P397" s="2622"/>
      <c r="Q397" s="2573"/>
      <c r="R397" s="2573"/>
      <c r="S397" s="2623"/>
      <c r="T397" s="2573"/>
      <c r="U397" s="2573"/>
      <c r="V397" s="2573"/>
      <c r="W397" s="2573"/>
      <c r="X397" s="2573"/>
      <c r="Y397" s="2573"/>
      <c r="Z397" s="1093"/>
      <c r="AA397" s="1094"/>
      <c r="AB397" s="1159" t="s">
        <v>1029</v>
      </c>
      <c r="AC397" s="1098"/>
      <c r="AD397" s="1098"/>
      <c r="AE397" s="1100"/>
      <c r="AF397" s="2616"/>
      <c r="AG397" s="2617"/>
      <c r="AH397" s="2617"/>
      <c r="AI397" s="2616"/>
      <c r="AJ397" s="2617"/>
      <c r="AK397" s="2617"/>
      <c r="AL397" s="1900"/>
      <c r="AM397" s="1738"/>
      <c r="AN397" s="1738"/>
      <c r="AO397" s="1738"/>
      <c r="AP397" s="1738"/>
      <c r="AQ397" s="1738"/>
      <c r="AR397" s="1738"/>
      <c r="AS397" s="1738"/>
      <c r="AT397" s="1738"/>
      <c r="AU397" s="1738"/>
      <c r="AV397" s="1738"/>
      <c r="AW397" s="1738"/>
      <c r="AX397" s="1738"/>
      <c r="AY397" s="1738"/>
      <c r="AZ397" s="1738"/>
      <c r="BA397" s="1738"/>
      <c r="BB397" s="1738"/>
      <c r="BC397" s="1738"/>
      <c r="BD397" s="1738"/>
      <c r="BE397" s="1738"/>
      <c r="BF397" s="1738"/>
    </row>
    <row r="398" spans="1:58" ht="23.25" customHeight="1">
      <c r="A398" s="1084" t="s">
        <v>992</v>
      </c>
      <c r="B398" s="1084"/>
      <c r="C398" s="1084"/>
      <c r="D398" s="1078"/>
      <c r="E398" s="1088"/>
      <c r="F398" s="2605"/>
      <c r="G398" s="2606"/>
      <c r="H398" s="2601" t="s">
        <v>373</v>
      </c>
      <c r="I398" s="2613"/>
      <c r="J398" s="2614"/>
      <c r="K398" s="2615"/>
      <c r="L398" s="2338"/>
      <c r="M398" s="2339"/>
      <c r="N398" s="1093"/>
      <c r="O398" s="1094"/>
      <c r="P398" s="1086" t="s">
        <v>1030</v>
      </c>
      <c r="Q398" s="1094"/>
      <c r="R398" s="1094"/>
      <c r="S398" s="1094"/>
      <c r="T398" s="1094"/>
      <c r="U398" s="1094"/>
      <c r="V398" s="1094"/>
      <c r="W398" s="1094"/>
      <c r="X398" s="1094"/>
      <c r="Y398" s="1094"/>
      <c r="Z398" s="1094"/>
      <c r="AA398" s="1094"/>
      <c r="AB398" s="1094"/>
      <c r="AC398" s="1094"/>
      <c r="AD398" s="1094"/>
      <c r="AE398" s="1101"/>
      <c r="AF398" s="2616"/>
      <c r="AG398" s="2617"/>
      <c r="AH398" s="2617"/>
      <c r="AI398" s="2616"/>
      <c r="AJ398" s="2617"/>
      <c r="AK398" s="2617"/>
      <c r="AL398" s="1900"/>
      <c r="AM398" s="1738"/>
      <c r="AN398" s="1738"/>
      <c r="AO398" s="1738"/>
      <c r="AP398" s="1738"/>
      <c r="AQ398" s="1738"/>
      <c r="AR398" s="1738"/>
      <c r="AS398" s="1738"/>
      <c r="AT398" s="1738"/>
      <c r="AU398" s="1738"/>
      <c r="AV398" s="1738"/>
      <c r="AW398" s="1738"/>
      <c r="AX398" s="1738"/>
      <c r="AY398" s="1738"/>
      <c r="AZ398" s="1738"/>
      <c r="BA398" s="1738"/>
      <c r="BB398" s="1738"/>
      <c r="BC398" s="1738"/>
      <c r="BD398" s="1738"/>
      <c r="BE398" s="1738"/>
      <c r="BF398" s="1738"/>
    </row>
    <row r="399" spans="1:58" ht="11.25" customHeight="1">
      <c r="A399" s="1084" t="s">
        <v>992</v>
      </c>
      <c r="B399" s="1084" t="s">
        <v>1031</v>
      </c>
      <c r="C399" s="1084"/>
      <c r="D399" s="1078"/>
      <c r="E399" s="1088"/>
      <c r="F399" s="2605"/>
      <c r="G399" s="2590" t="s">
        <v>686</v>
      </c>
      <c r="H399" s="2601" t="s">
        <v>109</v>
      </c>
      <c r="I399" s="2613" t="s">
        <v>1032</v>
      </c>
      <c r="J399" s="2624" t="s">
        <v>1033</v>
      </c>
      <c r="K399" s="2615" t="s">
        <v>1034</v>
      </c>
      <c r="L399" s="2338" t="s">
        <v>19</v>
      </c>
      <c r="M399" s="2339"/>
      <c r="N399" s="1898"/>
      <c r="O399" s="1095" t="s">
        <v>373</v>
      </c>
      <c r="P399" s="1096"/>
      <c r="Q399" s="1096"/>
      <c r="R399" s="1096"/>
      <c r="S399" s="1096"/>
      <c r="T399" s="1096"/>
      <c r="U399" s="1096"/>
      <c r="V399" s="1096"/>
      <c r="W399" s="1096"/>
      <c r="X399" s="1096"/>
      <c r="Y399" s="1096"/>
      <c r="Z399" s="1096"/>
      <c r="AA399" s="1096"/>
      <c r="AB399" s="1096"/>
      <c r="AC399" s="1096"/>
      <c r="AD399" s="1096"/>
      <c r="AE399" s="1096"/>
      <c r="AF399" s="2616">
        <v>11</v>
      </c>
      <c r="AG399" s="2617" t="s">
        <v>1026</v>
      </c>
      <c r="AH399" s="2617" t="s">
        <v>1035</v>
      </c>
      <c r="AI399" s="2616"/>
      <c r="AJ399" s="2617"/>
      <c r="AK399" s="2617"/>
      <c r="AL399" s="1900"/>
      <c r="AM399" s="1738"/>
      <c r="AN399" s="1738"/>
      <c r="AO399" s="1738"/>
      <c r="AP399" s="1738"/>
      <c r="AQ399" s="1738"/>
      <c r="AR399" s="1738"/>
      <c r="AS399" s="1738"/>
      <c r="AT399" s="1738"/>
      <c r="AU399" s="1738"/>
      <c r="AV399" s="1738"/>
      <c r="AW399" s="1738"/>
      <c r="AX399" s="1738"/>
      <c r="AY399" s="1738"/>
      <c r="AZ399" s="1738"/>
      <c r="BA399" s="1738"/>
      <c r="BB399" s="1738"/>
      <c r="BC399" s="1738"/>
      <c r="BD399" s="1738"/>
      <c r="BE399" s="1738"/>
      <c r="BF399" s="1738"/>
    </row>
    <row r="400" spans="1:58" ht="11.25" customHeight="1">
      <c r="A400" s="1084" t="s">
        <v>992</v>
      </c>
      <c r="B400" s="1084"/>
      <c r="C400" s="1084"/>
      <c r="D400" s="1078"/>
      <c r="E400" s="1088"/>
      <c r="F400" s="2605"/>
      <c r="G400" s="2606"/>
      <c r="H400" s="2601" t="s">
        <v>108</v>
      </c>
      <c r="I400" s="2613"/>
      <c r="J400" s="2624"/>
      <c r="K400" s="2615"/>
      <c r="L400" s="2338"/>
      <c r="M400" s="2339"/>
      <c r="N400" s="2618"/>
      <c r="O400" s="2619">
        <v>1</v>
      </c>
      <c r="P400" s="2620" t="s">
        <v>19</v>
      </c>
      <c r="Q400" s="2573" t="s">
        <v>22</v>
      </c>
      <c r="R400" s="2573" t="s">
        <v>22</v>
      </c>
      <c r="S400" s="2573" t="s">
        <v>22</v>
      </c>
      <c r="T400" s="2573" t="s">
        <v>22</v>
      </c>
      <c r="U400" s="2573" t="s">
        <v>22</v>
      </c>
      <c r="V400" s="2573" t="s">
        <v>22</v>
      </c>
      <c r="W400" s="2573" t="s">
        <v>22</v>
      </c>
      <c r="X400" s="2573" t="s">
        <v>22</v>
      </c>
      <c r="Y400" s="2573"/>
      <c r="Z400" s="1093"/>
      <c r="AA400" s="1094"/>
      <c r="AB400" s="1094"/>
      <c r="AC400" s="1098"/>
      <c r="AD400" s="1098"/>
      <c r="AE400" s="1099"/>
      <c r="AF400" s="2616"/>
      <c r="AG400" s="2617"/>
      <c r="AH400" s="2617"/>
      <c r="AI400" s="2616"/>
      <c r="AJ400" s="2617"/>
      <c r="AK400" s="2617"/>
      <c r="AL400" s="1900"/>
      <c r="AM400" s="1738"/>
      <c r="AN400" s="1738"/>
      <c r="AO400" s="1738"/>
      <c r="AP400" s="1738"/>
      <c r="AQ400" s="1738"/>
      <c r="AR400" s="1738"/>
      <c r="AS400" s="1738"/>
      <c r="AT400" s="1738"/>
      <c r="AU400" s="1738"/>
      <c r="AV400" s="1738"/>
      <c r="AW400" s="1738"/>
      <c r="AX400" s="1738"/>
      <c r="AY400" s="1738"/>
      <c r="AZ400" s="1738"/>
      <c r="BA400" s="1738"/>
      <c r="BB400" s="1738"/>
      <c r="BC400" s="1738"/>
      <c r="BD400" s="1738"/>
      <c r="BE400" s="1738"/>
      <c r="BF400" s="1738"/>
    </row>
    <row r="401" spans="1:58" ht="11.25" customHeight="1">
      <c r="A401" s="1084" t="s">
        <v>992</v>
      </c>
      <c r="B401" s="1084"/>
      <c r="C401" s="1084"/>
      <c r="D401" s="1078"/>
      <c r="E401" s="1088"/>
      <c r="F401" s="2605"/>
      <c r="G401" s="2606"/>
      <c r="H401" s="2601" t="s">
        <v>108</v>
      </c>
      <c r="I401" s="2613"/>
      <c r="J401" s="2624"/>
      <c r="K401" s="2615"/>
      <c r="L401" s="2338"/>
      <c r="M401" s="2339"/>
      <c r="N401" s="2618"/>
      <c r="O401" s="2619"/>
      <c r="P401" s="2621"/>
      <c r="Q401" s="2573"/>
      <c r="R401" s="2573"/>
      <c r="S401" s="2623"/>
      <c r="T401" s="2573"/>
      <c r="U401" s="2573"/>
      <c r="V401" s="2573"/>
      <c r="W401" s="2573"/>
      <c r="X401" s="2573"/>
      <c r="Y401" s="2573"/>
      <c r="Z401" s="1743"/>
      <c r="AA401" s="1711">
        <v>1</v>
      </c>
      <c r="AB401" s="1097" t="s">
        <v>1028</v>
      </c>
      <c r="AC401" s="1087">
        <v>1200000</v>
      </c>
      <c r="AD401" s="1097" t="str">
        <f>AB401</f>
        <v xml:space="preserve">  Прочие</v>
      </c>
      <c r="AE401" s="1087"/>
      <c r="AF401" s="2616"/>
      <c r="AG401" s="2617"/>
      <c r="AH401" s="2617"/>
      <c r="AI401" s="2616"/>
      <c r="AJ401" s="2617"/>
      <c r="AK401" s="2617"/>
      <c r="AL401" s="1900"/>
      <c r="AM401" s="1738"/>
      <c r="AN401" s="1738"/>
      <c r="AO401" s="1738"/>
      <c r="AP401" s="1738"/>
      <c r="AQ401" s="1738"/>
      <c r="AR401" s="1738"/>
      <c r="AS401" s="1738"/>
      <c r="AT401" s="1738"/>
      <c r="AU401" s="1738"/>
      <c r="AV401" s="1738"/>
      <c r="AW401" s="1738"/>
      <c r="AX401" s="1738"/>
      <c r="AY401" s="1738"/>
      <c r="AZ401" s="1738"/>
      <c r="BA401" s="1738"/>
      <c r="BB401" s="1738"/>
      <c r="BC401" s="1738"/>
      <c r="BD401" s="1738"/>
      <c r="BE401" s="1738"/>
      <c r="BF401" s="1738"/>
    </row>
    <row r="402" spans="1:58" ht="11.25" customHeight="1">
      <c r="A402" s="1084" t="s">
        <v>992</v>
      </c>
      <c r="B402" s="1084"/>
      <c r="C402" s="1084"/>
      <c r="D402" s="1078"/>
      <c r="E402" s="1088"/>
      <c r="F402" s="2605"/>
      <c r="G402" s="2606"/>
      <c r="H402" s="2601" t="s">
        <v>108</v>
      </c>
      <c r="I402" s="2613"/>
      <c r="J402" s="2624"/>
      <c r="K402" s="2615"/>
      <c r="L402" s="2338"/>
      <c r="M402" s="2339"/>
      <c r="N402" s="2618"/>
      <c r="O402" s="2619"/>
      <c r="P402" s="2622"/>
      <c r="Q402" s="2573"/>
      <c r="R402" s="2573"/>
      <c r="S402" s="2623"/>
      <c r="T402" s="2573"/>
      <c r="U402" s="2573"/>
      <c r="V402" s="2573"/>
      <c r="W402" s="2573"/>
      <c r="X402" s="2573"/>
      <c r="Y402" s="2573"/>
      <c r="Z402" s="1093"/>
      <c r="AA402" s="1094"/>
      <c r="AB402" s="1159" t="s">
        <v>1029</v>
      </c>
      <c r="AC402" s="1098"/>
      <c r="AD402" s="1098"/>
      <c r="AE402" s="1100"/>
      <c r="AF402" s="2616"/>
      <c r="AG402" s="2617"/>
      <c r="AH402" s="2617"/>
      <c r="AI402" s="2616"/>
      <c r="AJ402" s="2617"/>
      <c r="AK402" s="2617"/>
      <c r="AL402" s="1900"/>
      <c r="AM402" s="1738"/>
      <c r="AN402" s="1738"/>
      <c r="AO402" s="1738"/>
      <c r="AP402" s="1738"/>
      <c r="AQ402" s="1738"/>
      <c r="AR402" s="1738"/>
      <c r="AS402" s="1738"/>
      <c r="AT402" s="1738"/>
      <c r="AU402" s="1738"/>
      <c r="AV402" s="1738"/>
      <c r="AW402" s="1738"/>
      <c r="AX402" s="1738"/>
      <c r="AY402" s="1738"/>
      <c r="AZ402" s="1738"/>
      <c r="BA402" s="1738"/>
      <c r="BB402" s="1738"/>
      <c r="BC402" s="1738"/>
      <c r="BD402" s="1738"/>
      <c r="BE402" s="1738"/>
      <c r="BF402" s="1738"/>
    </row>
    <row r="403" spans="1:58" ht="11.25" customHeight="1">
      <c r="A403" s="1084" t="s">
        <v>992</v>
      </c>
      <c r="B403" s="1084"/>
      <c r="C403" s="1084"/>
      <c r="D403" s="1078"/>
      <c r="E403" s="1088"/>
      <c r="F403" s="2605"/>
      <c r="G403" s="2606"/>
      <c r="H403" s="2601" t="s">
        <v>108</v>
      </c>
      <c r="I403" s="2613"/>
      <c r="J403" s="2624"/>
      <c r="K403" s="2615"/>
      <c r="L403" s="2338"/>
      <c r="M403" s="2339"/>
      <c r="N403" s="1093"/>
      <c r="O403" s="1094"/>
      <c r="P403" s="1086" t="s">
        <v>1030</v>
      </c>
      <c r="Q403" s="1094"/>
      <c r="R403" s="1094"/>
      <c r="S403" s="1094"/>
      <c r="T403" s="1094"/>
      <c r="U403" s="1094"/>
      <c r="V403" s="1094"/>
      <c r="W403" s="1094"/>
      <c r="X403" s="1094"/>
      <c r="Y403" s="1094"/>
      <c r="Z403" s="1094"/>
      <c r="AA403" s="1094"/>
      <c r="AB403" s="1094"/>
      <c r="AC403" s="1094"/>
      <c r="AD403" s="1094"/>
      <c r="AE403" s="1101"/>
      <c r="AF403" s="2616"/>
      <c r="AG403" s="2617"/>
      <c r="AH403" s="2617"/>
      <c r="AI403" s="2616"/>
      <c r="AJ403" s="2617"/>
      <c r="AK403" s="2617"/>
      <c r="AL403" s="1900"/>
      <c r="AM403" s="1738"/>
      <c r="AN403" s="1738"/>
      <c r="AO403" s="1738"/>
      <c r="AP403" s="1738"/>
      <c r="AQ403" s="1738"/>
      <c r="AR403" s="1738"/>
      <c r="AS403" s="1738"/>
      <c r="AT403" s="1738"/>
      <c r="AU403" s="1738"/>
      <c r="AV403" s="1738"/>
      <c r="AW403" s="1738"/>
      <c r="AX403" s="1738"/>
      <c r="AY403" s="1738"/>
      <c r="AZ403" s="1738"/>
      <c r="BA403" s="1738"/>
      <c r="BB403" s="1738"/>
      <c r="BC403" s="1738"/>
      <c r="BD403" s="1738"/>
      <c r="BE403" s="1738"/>
      <c r="BF403" s="1738"/>
    </row>
    <row r="404" spans="1:58" ht="11.25" customHeight="1">
      <c r="A404" s="1084" t="s">
        <v>992</v>
      </c>
      <c r="B404" s="1084" t="s">
        <v>1031</v>
      </c>
      <c r="C404" s="1084"/>
      <c r="D404" s="1078"/>
      <c r="E404" s="1088"/>
      <c r="F404" s="2605"/>
      <c r="G404" s="2590" t="s">
        <v>686</v>
      </c>
      <c r="H404" s="2601" t="s">
        <v>92</v>
      </c>
      <c r="I404" s="2613" t="s">
        <v>1032</v>
      </c>
      <c r="J404" s="2624" t="s">
        <v>1033</v>
      </c>
      <c r="K404" s="2615" t="s">
        <v>1065</v>
      </c>
      <c r="L404" s="2338" t="s">
        <v>19</v>
      </c>
      <c r="M404" s="2339"/>
      <c r="N404" s="1898"/>
      <c r="O404" s="1095" t="s">
        <v>373</v>
      </c>
      <c r="P404" s="1096"/>
      <c r="Q404" s="1096"/>
      <c r="R404" s="1096"/>
      <c r="S404" s="1096"/>
      <c r="T404" s="1096"/>
      <c r="U404" s="1096"/>
      <c r="V404" s="1096"/>
      <c r="W404" s="1096"/>
      <c r="X404" s="1096"/>
      <c r="Y404" s="1096"/>
      <c r="Z404" s="1096"/>
      <c r="AA404" s="1096"/>
      <c r="AB404" s="1096"/>
      <c r="AC404" s="1096"/>
      <c r="AD404" s="1096"/>
      <c r="AE404" s="1096"/>
      <c r="AF404" s="2616">
        <v>4</v>
      </c>
      <c r="AG404" s="2617" t="s">
        <v>1026</v>
      </c>
      <c r="AH404" s="2617" t="s">
        <v>1035</v>
      </c>
      <c r="AI404" s="2616"/>
      <c r="AJ404" s="2617"/>
      <c r="AK404" s="2617"/>
      <c r="AL404" s="1900"/>
      <c r="AM404" s="1738"/>
      <c r="AN404" s="1738"/>
      <c r="AO404" s="1738"/>
      <c r="AP404" s="1738"/>
      <c r="AQ404" s="1738"/>
      <c r="AR404" s="1738"/>
      <c r="AS404" s="1738"/>
      <c r="AT404" s="1738"/>
      <c r="AU404" s="1738"/>
      <c r="AV404" s="1738"/>
      <c r="AW404" s="1738"/>
      <c r="AX404" s="1738"/>
      <c r="AY404" s="1738"/>
      <c r="AZ404" s="1738"/>
      <c r="BA404" s="1738"/>
      <c r="BB404" s="1738"/>
      <c r="BC404" s="1738"/>
      <c r="BD404" s="1738"/>
      <c r="BE404" s="1738"/>
      <c r="BF404" s="1738"/>
    </row>
    <row r="405" spans="1:58" ht="11.25" customHeight="1">
      <c r="A405" s="1084" t="s">
        <v>992</v>
      </c>
      <c r="B405" s="1084"/>
      <c r="C405" s="1084"/>
      <c r="D405" s="1078"/>
      <c r="E405" s="1088"/>
      <c r="F405" s="2605"/>
      <c r="G405" s="2606"/>
      <c r="H405" s="2601" t="s">
        <v>109</v>
      </c>
      <c r="I405" s="2613"/>
      <c r="J405" s="2624"/>
      <c r="K405" s="2615"/>
      <c r="L405" s="2338"/>
      <c r="M405" s="2339"/>
      <c r="N405" s="2618"/>
      <c r="O405" s="2619">
        <v>1</v>
      </c>
      <c r="P405" s="2620" t="s">
        <v>19</v>
      </c>
      <c r="Q405" s="2573" t="s">
        <v>22</v>
      </c>
      <c r="R405" s="2573" t="s">
        <v>22</v>
      </c>
      <c r="S405" s="2573" t="s">
        <v>22</v>
      </c>
      <c r="T405" s="2573" t="s">
        <v>22</v>
      </c>
      <c r="U405" s="2573" t="s">
        <v>22</v>
      </c>
      <c r="V405" s="2573" t="s">
        <v>22</v>
      </c>
      <c r="W405" s="2573" t="s">
        <v>22</v>
      </c>
      <c r="X405" s="2573" t="s">
        <v>22</v>
      </c>
      <c r="Y405" s="2573"/>
      <c r="Z405" s="1093"/>
      <c r="AA405" s="1094"/>
      <c r="AB405" s="1094"/>
      <c r="AC405" s="1098"/>
      <c r="AD405" s="1098"/>
      <c r="AE405" s="1099"/>
      <c r="AF405" s="2616"/>
      <c r="AG405" s="2617"/>
      <c r="AH405" s="2617"/>
      <c r="AI405" s="2616"/>
      <c r="AJ405" s="2617"/>
      <c r="AK405" s="2617"/>
      <c r="AL405" s="1900"/>
      <c r="AM405" s="1738"/>
      <c r="AN405" s="1738"/>
      <c r="AO405" s="1738"/>
      <c r="AP405" s="1738"/>
      <c r="AQ405" s="1738"/>
      <c r="AR405" s="1738"/>
      <c r="AS405" s="1738"/>
      <c r="AT405" s="1738"/>
      <c r="AU405" s="1738"/>
      <c r="AV405" s="1738"/>
      <c r="AW405" s="1738"/>
      <c r="AX405" s="1738"/>
      <c r="AY405" s="1738"/>
      <c r="AZ405" s="1738"/>
      <c r="BA405" s="1738"/>
      <c r="BB405" s="1738"/>
      <c r="BC405" s="1738"/>
      <c r="BD405" s="1738"/>
      <c r="BE405" s="1738"/>
      <c r="BF405" s="1738"/>
    </row>
    <row r="406" spans="1:58" ht="11.25" customHeight="1">
      <c r="A406" s="1084" t="s">
        <v>992</v>
      </c>
      <c r="B406" s="1084"/>
      <c r="C406" s="1084"/>
      <c r="D406" s="1078"/>
      <c r="E406" s="1088"/>
      <c r="F406" s="2605"/>
      <c r="G406" s="2606"/>
      <c r="H406" s="2601" t="s">
        <v>109</v>
      </c>
      <c r="I406" s="2613"/>
      <c r="J406" s="2624"/>
      <c r="K406" s="2615"/>
      <c r="L406" s="2338"/>
      <c r="M406" s="2339"/>
      <c r="N406" s="2618"/>
      <c r="O406" s="2619"/>
      <c r="P406" s="2621"/>
      <c r="Q406" s="2573"/>
      <c r="R406" s="2573"/>
      <c r="S406" s="2623"/>
      <c r="T406" s="2573"/>
      <c r="U406" s="2573"/>
      <c r="V406" s="2573"/>
      <c r="W406" s="2573"/>
      <c r="X406" s="2573"/>
      <c r="Y406" s="2573"/>
      <c r="Z406" s="1743"/>
      <c r="AA406" s="1711">
        <v>1</v>
      </c>
      <c r="AB406" s="1097" t="s">
        <v>1036</v>
      </c>
      <c r="AC406" s="1087">
        <v>399487.50459132</v>
      </c>
      <c r="AD406" s="1097" t="str">
        <f>AB406</f>
        <v xml:space="preserve">      Прочие амортизационные отчисления</v>
      </c>
      <c r="AE406" s="1087"/>
      <c r="AF406" s="2616"/>
      <c r="AG406" s="2617"/>
      <c r="AH406" s="2617"/>
      <c r="AI406" s="2616"/>
      <c r="AJ406" s="2617"/>
      <c r="AK406" s="2617"/>
      <c r="AL406" s="1900"/>
      <c r="AM406" s="1738"/>
      <c r="AN406" s="1738"/>
      <c r="AO406" s="1738"/>
      <c r="AP406" s="1738"/>
      <c r="AQ406" s="1738"/>
      <c r="AR406" s="1738"/>
      <c r="AS406" s="1738"/>
      <c r="AT406" s="1738"/>
      <c r="AU406" s="1738"/>
      <c r="AV406" s="1738"/>
      <c r="AW406" s="1738"/>
      <c r="AX406" s="1738"/>
      <c r="AY406" s="1738"/>
      <c r="AZ406" s="1738"/>
      <c r="BA406" s="1738"/>
      <c r="BB406" s="1738"/>
      <c r="BC406" s="1738"/>
      <c r="BD406" s="1738"/>
      <c r="BE406" s="1738"/>
      <c r="BF406" s="1738"/>
    </row>
    <row r="407" spans="1:58" ht="11.25" customHeight="1">
      <c r="A407" s="1084" t="s">
        <v>992</v>
      </c>
      <c r="B407" s="1084"/>
      <c r="C407" s="1084"/>
      <c r="D407" s="1078"/>
      <c r="E407" s="1088"/>
      <c r="F407" s="2606"/>
      <c r="G407" s="2606"/>
      <c r="H407" s="2606"/>
      <c r="I407" s="2606"/>
      <c r="J407" s="2606"/>
      <c r="K407" s="2606"/>
      <c r="L407" s="2606"/>
      <c r="M407" s="2606"/>
      <c r="N407" s="2606"/>
      <c r="O407" s="2606"/>
      <c r="P407" s="2606"/>
      <c r="Q407" s="2606"/>
      <c r="R407" s="2606"/>
      <c r="S407" s="2606"/>
      <c r="T407" s="2606"/>
      <c r="U407" s="2606"/>
      <c r="V407" s="2606"/>
      <c r="W407" s="2606"/>
      <c r="X407" s="2606"/>
      <c r="Y407" s="2606"/>
      <c r="Z407" s="2054" t="s">
        <v>686</v>
      </c>
      <c r="AA407" s="1731" t="s">
        <v>109</v>
      </c>
      <c r="AB407" s="1097" t="s">
        <v>1028</v>
      </c>
      <c r="AC407" s="1087">
        <v>48715.991230836</v>
      </c>
      <c r="AD407" s="1097" t="str">
        <f>AB407</f>
        <v xml:space="preserve">  Прочие</v>
      </c>
      <c r="AE407" s="1087"/>
      <c r="AF407" s="2625"/>
      <c r="AG407" s="2626"/>
      <c r="AH407" s="2626"/>
      <c r="AI407" s="2625"/>
      <c r="AJ407" s="2626"/>
      <c r="AK407" s="2627"/>
      <c r="AL407" s="1900"/>
      <c r="AM407" s="1738"/>
      <c r="AN407" s="1738"/>
      <c r="AO407" s="1738"/>
      <c r="AP407" s="1738"/>
      <c r="AQ407" s="1738"/>
      <c r="AR407" s="1738"/>
      <c r="AS407" s="1738"/>
      <c r="AT407" s="1738"/>
      <c r="AU407" s="1738"/>
      <c r="AV407" s="1738"/>
      <c r="AW407" s="1738"/>
      <c r="AX407" s="1738"/>
      <c r="AY407" s="1738"/>
      <c r="AZ407" s="1738"/>
      <c r="BA407" s="1738"/>
      <c r="BB407" s="1738"/>
      <c r="BC407" s="1738"/>
      <c r="BD407" s="1738"/>
      <c r="BE407" s="1738"/>
      <c r="BF407" s="1738"/>
    </row>
    <row r="408" spans="1:58" ht="30" customHeight="1">
      <c r="A408" s="1084" t="s">
        <v>992</v>
      </c>
      <c r="B408" s="1084"/>
      <c r="C408" s="1084"/>
      <c r="D408" s="1078"/>
      <c r="E408" s="1088"/>
      <c r="F408" s="2605"/>
      <c r="G408" s="2606"/>
      <c r="H408" s="2601" t="s">
        <v>109</v>
      </c>
      <c r="I408" s="2613"/>
      <c r="J408" s="2624"/>
      <c r="K408" s="2615"/>
      <c r="L408" s="2338"/>
      <c r="M408" s="2339"/>
      <c r="N408" s="2618"/>
      <c r="O408" s="2619"/>
      <c r="P408" s="2622"/>
      <c r="Q408" s="2573"/>
      <c r="R408" s="2573"/>
      <c r="S408" s="2623"/>
      <c r="T408" s="2573"/>
      <c r="U408" s="2573"/>
      <c r="V408" s="2573"/>
      <c r="W408" s="2573"/>
      <c r="X408" s="2573"/>
      <c r="Y408" s="2573"/>
      <c r="Z408" s="1093"/>
      <c r="AA408" s="1094"/>
      <c r="AB408" s="1159" t="s">
        <v>1029</v>
      </c>
      <c r="AC408" s="1098"/>
      <c r="AD408" s="1098"/>
      <c r="AE408" s="1100"/>
      <c r="AF408" s="2616"/>
      <c r="AG408" s="2617"/>
      <c r="AH408" s="2617"/>
      <c r="AI408" s="2616"/>
      <c r="AJ408" s="2617"/>
      <c r="AK408" s="2617"/>
      <c r="AL408" s="1900"/>
      <c r="AM408" s="1738"/>
      <c r="AN408" s="1738"/>
      <c r="AO408" s="1738"/>
      <c r="AP408" s="1738"/>
      <c r="AQ408" s="1738"/>
      <c r="AR408" s="1738"/>
      <c r="AS408" s="1738"/>
      <c r="AT408" s="1738"/>
      <c r="AU408" s="1738"/>
      <c r="AV408" s="1738"/>
      <c r="AW408" s="1738"/>
      <c r="AX408" s="1738"/>
      <c r="AY408" s="1738"/>
      <c r="AZ408" s="1738"/>
      <c r="BA408" s="1738"/>
      <c r="BB408" s="1738"/>
      <c r="BC408" s="1738"/>
      <c r="BD408" s="1738"/>
      <c r="BE408" s="1738"/>
      <c r="BF408" s="1738"/>
    </row>
    <row r="409" spans="1:58" ht="11.25" customHeight="1">
      <c r="A409" s="1084" t="s">
        <v>992</v>
      </c>
      <c r="B409" s="1084"/>
      <c r="C409" s="1084"/>
      <c r="D409" s="1078"/>
      <c r="E409" s="1088"/>
      <c r="F409" s="2605"/>
      <c r="G409" s="2606"/>
      <c r="H409" s="2601" t="s">
        <v>109</v>
      </c>
      <c r="I409" s="2613"/>
      <c r="J409" s="2624"/>
      <c r="K409" s="2615"/>
      <c r="L409" s="2338"/>
      <c r="M409" s="2339"/>
      <c r="N409" s="1093"/>
      <c r="O409" s="1094"/>
      <c r="P409" s="1086" t="s">
        <v>1030</v>
      </c>
      <c r="Q409" s="1094"/>
      <c r="R409" s="1094"/>
      <c r="S409" s="1094"/>
      <c r="T409" s="1094"/>
      <c r="U409" s="1094"/>
      <c r="V409" s="1094"/>
      <c r="W409" s="1094"/>
      <c r="X409" s="1094"/>
      <c r="Y409" s="1094"/>
      <c r="Z409" s="1094"/>
      <c r="AA409" s="1094"/>
      <c r="AB409" s="1094"/>
      <c r="AC409" s="1094"/>
      <c r="AD409" s="1094"/>
      <c r="AE409" s="1101"/>
      <c r="AF409" s="2616"/>
      <c r="AG409" s="2617"/>
      <c r="AH409" s="2617"/>
      <c r="AI409" s="2616"/>
      <c r="AJ409" s="2617"/>
      <c r="AK409" s="2617"/>
      <c r="AL409" s="1900"/>
      <c r="AM409" s="1738"/>
      <c r="AN409" s="1738"/>
      <c r="AO409" s="1738"/>
      <c r="AP409" s="1738"/>
      <c r="AQ409" s="1738"/>
      <c r="AR409" s="1738"/>
      <c r="AS409" s="1738"/>
      <c r="AT409" s="1738"/>
      <c r="AU409" s="1738"/>
      <c r="AV409" s="1738"/>
      <c r="AW409" s="1738"/>
      <c r="AX409" s="1738"/>
      <c r="AY409" s="1738"/>
      <c r="AZ409" s="1738"/>
      <c r="BA409" s="1738"/>
      <c r="BB409" s="1738"/>
      <c r="BC409" s="1738"/>
      <c r="BD409" s="1738"/>
      <c r="BE409" s="1738"/>
      <c r="BF409" s="1738"/>
    </row>
    <row r="410" spans="1:58" ht="11.25" customHeight="1">
      <c r="A410" s="1084" t="s">
        <v>992</v>
      </c>
      <c r="B410" s="1084" t="s">
        <v>1031</v>
      </c>
      <c r="C410" s="1084"/>
      <c r="D410" s="1078"/>
      <c r="E410" s="1088"/>
      <c r="F410" s="2605"/>
      <c r="G410" s="2590" t="s">
        <v>686</v>
      </c>
      <c r="H410" s="2601" t="s">
        <v>93</v>
      </c>
      <c r="I410" s="2613" t="s">
        <v>1032</v>
      </c>
      <c r="J410" s="2624" t="s">
        <v>1033</v>
      </c>
      <c r="K410" s="2615" t="s">
        <v>1040</v>
      </c>
      <c r="L410" s="2338" t="s">
        <v>19</v>
      </c>
      <c r="M410" s="2339"/>
      <c r="N410" s="1898"/>
      <c r="O410" s="1095" t="s">
        <v>373</v>
      </c>
      <c r="P410" s="1096"/>
      <c r="Q410" s="1096"/>
      <c r="R410" s="1096"/>
      <c r="S410" s="1096"/>
      <c r="T410" s="1096"/>
      <c r="U410" s="1096"/>
      <c r="V410" s="1096"/>
      <c r="W410" s="1096"/>
      <c r="X410" s="1096"/>
      <c r="Y410" s="1096"/>
      <c r="Z410" s="1096"/>
      <c r="AA410" s="1096"/>
      <c r="AB410" s="1096"/>
      <c r="AC410" s="1096"/>
      <c r="AD410" s="1096"/>
      <c r="AE410" s="1096"/>
      <c r="AF410" s="2616">
        <v>5</v>
      </c>
      <c r="AG410" s="2617" t="s">
        <v>1026</v>
      </c>
      <c r="AH410" s="2617" t="s">
        <v>1027</v>
      </c>
      <c r="AI410" s="2616"/>
      <c r="AJ410" s="2617"/>
      <c r="AK410" s="2617"/>
      <c r="AL410" s="1900"/>
      <c r="AM410" s="1738"/>
      <c r="AN410" s="1738"/>
      <c r="AO410" s="1738"/>
      <c r="AP410" s="1738"/>
      <c r="AQ410" s="1738"/>
      <c r="AR410" s="1738"/>
      <c r="AS410" s="1738"/>
      <c r="AT410" s="1738"/>
      <c r="AU410" s="1738"/>
      <c r="AV410" s="1738"/>
      <c r="AW410" s="1738"/>
      <c r="AX410" s="1738"/>
      <c r="AY410" s="1738"/>
      <c r="AZ410" s="1738"/>
      <c r="BA410" s="1738"/>
      <c r="BB410" s="1738"/>
      <c r="BC410" s="1738"/>
      <c r="BD410" s="1738"/>
      <c r="BE410" s="1738"/>
      <c r="BF410" s="1738"/>
    </row>
    <row r="411" spans="1:58" ht="11.25" customHeight="1">
      <c r="A411" s="1084" t="s">
        <v>992</v>
      </c>
      <c r="B411" s="1084"/>
      <c r="C411" s="1084"/>
      <c r="D411" s="1078"/>
      <c r="E411" s="1088"/>
      <c r="F411" s="2605"/>
      <c r="G411" s="2606"/>
      <c r="H411" s="2601" t="s">
        <v>92</v>
      </c>
      <c r="I411" s="2613"/>
      <c r="J411" s="2624"/>
      <c r="K411" s="2615"/>
      <c r="L411" s="2338"/>
      <c r="M411" s="2339"/>
      <c r="N411" s="2618"/>
      <c r="O411" s="2619">
        <v>1</v>
      </c>
      <c r="P411" s="2620" t="s">
        <v>19</v>
      </c>
      <c r="Q411" s="2573" t="s">
        <v>22</v>
      </c>
      <c r="R411" s="2573" t="s">
        <v>22</v>
      </c>
      <c r="S411" s="2573" t="s">
        <v>22</v>
      </c>
      <c r="T411" s="2573" t="s">
        <v>22</v>
      </c>
      <c r="U411" s="2573" t="s">
        <v>22</v>
      </c>
      <c r="V411" s="2573" t="s">
        <v>22</v>
      </c>
      <c r="W411" s="2573" t="s">
        <v>22</v>
      </c>
      <c r="X411" s="2573" t="s">
        <v>22</v>
      </c>
      <c r="Y411" s="2573"/>
      <c r="Z411" s="1093"/>
      <c r="AA411" s="1094"/>
      <c r="AB411" s="1094"/>
      <c r="AC411" s="1098"/>
      <c r="AD411" s="1098"/>
      <c r="AE411" s="1099"/>
      <c r="AF411" s="2616"/>
      <c r="AG411" s="2617"/>
      <c r="AH411" s="2617"/>
      <c r="AI411" s="2616"/>
      <c r="AJ411" s="2617"/>
      <c r="AK411" s="2617"/>
      <c r="AL411" s="1900"/>
      <c r="AM411" s="1738"/>
      <c r="AN411" s="1738"/>
      <c r="AO411" s="1738"/>
      <c r="AP411" s="1738"/>
      <c r="AQ411" s="1738"/>
      <c r="AR411" s="1738"/>
      <c r="AS411" s="1738"/>
      <c r="AT411" s="1738"/>
      <c r="AU411" s="1738"/>
      <c r="AV411" s="1738"/>
      <c r="AW411" s="1738"/>
      <c r="AX411" s="1738"/>
      <c r="AY411" s="1738"/>
      <c r="AZ411" s="1738"/>
      <c r="BA411" s="1738"/>
      <c r="BB411" s="1738"/>
      <c r="BC411" s="1738"/>
      <c r="BD411" s="1738"/>
      <c r="BE411" s="1738"/>
      <c r="BF411" s="1738"/>
    </row>
    <row r="412" spans="1:58" ht="11.25" customHeight="1">
      <c r="A412" s="1084" t="s">
        <v>992</v>
      </c>
      <c r="B412" s="1084"/>
      <c r="C412" s="1084"/>
      <c r="D412" s="1078"/>
      <c r="E412" s="1088"/>
      <c r="F412" s="2605"/>
      <c r="G412" s="2606"/>
      <c r="H412" s="2601" t="s">
        <v>92</v>
      </c>
      <c r="I412" s="2613"/>
      <c r="J412" s="2624"/>
      <c r="K412" s="2615"/>
      <c r="L412" s="2338"/>
      <c r="M412" s="2339"/>
      <c r="N412" s="2618"/>
      <c r="O412" s="2619"/>
      <c r="P412" s="2621"/>
      <c r="Q412" s="2573"/>
      <c r="R412" s="2573"/>
      <c r="S412" s="2623"/>
      <c r="T412" s="2573"/>
      <c r="U412" s="2573"/>
      <c r="V412" s="2573"/>
      <c r="W412" s="2573"/>
      <c r="X412" s="2573"/>
      <c r="Y412" s="2573"/>
      <c r="Z412" s="1743"/>
      <c r="AA412" s="1711">
        <v>1</v>
      </c>
      <c r="AB412" s="1097" t="s">
        <v>1036</v>
      </c>
      <c r="AC412" s="1087">
        <v>102213.864945557</v>
      </c>
      <c r="AD412" s="1097" t="str">
        <f>AB412</f>
        <v xml:space="preserve">      Прочие амортизационные отчисления</v>
      </c>
      <c r="AE412" s="1087"/>
      <c r="AF412" s="2616"/>
      <c r="AG412" s="2617"/>
      <c r="AH412" s="2617"/>
      <c r="AI412" s="2616"/>
      <c r="AJ412" s="2617"/>
      <c r="AK412" s="2617"/>
      <c r="AL412" s="1900"/>
      <c r="AM412" s="1738"/>
      <c r="AN412" s="1738"/>
      <c r="AO412" s="1738"/>
      <c r="AP412" s="1738"/>
      <c r="AQ412" s="1738"/>
      <c r="AR412" s="1738"/>
      <c r="AS412" s="1738"/>
      <c r="AT412" s="1738"/>
      <c r="AU412" s="1738"/>
      <c r="AV412" s="1738"/>
      <c r="AW412" s="1738"/>
      <c r="AX412" s="1738"/>
      <c r="AY412" s="1738"/>
      <c r="AZ412" s="1738"/>
      <c r="BA412" s="1738"/>
      <c r="BB412" s="1738"/>
      <c r="BC412" s="1738"/>
      <c r="BD412" s="1738"/>
      <c r="BE412" s="1738"/>
      <c r="BF412" s="1738"/>
    </row>
    <row r="413" spans="1:58" ht="30.75" customHeight="1">
      <c r="A413" s="1084" t="s">
        <v>992</v>
      </c>
      <c r="B413" s="1084"/>
      <c r="C413" s="1084"/>
      <c r="D413" s="1078"/>
      <c r="E413" s="1088"/>
      <c r="F413" s="2605"/>
      <c r="G413" s="2606"/>
      <c r="H413" s="2601" t="s">
        <v>92</v>
      </c>
      <c r="I413" s="2613"/>
      <c r="J413" s="2624"/>
      <c r="K413" s="2615"/>
      <c r="L413" s="2338"/>
      <c r="M413" s="2339"/>
      <c r="N413" s="2618"/>
      <c r="O413" s="2619"/>
      <c r="P413" s="2622"/>
      <c r="Q413" s="2573"/>
      <c r="R413" s="2573"/>
      <c r="S413" s="2623"/>
      <c r="T413" s="2573"/>
      <c r="U413" s="2573"/>
      <c r="V413" s="2573"/>
      <c r="W413" s="2573"/>
      <c r="X413" s="2573"/>
      <c r="Y413" s="2573"/>
      <c r="Z413" s="1093"/>
      <c r="AA413" s="1094"/>
      <c r="AB413" s="1159" t="s">
        <v>1029</v>
      </c>
      <c r="AC413" s="1098"/>
      <c r="AD413" s="1098"/>
      <c r="AE413" s="1100"/>
      <c r="AF413" s="2616"/>
      <c r="AG413" s="2617"/>
      <c r="AH413" s="2617"/>
      <c r="AI413" s="2616"/>
      <c r="AJ413" s="2617"/>
      <c r="AK413" s="2617"/>
      <c r="AL413" s="1900"/>
      <c r="AM413" s="1738"/>
      <c r="AN413" s="1738"/>
      <c r="AO413" s="1738"/>
      <c r="AP413" s="1738"/>
      <c r="AQ413" s="1738"/>
      <c r="AR413" s="1738"/>
      <c r="AS413" s="1738"/>
      <c r="AT413" s="1738"/>
      <c r="AU413" s="1738"/>
      <c r="AV413" s="1738"/>
      <c r="AW413" s="1738"/>
      <c r="AX413" s="1738"/>
      <c r="AY413" s="1738"/>
      <c r="AZ413" s="1738"/>
      <c r="BA413" s="1738"/>
      <c r="BB413" s="1738"/>
      <c r="BC413" s="1738"/>
      <c r="BD413" s="1738"/>
      <c r="BE413" s="1738"/>
      <c r="BF413" s="1738"/>
    </row>
    <row r="414" spans="1:58" ht="32.25" customHeight="1">
      <c r="A414" s="1084" t="s">
        <v>992</v>
      </c>
      <c r="B414" s="1084"/>
      <c r="C414" s="1084"/>
      <c r="D414" s="1078"/>
      <c r="E414" s="1088"/>
      <c r="F414" s="2605"/>
      <c r="G414" s="2606"/>
      <c r="H414" s="2601" t="s">
        <v>92</v>
      </c>
      <c r="I414" s="2613"/>
      <c r="J414" s="2624"/>
      <c r="K414" s="2615"/>
      <c r="L414" s="2338"/>
      <c r="M414" s="2339"/>
      <c r="N414" s="1093"/>
      <c r="O414" s="1094"/>
      <c r="P414" s="1086" t="s">
        <v>1030</v>
      </c>
      <c r="Q414" s="1094"/>
      <c r="R414" s="1094"/>
      <c r="S414" s="1094"/>
      <c r="T414" s="1094"/>
      <c r="U414" s="1094"/>
      <c r="V414" s="1094"/>
      <c r="W414" s="1094"/>
      <c r="X414" s="1094"/>
      <c r="Y414" s="1094"/>
      <c r="Z414" s="1094"/>
      <c r="AA414" s="1094"/>
      <c r="AB414" s="1094"/>
      <c r="AC414" s="1094"/>
      <c r="AD414" s="1094"/>
      <c r="AE414" s="1101"/>
      <c r="AF414" s="2616"/>
      <c r="AG414" s="2617"/>
      <c r="AH414" s="2617"/>
      <c r="AI414" s="2616"/>
      <c r="AJ414" s="2617"/>
      <c r="AK414" s="2617"/>
      <c r="AL414" s="1900"/>
      <c r="AM414" s="1738"/>
      <c r="AN414" s="1738"/>
      <c r="AO414" s="1738"/>
      <c r="AP414" s="1738"/>
      <c r="AQ414" s="1738"/>
      <c r="AR414" s="1738"/>
      <c r="AS414" s="1738"/>
      <c r="AT414" s="1738"/>
      <c r="AU414" s="1738"/>
      <c r="AV414" s="1738"/>
      <c r="AW414" s="1738"/>
      <c r="AX414" s="1738"/>
      <c r="AY414" s="1738"/>
      <c r="AZ414" s="1738"/>
      <c r="BA414" s="1738"/>
      <c r="BB414" s="1738"/>
      <c r="BC414" s="1738"/>
      <c r="BD414" s="1738"/>
      <c r="BE414" s="1738"/>
      <c r="BF414" s="1738"/>
    </row>
    <row r="415" spans="1:58" ht="11.25" customHeight="1">
      <c r="A415" s="1084" t="s">
        <v>992</v>
      </c>
      <c r="B415" s="1084" t="s">
        <v>1031</v>
      </c>
      <c r="C415" s="1084"/>
      <c r="D415" s="1078"/>
      <c r="E415" s="1088"/>
      <c r="F415" s="2605"/>
      <c r="G415" s="2590" t="s">
        <v>686</v>
      </c>
      <c r="H415" s="2601" t="s">
        <v>110</v>
      </c>
      <c r="I415" s="2613" t="s">
        <v>1032</v>
      </c>
      <c r="J415" s="2624" t="s">
        <v>1033</v>
      </c>
      <c r="K415" s="2615" t="s">
        <v>1074</v>
      </c>
      <c r="L415" s="2338" t="s">
        <v>19</v>
      </c>
      <c r="M415" s="2339"/>
      <c r="N415" s="1898"/>
      <c r="O415" s="1095" t="s">
        <v>373</v>
      </c>
      <c r="P415" s="1096"/>
      <c r="Q415" s="1096"/>
      <c r="R415" s="1096"/>
      <c r="S415" s="1096"/>
      <c r="T415" s="1096"/>
      <c r="U415" s="1096"/>
      <c r="V415" s="1096"/>
      <c r="W415" s="1096"/>
      <c r="X415" s="1096"/>
      <c r="Y415" s="1096"/>
      <c r="Z415" s="1096"/>
      <c r="AA415" s="1096"/>
      <c r="AB415" s="1096"/>
      <c r="AC415" s="1096"/>
      <c r="AD415" s="1096"/>
      <c r="AE415" s="1096"/>
      <c r="AF415" s="2616">
        <v>3</v>
      </c>
      <c r="AG415" s="2617" t="s">
        <v>1026</v>
      </c>
      <c r="AH415" s="2617" t="s">
        <v>1035</v>
      </c>
      <c r="AI415" s="2616"/>
      <c r="AJ415" s="2617"/>
      <c r="AK415" s="2617"/>
      <c r="AL415" s="1900"/>
      <c r="AM415" s="1738"/>
      <c r="AN415" s="1738"/>
      <c r="AO415" s="1738"/>
      <c r="AP415" s="1738"/>
      <c r="AQ415" s="1738"/>
      <c r="AR415" s="1738"/>
      <c r="AS415" s="1738"/>
      <c r="AT415" s="1738"/>
      <c r="AU415" s="1738"/>
      <c r="AV415" s="1738"/>
      <c r="AW415" s="1738"/>
      <c r="AX415" s="1738"/>
      <c r="AY415" s="1738"/>
      <c r="AZ415" s="1738"/>
      <c r="BA415" s="1738"/>
      <c r="BB415" s="1738"/>
      <c r="BC415" s="1738"/>
      <c r="BD415" s="1738"/>
      <c r="BE415" s="1738"/>
      <c r="BF415" s="1738"/>
    </row>
    <row r="416" spans="1:58" ht="11.25" customHeight="1">
      <c r="A416" s="1084" t="s">
        <v>992</v>
      </c>
      <c r="B416" s="1084"/>
      <c r="C416" s="1084"/>
      <c r="D416" s="1078"/>
      <c r="E416" s="1088"/>
      <c r="F416" s="2605"/>
      <c r="G416" s="2606"/>
      <c r="H416" s="2601" t="s">
        <v>93</v>
      </c>
      <c r="I416" s="2613"/>
      <c r="J416" s="2624"/>
      <c r="K416" s="2615"/>
      <c r="L416" s="2338"/>
      <c r="M416" s="2339"/>
      <c r="N416" s="2618"/>
      <c r="O416" s="2619">
        <v>1</v>
      </c>
      <c r="P416" s="2620" t="s">
        <v>19</v>
      </c>
      <c r="Q416" s="2573" t="s">
        <v>22</v>
      </c>
      <c r="R416" s="2573" t="s">
        <v>22</v>
      </c>
      <c r="S416" s="2573" t="s">
        <v>22</v>
      </c>
      <c r="T416" s="2573" t="s">
        <v>22</v>
      </c>
      <c r="U416" s="2573" t="s">
        <v>22</v>
      </c>
      <c r="V416" s="2573" t="s">
        <v>22</v>
      </c>
      <c r="W416" s="2573" t="s">
        <v>22</v>
      </c>
      <c r="X416" s="2573" t="s">
        <v>22</v>
      </c>
      <c r="Y416" s="2573"/>
      <c r="Z416" s="1093"/>
      <c r="AA416" s="1094"/>
      <c r="AB416" s="1094"/>
      <c r="AC416" s="1098"/>
      <c r="AD416" s="1098"/>
      <c r="AE416" s="1099"/>
      <c r="AF416" s="2616"/>
      <c r="AG416" s="2617"/>
      <c r="AH416" s="2617"/>
      <c r="AI416" s="2616"/>
      <c r="AJ416" s="2617"/>
      <c r="AK416" s="2617"/>
      <c r="AL416" s="1900"/>
      <c r="AM416" s="1738"/>
      <c r="AN416" s="1738"/>
      <c r="AO416" s="1738"/>
      <c r="AP416" s="1738"/>
      <c r="AQ416" s="1738"/>
      <c r="AR416" s="1738"/>
      <c r="AS416" s="1738"/>
      <c r="AT416" s="1738"/>
      <c r="AU416" s="1738"/>
      <c r="AV416" s="1738"/>
      <c r="AW416" s="1738"/>
      <c r="AX416" s="1738"/>
      <c r="AY416" s="1738"/>
      <c r="AZ416" s="1738"/>
      <c r="BA416" s="1738"/>
      <c r="BB416" s="1738"/>
      <c r="BC416" s="1738"/>
      <c r="BD416" s="1738"/>
      <c r="BE416" s="1738"/>
      <c r="BF416" s="1738"/>
    </row>
    <row r="417" spans="1:58" ht="11.25" customHeight="1">
      <c r="A417" s="1084" t="s">
        <v>992</v>
      </c>
      <c r="B417" s="1084"/>
      <c r="C417" s="1084"/>
      <c r="D417" s="1078"/>
      <c r="E417" s="1088"/>
      <c r="F417" s="2605"/>
      <c r="G417" s="2606"/>
      <c r="H417" s="2601" t="s">
        <v>93</v>
      </c>
      <c r="I417" s="2613"/>
      <c r="J417" s="2624"/>
      <c r="K417" s="2615"/>
      <c r="L417" s="2338"/>
      <c r="M417" s="2339"/>
      <c r="N417" s="2618"/>
      <c r="O417" s="2619"/>
      <c r="P417" s="2621"/>
      <c r="Q417" s="2573"/>
      <c r="R417" s="2573"/>
      <c r="S417" s="2623"/>
      <c r="T417" s="2573"/>
      <c r="U417" s="2573"/>
      <c r="V417" s="2573"/>
      <c r="W417" s="2573"/>
      <c r="X417" s="2573"/>
      <c r="Y417" s="2573"/>
      <c r="Z417" s="1743"/>
      <c r="AA417" s="1711">
        <v>1</v>
      </c>
      <c r="AB417" s="1097" t="s">
        <v>1036</v>
      </c>
      <c r="AC417" s="1087">
        <v>379160.188993441</v>
      </c>
      <c r="AD417" s="1097" t="str">
        <f>AB417</f>
        <v xml:space="preserve">      Прочие амортизационные отчисления</v>
      </c>
      <c r="AE417" s="1087"/>
      <c r="AF417" s="2616"/>
      <c r="AG417" s="2617"/>
      <c r="AH417" s="2617"/>
      <c r="AI417" s="2616"/>
      <c r="AJ417" s="2617"/>
      <c r="AK417" s="2617"/>
      <c r="AL417" s="1900"/>
      <c r="AM417" s="1738"/>
      <c r="AN417" s="1738"/>
      <c r="AO417" s="1738"/>
      <c r="AP417" s="1738"/>
      <c r="AQ417" s="1738"/>
      <c r="AR417" s="1738"/>
      <c r="AS417" s="1738"/>
      <c r="AT417" s="1738"/>
      <c r="AU417" s="1738"/>
      <c r="AV417" s="1738"/>
      <c r="AW417" s="1738"/>
      <c r="AX417" s="1738"/>
      <c r="AY417" s="1738"/>
      <c r="AZ417" s="1738"/>
      <c r="BA417" s="1738"/>
      <c r="BB417" s="1738"/>
      <c r="BC417" s="1738"/>
      <c r="BD417" s="1738"/>
      <c r="BE417" s="1738"/>
      <c r="BF417" s="1738"/>
    </row>
    <row r="418" spans="1:58" ht="11.25" customHeight="1">
      <c r="A418" s="1084" t="s">
        <v>992</v>
      </c>
      <c r="B418" s="1084"/>
      <c r="C418" s="1084"/>
      <c r="D418" s="1078"/>
      <c r="E418" s="1088"/>
      <c r="F418" s="2606"/>
      <c r="G418" s="2606"/>
      <c r="H418" s="2606"/>
      <c r="I418" s="2606"/>
      <c r="J418" s="2606"/>
      <c r="K418" s="2606"/>
      <c r="L418" s="2606"/>
      <c r="M418" s="2606"/>
      <c r="N418" s="2606"/>
      <c r="O418" s="2606"/>
      <c r="P418" s="2606"/>
      <c r="Q418" s="2606"/>
      <c r="R418" s="2606"/>
      <c r="S418" s="2606"/>
      <c r="T418" s="2606"/>
      <c r="U418" s="2606"/>
      <c r="V418" s="2606"/>
      <c r="W418" s="2606"/>
      <c r="X418" s="2606"/>
      <c r="Y418" s="2606"/>
      <c r="Z418" s="2054" t="s">
        <v>686</v>
      </c>
      <c r="AA418" s="1731" t="s">
        <v>109</v>
      </c>
      <c r="AB418" s="1097" t="s">
        <v>1028</v>
      </c>
      <c r="AC418" s="1087">
        <v>294286.58250695898</v>
      </c>
      <c r="AD418" s="1097" t="str">
        <f>AB418</f>
        <v xml:space="preserve">  Прочие</v>
      </c>
      <c r="AE418" s="1087"/>
      <c r="AF418" s="2625"/>
      <c r="AG418" s="2626"/>
      <c r="AH418" s="2626"/>
      <c r="AI418" s="2625"/>
      <c r="AJ418" s="2626"/>
      <c r="AK418" s="2627"/>
      <c r="AL418" s="1900"/>
      <c r="AM418" s="1738"/>
      <c r="AN418" s="1738"/>
      <c r="AO418" s="1738"/>
      <c r="AP418" s="1738"/>
      <c r="AQ418" s="1738"/>
      <c r="AR418" s="1738"/>
      <c r="AS418" s="1738"/>
      <c r="AT418" s="1738"/>
      <c r="AU418" s="1738"/>
      <c r="AV418" s="1738"/>
      <c r="AW418" s="1738"/>
      <c r="AX418" s="1738"/>
      <c r="AY418" s="1738"/>
      <c r="AZ418" s="1738"/>
      <c r="BA418" s="1738"/>
      <c r="BB418" s="1738"/>
      <c r="BC418" s="1738"/>
      <c r="BD418" s="1738"/>
      <c r="BE418" s="1738"/>
      <c r="BF418" s="1738"/>
    </row>
    <row r="419" spans="1:58" ht="11.25" customHeight="1">
      <c r="A419" s="1084" t="s">
        <v>992</v>
      </c>
      <c r="B419" s="1084"/>
      <c r="C419" s="1084"/>
      <c r="D419" s="1078"/>
      <c r="E419" s="1088"/>
      <c r="F419" s="2605"/>
      <c r="G419" s="2606"/>
      <c r="H419" s="2601" t="s">
        <v>93</v>
      </c>
      <c r="I419" s="2613"/>
      <c r="J419" s="2624"/>
      <c r="K419" s="2615"/>
      <c r="L419" s="2338"/>
      <c r="M419" s="2339"/>
      <c r="N419" s="2618"/>
      <c r="O419" s="2619"/>
      <c r="P419" s="2622"/>
      <c r="Q419" s="2573"/>
      <c r="R419" s="2573"/>
      <c r="S419" s="2623"/>
      <c r="T419" s="2573"/>
      <c r="U419" s="2573"/>
      <c r="V419" s="2573"/>
      <c r="W419" s="2573"/>
      <c r="X419" s="2573"/>
      <c r="Y419" s="2573"/>
      <c r="Z419" s="1093"/>
      <c r="AA419" s="1094"/>
      <c r="AB419" s="1159" t="s">
        <v>1029</v>
      </c>
      <c r="AC419" s="1098"/>
      <c r="AD419" s="1098"/>
      <c r="AE419" s="1100"/>
      <c r="AF419" s="2616"/>
      <c r="AG419" s="2617"/>
      <c r="AH419" s="2617"/>
      <c r="AI419" s="2616"/>
      <c r="AJ419" s="2617"/>
      <c r="AK419" s="2617"/>
      <c r="AL419" s="1900"/>
      <c r="AM419" s="1738"/>
      <c r="AN419" s="1738"/>
      <c r="AO419" s="1738"/>
      <c r="AP419" s="1738"/>
      <c r="AQ419" s="1738"/>
      <c r="AR419" s="1738"/>
      <c r="AS419" s="1738"/>
      <c r="AT419" s="1738"/>
      <c r="AU419" s="1738"/>
      <c r="AV419" s="1738"/>
      <c r="AW419" s="1738"/>
      <c r="AX419" s="1738"/>
      <c r="AY419" s="1738"/>
      <c r="AZ419" s="1738"/>
      <c r="BA419" s="1738"/>
      <c r="BB419" s="1738"/>
      <c r="BC419" s="1738"/>
      <c r="BD419" s="1738"/>
      <c r="BE419" s="1738"/>
      <c r="BF419" s="1738"/>
    </row>
    <row r="420" spans="1:58" ht="25.5" customHeight="1">
      <c r="A420" s="1084" t="s">
        <v>992</v>
      </c>
      <c r="B420" s="1084"/>
      <c r="C420" s="1084"/>
      <c r="D420" s="1078"/>
      <c r="E420" s="1088"/>
      <c r="F420" s="2605"/>
      <c r="G420" s="2606"/>
      <c r="H420" s="2601" t="s">
        <v>93</v>
      </c>
      <c r="I420" s="2613"/>
      <c r="J420" s="2624"/>
      <c r="K420" s="2615"/>
      <c r="L420" s="2338"/>
      <c r="M420" s="2339"/>
      <c r="N420" s="1093"/>
      <c r="O420" s="1094"/>
      <c r="P420" s="1086" t="s">
        <v>1030</v>
      </c>
      <c r="Q420" s="1094"/>
      <c r="R420" s="1094"/>
      <c r="S420" s="1094"/>
      <c r="T420" s="1094"/>
      <c r="U420" s="1094"/>
      <c r="V420" s="1094"/>
      <c r="W420" s="1094"/>
      <c r="X420" s="1094"/>
      <c r="Y420" s="1094"/>
      <c r="Z420" s="1094"/>
      <c r="AA420" s="1094"/>
      <c r="AB420" s="1094"/>
      <c r="AC420" s="1094"/>
      <c r="AD420" s="1094"/>
      <c r="AE420" s="1101"/>
      <c r="AF420" s="2616"/>
      <c r="AG420" s="2617"/>
      <c r="AH420" s="2617"/>
      <c r="AI420" s="2616"/>
      <c r="AJ420" s="2617"/>
      <c r="AK420" s="2617"/>
      <c r="AL420" s="1900"/>
      <c r="AM420" s="1738"/>
      <c r="AN420" s="1738"/>
      <c r="AO420" s="1738"/>
      <c r="AP420" s="1738"/>
      <c r="AQ420" s="1738"/>
      <c r="AR420" s="1738"/>
      <c r="AS420" s="1738"/>
      <c r="AT420" s="1738"/>
      <c r="AU420" s="1738"/>
      <c r="AV420" s="1738"/>
      <c r="AW420" s="1738"/>
      <c r="AX420" s="1738"/>
      <c r="AY420" s="1738"/>
      <c r="AZ420" s="1738"/>
      <c r="BA420" s="1738"/>
      <c r="BB420" s="1738"/>
      <c r="BC420" s="1738"/>
      <c r="BD420" s="1738"/>
      <c r="BE420" s="1738"/>
      <c r="BF420" s="1738"/>
    </row>
    <row r="421" spans="1:58" ht="11.25" customHeight="1">
      <c r="A421" s="1084" t="s">
        <v>992</v>
      </c>
      <c r="B421" s="1084" t="s">
        <v>1031</v>
      </c>
      <c r="C421" s="1084"/>
      <c r="D421" s="1078"/>
      <c r="E421" s="1088"/>
      <c r="F421" s="2605"/>
      <c r="G421" s="2590" t="s">
        <v>686</v>
      </c>
      <c r="H421" s="2601" t="s">
        <v>94</v>
      </c>
      <c r="I421" s="2613" t="s">
        <v>1032</v>
      </c>
      <c r="J421" s="2624" t="s">
        <v>1033</v>
      </c>
      <c r="K421" s="2615" t="s">
        <v>1044</v>
      </c>
      <c r="L421" s="2338" t="s">
        <v>19</v>
      </c>
      <c r="M421" s="2339"/>
      <c r="N421" s="1898"/>
      <c r="O421" s="1095" t="s">
        <v>373</v>
      </c>
      <c r="P421" s="1096"/>
      <c r="Q421" s="1096"/>
      <c r="R421" s="1096"/>
      <c r="S421" s="1096"/>
      <c r="T421" s="1096"/>
      <c r="U421" s="1096"/>
      <c r="V421" s="1096"/>
      <c r="W421" s="1096"/>
      <c r="X421" s="1096"/>
      <c r="Y421" s="1096"/>
      <c r="Z421" s="1096"/>
      <c r="AA421" s="1096"/>
      <c r="AB421" s="1096"/>
      <c r="AC421" s="1096"/>
      <c r="AD421" s="1096"/>
      <c r="AE421" s="1096"/>
      <c r="AF421" s="2616">
        <v>5</v>
      </c>
      <c r="AG421" s="2617" t="s">
        <v>1026</v>
      </c>
      <c r="AH421" s="2617" t="s">
        <v>1027</v>
      </c>
      <c r="AI421" s="2616"/>
      <c r="AJ421" s="2617"/>
      <c r="AK421" s="2617"/>
      <c r="AL421" s="1900"/>
      <c r="AM421" s="1738"/>
      <c r="AN421" s="1738"/>
      <c r="AO421" s="1738"/>
      <c r="AP421" s="1738"/>
      <c r="AQ421" s="1738"/>
      <c r="AR421" s="1738"/>
      <c r="AS421" s="1738"/>
      <c r="AT421" s="1738"/>
      <c r="AU421" s="1738"/>
      <c r="AV421" s="1738"/>
      <c r="AW421" s="1738"/>
      <c r="AX421" s="1738"/>
      <c r="AY421" s="1738"/>
      <c r="AZ421" s="1738"/>
      <c r="BA421" s="1738"/>
      <c r="BB421" s="1738"/>
      <c r="BC421" s="1738"/>
      <c r="BD421" s="1738"/>
      <c r="BE421" s="1738"/>
      <c r="BF421" s="1738"/>
    </row>
    <row r="422" spans="1:58" ht="11.25" customHeight="1">
      <c r="A422" s="1084" t="s">
        <v>992</v>
      </c>
      <c r="B422" s="1084"/>
      <c r="C422" s="1084"/>
      <c r="D422" s="1078"/>
      <c r="E422" s="1088"/>
      <c r="F422" s="2605"/>
      <c r="G422" s="2606"/>
      <c r="H422" s="2601" t="s">
        <v>110</v>
      </c>
      <c r="I422" s="2613"/>
      <c r="J422" s="2624"/>
      <c r="K422" s="2615"/>
      <c r="L422" s="2338"/>
      <c r="M422" s="2339"/>
      <c r="N422" s="2618"/>
      <c r="O422" s="2619">
        <v>1</v>
      </c>
      <c r="P422" s="2620" t="s">
        <v>19</v>
      </c>
      <c r="Q422" s="2573" t="s">
        <v>22</v>
      </c>
      <c r="R422" s="2573" t="s">
        <v>22</v>
      </c>
      <c r="S422" s="2573" t="s">
        <v>22</v>
      </c>
      <c r="T422" s="2573" t="s">
        <v>22</v>
      </c>
      <c r="U422" s="2573" t="s">
        <v>22</v>
      </c>
      <c r="V422" s="2573" t="s">
        <v>22</v>
      </c>
      <c r="W422" s="2573" t="s">
        <v>22</v>
      </c>
      <c r="X422" s="2573" t="s">
        <v>22</v>
      </c>
      <c r="Y422" s="2573"/>
      <c r="Z422" s="1093"/>
      <c r="AA422" s="1094"/>
      <c r="AB422" s="1094"/>
      <c r="AC422" s="1098"/>
      <c r="AD422" s="1098"/>
      <c r="AE422" s="1099"/>
      <c r="AF422" s="2616"/>
      <c r="AG422" s="2617"/>
      <c r="AH422" s="2617"/>
      <c r="AI422" s="2616"/>
      <c r="AJ422" s="2617"/>
      <c r="AK422" s="2617"/>
      <c r="AL422" s="1900"/>
      <c r="AM422" s="1738"/>
      <c r="AN422" s="1738"/>
      <c r="AO422" s="1738"/>
      <c r="AP422" s="1738"/>
      <c r="AQ422" s="1738"/>
      <c r="AR422" s="1738"/>
      <c r="AS422" s="1738"/>
      <c r="AT422" s="1738"/>
      <c r="AU422" s="1738"/>
      <c r="AV422" s="1738"/>
      <c r="AW422" s="1738"/>
      <c r="AX422" s="1738"/>
      <c r="AY422" s="1738"/>
      <c r="AZ422" s="1738"/>
      <c r="BA422" s="1738"/>
      <c r="BB422" s="1738"/>
      <c r="BC422" s="1738"/>
      <c r="BD422" s="1738"/>
      <c r="BE422" s="1738"/>
      <c r="BF422" s="1738"/>
    </row>
    <row r="423" spans="1:58" ht="11.25" customHeight="1">
      <c r="A423" s="1084" t="s">
        <v>992</v>
      </c>
      <c r="B423" s="1084"/>
      <c r="C423" s="1084"/>
      <c r="D423" s="1078"/>
      <c r="E423" s="1088"/>
      <c r="F423" s="2605"/>
      <c r="G423" s="2606"/>
      <c r="H423" s="2601" t="s">
        <v>110</v>
      </c>
      <c r="I423" s="2613"/>
      <c r="J423" s="2624"/>
      <c r="K423" s="2615"/>
      <c r="L423" s="2338"/>
      <c r="M423" s="2339"/>
      <c r="N423" s="2618"/>
      <c r="O423" s="2619"/>
      <c r="P423" s="2621"/>
      <c r="Q423" s="2573"/>
      <c r="R423" s="2573"/>
      <c r="S423" s="2623"/>
      <c r="T423" s="2573"/>
      <c r="U423" s="2573"/>
      <c r="V423" s="2573"/>
      <c r="W423" s="2573"/>
      <c r="X423" s="2573"/>
      <c r="Y423" s="2573"/>
      <c r="Z423" s="1743"/>
      <c r="AA423" s="1711">
        <v>1</v>
      </c>
      <c r="AB423" s="1097" t="s">
        <v>1036</v>
      </c>
      <c r="AC423" s="1087">
        <v>363029.994354708</v>
      </c>
      <c r="AD423" s="1097" t="str">
        <f>AB423</f>
        <v xml:space="preserve">      Прочие амортизационные отчисления</v>
      </c>
      <c r="AE423" s="1087"/>
      <c r="AF423" s="2616"/>
      <c r="AG423" s="2617"/>
      <c r="AH423" s="2617"/>
      <c r="AI423" s="2616"/>
      <c r="AJ423" s="2617"/>
      <c r="AK423" s="2617"/>
      <c r="AL423" s="1900"/>
      <c r="AM423" s="1738"/>
      <c r="AN423" s="1738"/>
      <c r="AO423" s="1738"/>
      <c r="AP423" s="1738"/>
      <c r="AQ423" s="1738"/>
      <c r="AR423" s="1738"/>
      <c r="AS423" s="1738"/>
      <c r="AT423" s="1738"/>
      <c r="AU423" s="1738"/>
      <c r="AV423" s="1738"/>
      <c r="AW423" s="1738"/>
      <c r="AX423" s="1738"/>
      <c r="AY423" s="1738"/>
      <c r="AZ423" s="1738"/>
      <c r="BA423" s="1738"/>
      <c r="BB423" s="1738"/>
      <c r="BC423" s="1738"/>
      <c r="BD423" s="1738"/>
      <c r="BE423" s="1738"/>
      <c r="BF423" s="1738"/>
    </row>
    <row r="424" spans="1:58" ht="11.25" customHeight="1">
      <c r="A424" s="1084" t="s">
        <v>992</v>
      </c>
      <c r="B424" s="1084"/>
      <c r="C424" s="1084"/>
      <c r="D424" s="1078"/>
      <c r="E424" s="1088"/>
      <c r="F424" s="2606"/>
      <c r="G424" s="2606"/>
      <c r="H424" s="2606"/>
      <c r="I424" s="2606"/>
      <c r="J424" s="2606"/>
      <c r="K424" s="2606"/>
      <c r="L424" s="2606"/>
      <c r="M424" s="2606"/>
      <c r="N424" s="2606"/>
      <c r="O424" s="2606"/>
      <c r="P424" s="2606"/>
      <c r="Q424" s="2606"/>
      <c r="R424" s="2606"/>
      <c r="S424" s="2606"/>
      <c r="T424" s="2606"/>
      <c r="U424" s="2606"/>
      <c r="V424" s="2606"/>
      <c r="W424" s="2606"/>
      <c r="X424" s="2606"/>
      <c r="Y424" s="2606"/>
      <c r="Z424" s="2054" t="s">
        <v>686</v>
      </c>
      <c r="AA424" s="1731" t="s">
        <v>109</v>
      </c>
      <c r="AB424" s="1097" t="s">
        <v>1028</v>
      </c>
      <c r="AC424" s="1087">
        <v>189350.79342829101</v>
      </c>
      <c r="AD424" s="1097" t="str">
        <f>AB424</f>
        <v xml:space="preserve">  Прочие</v>
      </c>
      <c r="AE424" s="1087"/>
      <c r="AF424" s="2625"/>
      <c r="AG424" s="2626"/>
      <c r="AH424" s="2626"/>
      <c r="AI424" s="2625"/>
      <c r="AJ424" s="2626"/>
      <c r="AK424" s="2627"/>
      <c r="AL424" s="1900"/>
      <c r="AM424" s="1738"/>
      <c r="AN424" s="1738"/>
      <c r="AO424" s="1738"/>
      <c r="AP424" s="1738"/>
      <c r="AQ424" s="1738"/>
      <c r="AR424" s="1738"/>
      <c r="AS424" s="1738"/>
      <c r="AT424" s="1738"/>
      <c r="AU424" s="1738"/>
      <c r="AV424" s="1738"/>
      <c r="AW424" s="1738"/>
      <c r="AX424" s="1738"/>
      <c r="AY424" s="1738"/>
      <c r="AZ424" s="1738"/>
      <c r="BA424" s="1738"/>
      <c r="BB424" s="1738"/>
      <c r="BC424" s="1738"/>
      <c r="BD424" s="1738"/>
      <c r="BE424" s="1738"/>
      <c r="BF424" s="1738"/>
    </row>
    <row r="425" spans="1:58" ht="46.5" customHeight="1">
      <c r="A425" s="1084" t="s">
        <v>992</v>
      </c>
      <c r="B425" s="1084"/>
      <c r="C425" s="1084"/>
      <c r="D425" s="1078"/>
      <c r="E425" s="1088"/>
      <c r="F425" s="2605"/>
      <c r="G425" s="2606"/>
      <c r="H425" s="2601" t="s">
        <v>110</v>
      </c>
      <c r="I425" s="2613"/>
      <c r="J425" s="2624"/>
      <c r="K425" s="2615"/>
      <c r="L425" s="2338"/>
      <c r="M425" s="2339"/>
      <c r="N425" s="2618"/>
      <c r="O425" s="2619"/>
      <c r="P425" s="2622"/>
      <c r="Q425" s="2573"/>
      <c r="R425" s="2573"/>
      <c r="S425" s="2623"/>
      <c r="T425" s="2573"/>
      <c r="U425" s="2573"/>
      <c r="V425" s="2573"/>
      <c r="W425" s="2573"/>
      <c r="X425" s="2573"/>
      <c r="Y425" s="2573"/>
      <c r="Z425" s="1093"/>
      <c r="AA425" s="1094"/>
      <c r="AB425" s="1159" t="s">
        <v>1029</v>
      </c>
      <c r="AC425" s="1098"/>
      <c r="AD425" s="1098"/>
      <c r="AE425" s="1100"/>
      <c r="AF425" s="2616"/>
      <c r="AG425" s="2617"/>
      <c r="AH425" s="2617"/>
      <c r="AI425" s="2616"/>
      <c r="AJ425" s="2617"/>
      <c r="AK425" s="2617"/>
      <c r="AL425" s="1900"/>
      <c r="AM425" s="1738"/>
      <c r="AN425" s="1738"/>
      <c r="AO425" s="1738"/>
      <c r="AP425" s="1738"/>
      <c r="AQ425" s="1738"/>
      <c r="AR425" s="1738"/>
      <c r="AS425" s="1738"/>
      <c r="AT425" s="1738"/>
      <c r="AU425" s="1738"/>
      <c r="AV425" s="1738"/>
      <c r="AW425" s="1738"/>
      <c r="AX425" s="1738"/>
      <c r="AY425" s="1738"/>
      <c r="AZ425" s="1738"/>
      <c r="BA425" s="1738"/>
      <c r="BB425" s="1738"/>
      <c r="BC425" s="1738"/>
      <c r="BD425" s="1738"/>
      <c r="BE425" s="1738"/>
      <c r="BF425" s="1738"/>
    </row>
    <row r="426" spans="1:58" ht="37.5" customHeight="1">
      <c r="A426" s="1084" t="s">
        <v>992</v>
      </c>
      <c r="B426" s="1084"/>
      <c r="C426" s="1084"/>
      <c r="D426" s="1078"/>
      <c r="E426" s="1088"/>
      <c r="F426" s="2605"/>
      <c r="G426" s="2606"/>
      <c r="H426" s="2601" t="s">
        <v>110</v>
      </c>
      <c r="I426" s="2613"/>
      <c r="J426" s="2624"/>
      <c r="K426" s="2615"/>
      <c r="L426" s="2338"/>
      <c r="M426" s="2339"/>
      <c r="N426" s="1093"/>
      <c r="O426" s="1094"/>
      <c r="P426" s="1086" t="s">
        <v>1030</v>
      </c>
      <c r="Q426" s="1094"/>
      <c r="R426" s="1094"/>
      <c r="S426" s="1094"/>
      <c r="T426" s="1094"/>
      <c r="U426" s="1094"/>
      <c r="V426" s="1094"/>
      <c r="W426" s="1094"/>
      <c r="X426" s="1094"/>
      <c r="Y426" s="1094"/>
      <c r="Z426" s="1094"/>
      <c r="AA426" s="1094"/>
      <c r="AB426" s="1094"/>
      <c r="AC426" s="1094"/>
      <c r="AD426" s="1094"/>
      <c r="AE426" s="1101"/>
      <c r="AF426" s="2616"/>
      <c r="AG426" s="2617"/>
      <c r="AH426" s="2617"/>
      <c r="AI426" s="2616"/>
      <c r="AJ426" s="2617"/>
      <c r="AK426" s="2617"/>
      <c r="AL426" s="1900"/>
      <c r="AM426" s="1738"/>
      <c r="AN426" s="1738"/>
      <c r="AO426" s="1738"/>
      <c r="AP426" s="1738"/>
      <c r="AQ426" s="1738"/>
      <c r="AR426" s="1738"/>
      <c r="AS426" s="1738"/>
      <c r="AT426" s="1738"/>
      <c r="AU426" s="1738"/>
      <c r="AV426" s="1738"/>
      <c r="AW426" s="1738"/>
      <c r="AX426" s="1738"/>
      <c r="AY426" s="1738"/>
      <c r="AZ426" s="1738"/>
      <c r="BA426" s="1738"/>
      <c r="BB426" s="1738"/>
      <c r="BC426" s="1738"/>
      <c r="BD426" s="1738"/>
      <c r="BE426" s="1738"/>
      <c r="BF426" s="1738"/>
    </row>
    <row r="427" spans="1:58" ht="11.25" customHeight="1">
      <c r="A427" s="1084" t="s">
        <v>992</v>
      </c>
      <c r="B427" s="1084" t="s">
        <v>1031</v>
      </c>
      <c r="C427" s="1084"/>
      <c r="D427" s="1078"/>
      <c r="E427" s="1088"/>
      <c r="F427" s="2605"/>
      <c r="G427" s="2590" t="s">
        <v>686</v>
      </c>
      <c r="H427" s="2601" t="s">
        <v>95</v>
      </c>
      <c r="I427" s="2613" t="s">
        <v>1032</v>
      </c>
      <c r="J427" s="2624" t="s">
        <v>1033</v>
      </c>
      <c r="K427" s="2615" t="s">
        <v>1046</v>
      </c>
      <c r="L427" s="2338" t="s">
        <v>19</v>
      </c>
      <c r="M427" s="2339"/>
      <c r="N427" s="1898"/>
      <c r="O427" s="1095" t="s">
        <v>373</v>
      </c>
      <c r="P427" s="1096"/>
      <c r="Q427" s="1096"/>
      <c r="R427" s="1096"/>
      <c r="S427" s="1096"/>
      <c r="T427" s="1096"/>
      <c r="U427" s="1096"/>
      <c r="V427" s="1096"/>
      <c r="W427" s="1096"/>
      <c r="X427" s="1096"/>
      <c r="Y427" s="1096"/>
      <c r="Z427" s="1096"/>
      <c r="AA427" s="1096"/>
      <c r="AB427" s="1096"/>
      <c r="AC427" s="1096"/>
      <c r="AD427" s="1096"/>
      <c r="AE427" s="1096"/>
      <c r="AF427" s="2616">
        <v>5</v>
      </c>
      <c r="AG427" s="2617" t="s">
        <v>1026</v>
      </c>
      <c r="AH427" s="2617" t="s">
        <v>1027</v>
      </c>
      <c r="AI427" s="2616"/>
      <c r="AJ427" s="2617"/>
      <c r="AK427" s="2617"/>
      <c r="AL427" s="1900"/>
      <c r="AM427" s="1738"/>
      <c r="AN427" s="1738"/>
      <c r="AO427" s="1738"/>
      <c r="AP427" s="1738"/>
      <c r="AQ427" s="1738"/>
      <c r="AR427" s="1738"/>
      <c r="AS427" s="1738"/>
      <c r="AT427" s="1738"/>
      <c r="AU427" s="1738"/>
      <c r="AV427" s="1738"/>
      <c r="AW427" s="1738"/>
      <c r="AX427" s="1738"/>
      <c r="AY427" s="1738"/>
      <c r="AZ427" s="1738"/>
      <c r="BA427" s="1738"/>
      <c r="BB427" s="1738"/>
      <c r="BC427" s="1738"/>
      <c r="BD427" s="1738"/>
      <c r="BE427" s="1738"/>
      <c r="BF427" s="1738"/>
    </row>
    <row r="428" spans="1:58" ht="11.25" customHeight="1">
      <c r="A428" s="1084" t="s">
        <v>992</v>
      </c>
      <c r="B428" s="1084"/>
      <c r="C428" s="1084"/>
      <c r="D428" s="1078"/>
      <c r="E428" s="1088"/>
      <c r="F428" s="2605"/>
      <c r="G428" s="2606"/>
      <c r="H428" s="2601" t="s">
        <v>94</v>
      </c>
      <c r="I428" s="2613"/>
      <c r="J428" s="2624"/>
      <c r="K428" s="2615"/>
      <c r="L428" s="2338"/>
      <c r="M428" s="2339"/>
      <c r="N428" s="2618"/>
      <c r="O428" s="2619">
        <v>1</v>
      </c>
      <c r="P428" s="2620" t="s">
        <v>19</v>
      </c>
      <c r="Q428" s="2573" t="s">
        <v>22</v>
      </c>
      <c r="R428" s="2573" t="s">
        <v>22</v>
      </c>
      <c r="S428" s="2573" t="s">
        <v>22</v>
      </c>
      <c r="T428" s="2573" t="s">
        <v>22</v>
      </c>
      <c r="U428" s="2573" t="s">
        <v>22</v>
      </c>
      <c r="V428" s="2573" t="s">
        <v>22</v>
      </c>
      <c r="W428" s="2573" t="s">
        <v>22</v>
      </c>
      <c r="X428" s="2573" t="s">
        <v>22</v>
      </c>
      <c r="Y428" s="2573"/>
      <c r="Z428" s="1093"/>
      <c r="AA428" s="1094"/>
      <c r="AB428" s="1094"/>
      <c r="AC428" s="1098"/>
      <c r="AD428" s="1098"/>
      <c r="AE428" s="1099"/>
      <c r="AF428" s="2616"/>
      <c r="AG428" s="2617"/>
      <c r="AH428" s="2617"/>
      <c r="AI428" s="2616"/>
      <c r="AJ428" s="2617"/>
      <c r="AK428" s="2617"/>
      <c r="AL428" s="1900"/>
      <c r="AM428" s="1738"/>
      <c r="AN428" s="1738"/>
      <c r="AO428" s="1738"/>
      <c r="AP428" s="1738"/>
      <c r="AQ428" s="1738"/>
      <c r="AR428" s="1738"/>
      <c r="AS428" s="1738"/>
      <c r="AT428" s="1738"/>
      <c r="AU428" s="1738"/>
      <c r="AV428" s="1738"/>
      <c r="AW428" s="1738"/>
      <c r="AX428" s="1738"/>
      <c r="AY428" s="1738"/>
      <c r="AZ428" s="1738"/>
      <c r="BA428" s="1738"/>
      <c r="BB428" s="1738"/>
      <c r="BC428" s="1738"/>
      <c r="BD428" s="1738"/>
      <c r="BE428" s="1738"/>
      <c r="BF428" s="1738"/>
    </row>
    <row r="429" spans="1:58" ht="46.5" customHeight="1">
      <c r="A429" s="1084" t="s">
        <v>992</v>
      </c>
      <c r="B429" s="1084"/>
      <c r="C429" s="1084"/>
      <c r="D429" s="1078"/>
      <c r="E429" s="1088"/>
      <c r="F429" s="2605"/>
      <c r="G429" s="2606"/>
      <c r="H429" s="2601" t="s">
        <v>94</v>
      </c>
      <c r="I429" s="2613"/>
      <c r="J429" s="2624"/>
      <c r="K429" s="2615"/>
      <c r="L429" s="2338"/>
      <c r="M429" s="2339"/>
      <c r="N429" s="2618"/>
      <c r="O429" s="2619"/>
      <c r="P429" s="2621"/>
      <c r="Q429" s="2573"/>
      <c r="R429" s="2573"/>
      <c r="S429" s="2623"/>
      <c r="T429" s="2573"/>
      <c r="U429" s="2573"/>
      <c r="V429" s="2573"/>
      <c r="W429" s="2573"/>
      <c r="X429" s="2573"/>
      <c r="Y429" s="2573"/>
      <c r="Z429" s="1743"/>
      <c r="AA429" s="1711">
        <v>1</v>
      </c>
      <c r="AB429" s="1097" t="s">
        <v>1036</v>
      </c>
      <c r="AC429" s="1087">
        <v>154256.048826621</v>
      </c>
      <c r="AD429" s="1097" t="str">
        <f>AB429</f>
        <v xml:space="preserve">      Прочие амортизационные отчисления</v>
      </c>
      <c r="AE429" s="1087"/>
      <c r="AF429" s="2616"/>
      <c r="AG429" s="2617"/>
      <c r="AH429" s="2617"/>
      <c r="AI429" s="2616"/>
      <c r="AJ429" s="2617"/>
      <c r="AK429" s="2617"/>
      <c r="AL429" s="1900"/>
      <c r="AM429" s="1738"/>
      <c r="AN429" s="1738"/>
      <c r="AO429" s="1738"/>
      <c r="AP429" s="1738"/>
      <c r="AQ429" s="1738"/>
      <c r="AR429" s="1738"/>
      <c r="AS429" s="1738"/>
      <c r="AT429" s="1738"/>
      <c r="AU429" s="1738"/>
      <c r="AV429" s="1738"/>
      <c r="AW429" s="1738"/>
      <c r="AX429" s="1738"/>
      <c r="AY429" s="1738"/>
      <c r="AZ429" s="1738"/>
      <c r="BA429" s="1738"/>
      <c r="BB429" s="1738"/>
      <c r="BC429" s="1738"/>
      <c r="BD429" s="1738"/>
      <c r="BE429" s="1738"/>
      <c r="BF429" s="1738"/>
    </row>
    <row r="430" spans="1:58" ht="35.25" customHeight="1">
      <c r="A430" s="1084" t="s">
        <v>992</v>
      </c>
      <c r="B430" s="1084"/>
      <c r="C430" s="1084"/>
      <c r="D430" s="1078"/>
      <c r="E430" s="1088"/>
      <c r="F430" s="2605"/>
      <c r="G430" s="2606"/>
      <c r="H430" s="2601" t="s">
        <v>94</v>
      </c>
      <c r="I430" s="2613"/>
      <c r="J430" s="2624"/>
      <c r="K430" s="2615"/>
      <c r="L430" s="2338"/>
      <c r="M430" s="2339"/>
      <c r="N430" s="2618"/>
      <c r="O430" s="2619"/>
      <c r="P430" s="2622"/>
      <c r="Q430" s="2573"/>
      <c r="R430" s="2573"/>
      <c r="S430" s="2623"/>
      <c r="T430" s="2573"/>
      <c r="U430" s="2573"/>
      <c r="V430" s="2573"/>
      <c r="W430" s="2573"/>
      <c r="X430" s="2573"/>
      <c r="Y430" s="2573"/>
      <c r="Z430" s="1093"/>
      <c r="AA430" s="1094"/>
      <c r="AB430" s="1159" t="s">
        <v>1029</v>
      </c>
      <c r="AC430" s="1098"/>
      <c r="AD430" s="1098"/>
      <c r="AE430" s="1100"/>
      <c r="AF430" s="2616"/>
      <c r="AG430" s="2617"/>
      <c r="AH430" s="2617"/>
      <c r="AI430" s="2616"/>
      <c r="AJ430" s="2617"/>
      <c r="AK430" s="2617"/>
      <c r="AL430" s="1900"/>
      <c r="AM430" s="1738"/>
      <c r="AN430" s="1738"/>
      <c r="AO430" s="1738"/>
      <c r="AP430" s="1738"/>
      <c r="AQ430" s="1738"/>
      <c r="AR430" s="1738"/>
      <c r="AS430" s="1738"/>
      <c r="AT430" s="1738"/>
      <c r="AU430" s="1738"/>
      <c r="AV430" s="1738"/>
      <c r="AW430" s="1738"/>
      <c r="AX430" s="1738"/>
      <c r="AY430" s="1738"/>
      <c r="AZ430" s="1738"/>
      <c r="BA430" s="1738"/>
      <c r="BB430" s="1738"/>
      <c r="BC430" s="1738"/>
      <c r="BD430" s="1738"/>
      <c r="BE430" s="1738"/>
      <c r="BF430" s="1738"/>
    </row>
    <row r="431" spans="1:58" ht="109.5" customHeight="1">
      <c r="A431" s="1084" t="s">
        <v>992</v>
      </c>
      <c r="B431" s="1084"/>
      <c r="C431" s="1084"/>
      <c r="D431" s="1078"/>
      <c r="E431" s="1088"/>
      <c r="F431" s="2605"/>
      <c r="G431" s="2606"/>
      <c r="H431" s="2601" t="s">
        <v>94</v>
      </c>
      <c r="I431" s="2613"/>
      <c r="J431" s="2624"/>
      <c r="K431" s="2615"/>
      <c r="L431" s="2338"/>
      <c r="M431" s="2339"/>
      <c r="N431" s="1093"/>
      <c r="O431" s="1094"/>
      <c r="P431" s="1086" t="s">
        <v>1030</v>
      </c>
      <c r="Q431" s="1094"/>
      <c r="R431" s="1094"/>
      <c r="S431" s="1094"/>
      <c r="T431" s="1094"/>
      <c r="U431" s="1094"/>
      <c r="V431" s="1094"/>
      <c r="W431" s="1094"/>
      <c r="X431" s="1094"/>
      <c r="Y431" s="1094"/>
      <c r="Z431" s="1094"/>
      <c r="AA431" s="1094"/>
      <c r="AB431" s="1094"/>
      <c r="AC431" s="1094"/>
      <c r="AD431" s="1094"/>
      <c r="AE431" s="1101"/>
      <c r="AF431" s="2616"/>
      <c r="AG431" s="2617"/>
      <c r="AH431" s="2617"/>
      <c r="AI431" s="2616"/>
      <c r="AJ431" s="2617"/>
      <c r="AK431" s="2617"/>
      <c r="AL431" s="1900"/>
      <c r="AM431" s="1738"/>
      <c r="AN431" s="1738"/>
      <c r="AO431" s="1738"/>
      <c r="AP431" s="1738"/>
      <c r="AQ431" s="1738"/>
      <c r="AR431" s="1738"/>
      <c r="AS431" s="1738"/>
      <c r="AT431" s="1738"/>
      <c r="AU431" s="1738"/>
      <c r="AV431" s="1738"/>
      <c r="AW431" s="1738"/>
      <c r="AX431" s="1738"/>
      <c r="AY431" s="1738"/>
      <c r="AZ431" s="1738"/>
      <c r="BA431" s="1738"/>
      <c r="BB431" s="1738"/>
      <c r="BC431" s="1738"/>
      <c r="BD431" s="1738"/>
      <c r="BE431" s="1738"/>
      <c r="BF431" s="1738"/>
    </row>
    <row r="432" spans="1:58" ht="11.25" customHeight="1">
      <c r="A432" s="1084" t="s">
        <v>992</v>
      </c>
      <c r="B432" s="1084" t="s">
        <v>1031</v>
      </c>
      <c r="C432" s="1084"/>
      <c r="D432" s="1078"/>
      <c r="E432" s="1088"/>
      <c r="F432" s="2605"/>
      <c r="G432" s="2590" t="s">
        <v>686</v>
      </c>
      <c r="H432" s="2601" t="s">
        <v>111</v>
      </c>
      <c r="I432" s="2613" t="s">
        <v>1032</v>
      </c>
      <c r="J432" s="2624" t="s">
        <v>1033</v>
      </c>
      <c r="K432" s="2615" t="s">
        <v>1075</v>
      </c>
      <c r="L432" s="2338" t="s">
        <v>19</v>
      </c>
      <c r="M432" s="2339"/>
      <c r="N432" s="1898"/>
      <c r="O432" s="1095" t="s">
        <v>373</v>
      </c>
      <c r="P432" s="1096"/>
      <c r="Q432" s="1096"/>
      <c r="R432" s="1096"/>
      <c r="S432" s="1096"/>
      <c r="T432" s="1096"/>
      <c r="U432" s="1096"/>
      <c r="V432" s="1096"/>
      <c r="W432" s="1096"/>
      <c r="X432" s="1096"/>
      <c r="Y432" s="1096"/>
      <c r="Z432" s="1096"/>
      <c r="AA432" s="1096"/>
      <c r="AB432" s="1096"/>
      <c r="AC432" s="1096"/>
      <c r="AD432" s="1096"/>
      <c r="AE432" s="1096"/>
      <c r="AF432" s="2616">
        <v>3</v>
      </c>
      <c r="AG432" s="2617" t="s">
        <v>1026</v>
      </c>
      <c r="AH432" s="2617" t="s">
        <v>1027</v>
      </c>
      <c r="AI432" s="2616"/>
      <c r="AJ432" s="2617"/>
      <c r="AK432" s="2617"/>
      <c r="AL432" s="1900"/>
      <c r="AM432" s="1738"/>
      <c r="AN432" s="1738"/>
      <c r="AO432" s="1738"/>
      <c r="AP432" s="1738"/>
      <c r="AQ432" s="1738"/>
      <c r="AR432" s="1738"/>
      <c r="AS432" s="1738"/>
      <c r="AT432" s="1738"/>
      <c r="AU432" s="1738"/>
      <c r="AV432" s="1738"/>
      <c r="AW432" s="1738"/>
      <c r="AX432" s="1738"/>
      <c r="AY432" s="1738"/>
      <c r="AZ432" s="1738"/>
      <c r="BA432" s="1738"/>
      <c r="BB432" s="1738"/>
      <c r="BC432" s="1738"/>
      <c r="BD432" s="1738"/>
      <c r="BE432" s="1738"/>
      <c r="BF432" s="1738"/>
    </row>
    <row r="433" spans="1:58" ht="11.25" customHeight="1">
      <c r="A433" s="1084" t="s">
        <v>992</v>
      </c>
      <c r="B433" s="1084"/>
      <c r="C433" s="1084"/>
      <c r="D433" s="1078"/>
      <c r="E433" s="1088"/>
      <c r="F433" s="2605"/>
      <c r="G433" s="2606"/>
      <c r="H433" s="2601" t="s">
        <v>95</v>
      </c>
      <c r="I433" s="2613"/>
      <c r="J433" s="2624"/>
      <c r="K433" s="2615"/>
      <c r="L433" s="2338"/>
      <c r="M433" s="2339"/>
      <c r="N433" s="2618"/>
      <c r="O433" s="2619">
        <v>1</v>
      </c>
      <c r="P433" s="2620" t="s">
        <v>19</v>
      </c>
      <c r="Q433" s="2573" t="s">
        <v>22</v>
      </c>
      <c r="R433" s="2573" t="s">
        <v>22</v>
      </c>
      <c r="S433" s="2573" t="s">
        <v>22</v>
      </c>
      <c r="T433" s="2573" t="s">
        <v>22</v>
      </c>
      <c r="U433" s="2573" t="s">
        <v>22</v>
      </c>
      <c r="V433" s="2573" t="s">
        <v>22</v>
      </c>
      <c r="W433" s="2573" t="s">
        <v>22</v>
      </c>
      <c r="X433" s="2573" t="s">
        <v>22</v>
      </c>
      <c r="Y433" s="2573"/>
      <c r="Z433" s="1093"/>
      <c r="AA433" s="1094"/>
      <c r="AB433" s="1094"/>
      <c r="AC433" s="1098"/>
      <c r="AD433" s="1098"/>
      <c r="AE433" s="1099"/>
      <c r="AF433" s="2616"/>
      <c r="AG433" s="2617"/>
      <c r="AH433" s="2617"/>
      <c r="AI433" s="2616"/>
      <c r="AJ433" s="2617"/>
      <c r="AK433" s="2617"/>
      <c r="AL433" s="1900"/>
      <c r="AM433" s="1738"/>
      <c r="AN433" s="1738"/>
      <c r="AO433" s="1738"/>
      <c r="AP433" s="1738"/>
      <c r="AQ433" s="1738"/>
      <c r="AR433" s="1738"/>
      <c r="AS433" s="1738"/>
      <c r="AT433" s="1738"/>
      <c r="AU433" s="1738"/>
      <c r="AV433" s="1738"/>
      <c r="AW433" s="1738"/>
      <c r="AX433" s="1738"/>
      <c r="AY433" s="1738"/>
      <c r="AZ433" s="1738"/>
      <c r="BA433" s="1738"/>
      <c r="BB433" s="1738"/>
      <c r="BC433" s="1738"/>
      <c r="BD433" s="1738"/>
      <c r="BE433" s="1738"/>
      <c r="BF433" s="1738"/>
    </row>
    <row r="434" spans="1:58" ht="11.25" customHeight="1">
      <c r="A434" s="1084" t="s">
        <v>992</v>
      </c>
      <c r="B434" s="1084"/>
      <c r="C434" s="1084"/>
      <c r="D434" s="1078"/>
      <c r="E434" s="1088"/>
      <c r="F434" s="2605"/>
      <c r="G434" s="2606"/>
      <c r="H434" s="2601" t="s">
        <v>95</v>
      </c>
      <c r="I434" s="2613"/>
      <c r="J434" s="2624"/>
      <c r="K434" s="2615"/>
      <c r="L434" s="2338"/>
      <c r="M434" s="2339"/>
      <c r="N434" s="2618"/>
      <c r="O434" s="2619"/>
      <c r="P434" s="2621"/>
      <c r="Q434" s="2573"/>
      <c r="R434" s="2573"/>
      <c r="S434" s="2623"/>
      <c r="T434" s="2573"/>
      <c r="U434" s="2573"/>
      <c r="V434" s="2573"/>
      <c r="W434" s="2573"/>
      <c r="X434" s="2573"/>
      <c r="Y434" s="2573"/>
      <c r="Z434" s="1743"/>
      <c r="AA434" s="1711">
        <v>1</v>
      </c>
      <c r="AB434" s="1097" t="s">
        <v>1036</v>
      </c>
      <c r="AC434" s="1087">
        <v>104100.271695588</v>
      </c>
      <c r="AD434" s="1097" t="str">
        <f>AB434</f>
        <v xml:space="preserve">      Прочие амортизационные отчисления</v>
      </c>
      <c r="AE434" s="1087"/>
      <c r="AF434" s="2616"/>
      <c r="AG434" s="2617"/>
      <c r="AH434" s="2617"/>
      <c r="AI434" s="2616"/>
      <c r="AJ434" s="2617"/>
      <c r="AK434" s="2617"/>
      <c r="AL434" s="1900"/>
      <c r="AM434" s="1738"/>
      <c r="AN434" s="1738"/>
      <c r="AO434" s="1738"/>
      <c r="AP434" s="1738"/>
      <c r="AQ434" s="1738"/>
      <c r="AR434" s="1738"/>
      <c r="AS434" s="1738"/>
      <c r="AT434" s="1738"/>
      <c r="AU434" s="1738"/>
      <c r="AV434" s="1738"/>
      <c r="AW434" s="1738"/>
      <c r="AX434" s="1738"/>
      <c r="AY434" s="1738"/>
      <c r="AZ434" s="1738"/>
      <c r="BA434" s="1738"/>
      <c r="BB434" s="1738"/>
      <c r="BC434" s="1738"/>
      <c r="BD434" s="1738"/>
      <c r="BE434" s="1738"/>
      <c r="BF434" s="1738"/>
    </row>
    <row r="435" spans="1:58" ht="11.25" customHeight="1">
      <c r="A435" s="1084" t="s">
        <v>992</v>
      </c>
      <c r="B435" s="1084"/>
      <c r="C435" s="1084"/>
      <c r="D435" s="1078"/>
      <c r="E435" s="1088"/>
      <c r="F435" s="2606"/>
      <c r="G435" s="2606"/>
      <c r="H435" s="2606"/>
      <c r="I435" s="2606"/>
      <c r="J435" s="2606"/>
      <c r="K435" s="2606"/>
      <c r="L435" s="2606"/>
      <c r="M435" s="2606"/>
      <c r="N435" s="2606"/>
      <c r="O435" s="2606"/>
      <c r="P435" s="2606"/>
      <c r="Q435" s="2606"/>
      <c r="R435" s="2606"/>
      <c r="S435" s="2606"/>
      <c r="T435" s="2606"/>
      <c r="U435" s="2606"/>
      <c r="V435" s="2606"/>
      <c r="W435" s="2606"/>
      <c r="X435" s="2606"/>
      <c r="Y435" s="2606"/>
      <c r="Z435" s="2054" t="s">
        <v>686</v>
      </c>
      <c r="AA435" s="1731" t="s">
        <v>109</v>
      </c>
      <c r="AB435" s="1097" t="s">
        <v>1028</v>
      </c>
      <c r="AC435" s="1087">
        <v>76425.200677497196</v>
      </c>
      <c r="AD435" s="1097" t="str">
        <f>AB435</f>
        <v xml:space="preserve">  Прочие</v>
      </c>
      <c r="AE435" s="1087"/>
      <c r="AF435" s="2625"/>
      <c r="AG435" s="2626"/>
      <c r="AH435" s="2626"/>
      <c r="AI435" s="2625"/>
      <c r="AJ435" s="2626"/>
      <c r="AK435" s="2627"/>
      <c r="AL435" s="1900"/>
      <c r="AM435" s="1738"/>
      <c r="AN435" s="1738"/>
      <c r="AO435" s="1738"/>
      <c r="AP435" s="1738"/>
      <c r="AQ435" s="1738"/>
      <c r="AR435" s="1738"/>
      <c r="AS435" s="1738"/>
      <c r="AT435" s="1738"/>
      <c r="AU435" s="1738"/>
      <c r="AV435" s="1738"/>
      <c r="AW435" s="1738"/>
      <c r="AX435" s="1738"/>
      <c r="AY435" s="1738"/>
      <c r="AZ435" s="1738"/>
      <c r="BA435" s="1738"/>
      <c r="BB435" s="1738"/>
      <c r="BC435" s="1738"/>
      <c r="BD435" s="1738"/>
      <c r="BE435" s="1738"/>
      <c r="BF435" s="1738"/>
    </row>
    <row r="436" spans="1:58" ht="11.25" customHeight="1">
      <c r="A436" s="1084" t="s">
        <v>992</v>
      </c>
      <c r="B436" s="1084"/>
      <c r="C436" s="1084"/>
      <c r="D436" s="1078"/>
      <c r="E436" s="1088"/>
      <c r="F436" s="2605"/>
      <c r="G436" s="2606"/>
      <c r="H436" s="2601" t="s">
        <v>95</v>
      </c>
      <c r="I436" s="2613"/>
      <c r="J436" s="2624"/>
      <c r="K436" s="2615"/>
      <c r="L436" s="2338"/>
      <c r="M436" s="2339"/>
      <c r="N436" s="2618"/>
      <c r="O436" s="2619"/>
      <c r="P436" s="2622"/>
      <c r="Q436" s="2573"/>
      <c r="R436" s="2573"/>
      <c r="S436" s="2623"/>
      <c r="T436" s="2573"/>
      <c r="U436" s="2573"/>
      <c r="V436" s="2573"/>
      <c r="W436" s="2573"/>
      <c r="X436" s="2573"/>
      <c r="Y436" s="2573"/>
      <c r="Z436" s="1093"/>
      <c r="AA436" s="1094"/>
      <c r="AB436" s="1159" t="s">
        <v>1029</v>
      </c>
      <c r="AC436" s="1098"/>
      <c r="AD436" s="1098"/>
      <c r="AE436" s="1100"/>
      <c r="AF436" s="2616"/>
      <c r="AG436" s="2617"/>
      <c r="AH436" s="2617"/>
      <c r="AI436" s="2616"/>
      <c r="AJ436" s="2617"/>
      <c r="AK436" s="2617"/>
      <c r="AL436" s="1900"/>
      <c r="AM436" s="1738"/>
      <c r="AN436" s="1738"/>
      <c r="AO436" s="1738"/>
      <c r="AP436" s="1738"/>
      <c r="AQ436" s="1738"/>
      <c r="AR436" s="1738"/>
      <c r="AS436" s="1738"/>
      <c r="AT436" s="1738"/>
      <c r="AU436" s="1738"/>
      <c r="AV436" s="1738"/>
      <c r="AW436" s="1738"/>
      <c r="AX436" s="1738"/>
      <c r="AY436" s="1738"/>
      <c r="AZ436" s="1738"/>
      <c r="BA436" s="1738"/>
      <c r="BB436" s="1738"/>
      <c r="BC436" s="1738"/>
      <c r="BD436" s="1738"/>
      <c r="BE436" s="1738"/>
      <c r="BF436" s="1738"/>
    </row>
    <row r="437" spans="1:58" ht="11.25" customHeight="1">
      <c r="A437" s="1084" t="s">
        <v>992</v>
      </c>
      <c r="B437" s="1084"/>
      <c r="C437" s="1084"/>
      <c r="D437" s="1078"/>
      <c r="E437" s="1088"/>
      <c r="F437" s="2605"/>
      <c r="G437" s="2606"/>
      <c r="H437" s="2601" t="s">
        <v>95</v>
      </c>
      <c r="I437" s="2613"/>
      <c r="J437" s="2624"/>
      <c r="K437" s="2615"/>
      <c r="L437" s="2338"/>
      <c r="M437" s="2339"/>
      <c r="N437" s="1093"/>
      <c r="O437" s="1094"/>
      <c r="P437" s="1086" t="s">
        <v>1030</v>
      </c>
      <c r="Q437" s="1094"/>
      <c r="R437" s="1094"/>
      <c r="S437" s="1094"/>
      <c r="T437" s="1094"/>
      <c r="U437" s="1094"/>
      <c r="V437" s="1094"/>
      <c r="W437" s="1094"/>
      <c r="X437" s="1094"/>
      <c r="Y437" s="1094"/>
      <c r="Z437" s="1094"/>
      <c r="AA437" s="1094"/>
      <c r="AB437" s="1094"/>
      <c r="AC437" s="1094"/>
      <c r="AD437" s="1094"/>
      <c r="AE437" s="1101"/>
      <c r="AF437" s="2616"/>
      <c r="AG437" s="2617"/>
      <c r="AH437" s="2617"/>
      <c r="AI437" s="2616"/>
      <c r="AJ437" s="2617"/>
      <c r="AK437" s="2617"/>
      <c r="AL437" s="1900"/>
      <c r="AM437" s="1738"/>
      <c r="AN437" s="1738"/>
      <c r="AO437" s="1738"/>
      <c r="AP437" s="1738"/>
      <c r="AQ437" s="1738"/>
      <c r="AR437" s="1738"/>
      <c r="AS437" s="1738"/>
      <c r="AT437" s="1738"/>
      <c r="AU437" s="1738"/>
      <c r="AV437" s="1738"/>
      <c r="AW437" s="1738"/>
      <c r="AX437" s="1738"/>
      <c r="AY437" s="1738"/>
      <c r="AZ437" s="1738"/>
      <c r="BA437" s="1738"/>
      <c r="BB437" s="1738"/>
      <c r="BC437" s="1738"/>
      <c r="BD437" s="1738"/>
      <c r="BE437" s="1738"/>
      <c r="BF437" s="1738"/>
    </row>
    <row r="438" spans="1:58" ht="11.25" customHeight="1">
      <c r="A438" s="1084" t="s">
        <v>992</v>
      </c>
      <c r="B438" s="1084" t="s">
        <v>1031</v>
      </c>
      <c r="C438" s="1084"/>
      <c r="D438" s="1078"/>
      <c r="E438" s="1088"/>
      <c r="F438" s="2605"/>
      <c r="G438" s="2590" t="s">
        <v>686</v>
      </c>
      <c r="H438" s="2601" t="s">
        <v>147</v>
      </c>
      <c r="I438" s="2613" t="s">
        <v>1032</v>
      </c>
      <c r="J438" s="2624" t="s">
        <v>1033</v>
      </c>
      <c r="K438" s="2615" t="s">
        <v>1068</v>
      </c>
      <c r="L438" s="2338" t="s">
        <v>19</v>
      </c>
      <c r="M438" s="2339"/>
      <c r="N438" s="1898"/>
      <c r="O438" s="1095" t="s">
        <v>373</v>
      </c>
      <c r="P438" s="1096"/>
      <c r="Q438" s="1096"/>
      <c r="R438" s="1096"/>
      <c r="S438" s="1096"/>
      <c r="T438" s="1096"/>
      <c r="U438" s="1096"/>
      <c r="V438" s="1096"/>
      <c r="W438" s="1096"/>
      <c r="X438" s="1096"/>
      <c r="Y438" s="1096"/>
      <c r="Z438" s="1096"/>
      <c r="AA438" s="1096"/>
      <c r="AB438" s="1096"/>
      <c r="AC438" s="1096"/>
      <c r="AD438" s="1096"/>
      <c r="AE438" s="1096"/>
      <c r="AF438" s="2616">
        <v>3</v>
      </c>
      <c r="AG438" s="2617" t="s">
        <v>1026</v>
      </c>
      <c r="AH438" s="2617" t="s">
        <v>1035</v>
      </c>
      <c r="AI438" s="2616"/>
      <c r="AJ438" s="2617"/>
      <c r="AK438" s="2617"/>
      <c r="AL438" s="1900"/>
      <c r="AM438" s="1738"/>
      <c r="AN438" s="1738"/>
      <c r="AO438" s="1738"/>
      <c r="AP438" s="1738"/>
      <c r="AQ438" s="1738"/>
      <c r="AR438" s="1738"/>
      <c r="AS438" s="1738"/>
      <c r="AT438" s="1738"/>
      <c r="AU438" s="1738"/>
      <c r="AV438" s="1738"/>
      <c r="AW438" s="1738"/>
      <c r="AX438" s="1738"/>
      <c r="AY438" s="1738"/>
      <c r="AZ438" s="1738"/>
      <c r="BA438" s="1738"/>
      <c r="BB438" s="1738"/>
      <c r="BC438" s="1738"/>
      <c r="BD438" s="1738"/>
      <c r="BE438" s="1738"/>
      <c r="BF438" s="1738"/>
    </row>
    <row r="439" spans="1:58" ht="11.25" customHeight="1">
      <c r="A439" s="1084" t="s">
        <v>992</v>
      </c>
      <c r="B439" s="1084"/>
      <c r="C439" s="1084"/>
      <c r="D439" s="1078"/>
      <c r="E439" s="1088"/>
      <c r="F439" s="2605"/>
      <c r="G439" s="2606"/>
      <c r="H439" s="2601" t="s">
        <v>111</v>
      </c>
      <c r="I439" s="2613"/>
      <c r="J439" s="2624"/>
      <c r="K439" s="2615"/>
      <c r="L439" s="2338"/>
      <c r="M439" s="2339"/>
      <c r="N439" s="2618"/>
      <c r="O439" s="2619">
        <v>1</v>
      </c>
      <c r="P439" s="2620" t="s">
        <v>19</v>
      </c>
      <c r="Q439" s="2573" t="s">
        <v>22</v>
      </c>
      <c r="R439" s="2573" t="s">
        <v>22</v>
      </c>
      <c r="S439" s="2573" t="s">
        <v>22</v>
      </c>
      <c r="T439" s="2573" t="s">
        <v>22</v>
      </c>
      <c r="U439" s="2573" t="s">
        <v>22</v>
      </c>
      <c r="V439" s="2573" t="s">
        <v>22</v>
      </c>
      <c r="W439" s="2573" t="s">
        <v>22</v>
      </c>
      <c r="X439" s="2573" t="s">
        <v>22</v>
      </c>
      <c r="Y439" s="2573"/>
      <c r="Z439" s="1093"/>
      <c r="AA439" s="1094"/>
      <c r="AB439" s="1094"/>
      <c r="AC439" s="1098"/>
      <c r="AD439" s="1098"/>
      <c r="AE439" s="1099"/>
      <c r="AF439" s="2616"/>
      <c r="AG439" s="2617"/>
      <c r="AH439" s="2617"/>
      <c r="AI439" s="2616"/>
      <c r="AJ439" s="2617"/>
      <c r="AK439" s="2617"/>
      <c r="AL439" s="1900"/>
      <c r="AM439" s="1738"/>
      <c r="AN439" s="1738"/>
      <c r="AO439" s="1738"/>
      <c r="AP439" s="1738"/>
      <c r="AQ439" s="1738"/>
      <c r="AR439" s="1738"/>
      <c r="AS439" s="1738"/>
      <c r="AT439" s="1738"/>
      <c r="AU439" s="1738"/>
      <c r="AV439" s="1738"/>
      <c r="AW439" s="1738"/>
      <c r="AX439" s="1738"/>
      <c r="AY439" s="1738"/>
      <c r="AZ439" s="1738"/>
      <c r="BA439" s="1738"/>
      <c r="BB439" s="1738"/>
      <c r="BC439" s="1738"/>
      <c r="BD439" s="1738"/>
      <c r="BE439" s="1738"/>
      <c r="BF439" s="1738"/>
    </row>
    <row r="440" spans="1:58" ht="11.25" customHeight="1">
      <c r="A440" s="1084" t="s">
        <v>992</v>
      </c>
      <c r="B440" s="1084"/>
      <c r="C440" s="1084"/>
      <c r="D440" s="1078"/>
      <c r="E440" s="1088"/>
      <c r="F440" s="2605"/>
      <c r="G440" s="2606"/>
      <c r="H440" s="2601" t="s">
        <v>111</v>
      </c>
      <c r="I440" s="2613"/>
      <c r="J440" s="2624"/>
      <c r="K440" s="2615"/>
      <c r="L440" s="2338"/>
      <c r="M440" s="2339"/>
      <c r="N440" s="2618"/>
      <c r="O440" s="2619"/>
      <c r="P440" s="2621"/>
      <c r="Q440" s="2573"/>
      <c r="R440" s="2573"/>
      <c r="S440" s="2623"/>
      <c r="T440" s="2573"/>
      <c r="U440" s="2573"/>
      <c r="V440" s="2573"/>
      <c r="W440" s="2573"/>
      <c r="X440" s="2573"/>
      <c r="Y440" s="2573"/>
      <c r="Z440" s="1743"/>
      <c r="AA440" s="1711">
        <v>1</v>
      </c>
      <c r="AB440" s="1097" t="s">
        <v>1036</v>
      </c>
      <c r="AC440" s="1087">
        <v>178556.92391452499</v>
      </c>
      <c r="AD440" s="1097" t="str">
        <f>AB440</f>
        <v xml:space="preserve">      Прочие амортизационные отчисления</v>
      </c>
      <c r="AE440" s="1087"/>
      <c r="AF440" s="2616"/>
      <c r="AG440" s="2617"/>
      <c r="AH440" s="2617"/>
      <c r="AI440" s="2616"/>
      <c r="AJ440" s="2617"/>
      <c r="AK440" s="2617"/>
      <c r="AL440" s="1900"/>
      <c r="AM440" s="1738"/>
      <c r="AN440" s="1738"/>
      <c r="AO440" s="1738"/>
      <c r="AP440" s="1738"/>
      <c r="AQ440" s="1738"/>
      <c r="AR440" s="1738"/>
      <c r="AS440" s="1738"/>
      <c r="AT440" s="1738"/>
      <c r="AU440" s="1738"/>
      <c r="AV440" s="1738"/>
      <c r="AW440" s="1738"/>
      <c r="AX440" s="1738"/>
      <c r="AY440" s="1738"/>
      <c r="AZ440" s="1738"/>
      <c r="BA440" s="1738"/>
      <c r="BB440" s="1738"/>
      <c r="BC440" s="1738"/>
      <c r="BD440" s="1738"/>
      <c r="BE440" s="1738"/>
      <c r="BF440" s="1738"/>
    </row>
    <row r="441" spans="1:58" ht="11.25" customHeight="1">
      <c r="A441" s="1084" t="s">
        <v>992</v>
      </c>
      <c r="B441" s="1084"/>
      <c r="C441" s="1084"/>
      <c r="D441" s="1078"/>
      <c r="E441" s="1088"/>
      <c r="F441" s="2605"/>
      <c r="G441" s="2606"/>
      <c r="H441" s="2601" t="s">
        <v>111</v>
      </c>
      <c r="I441" s="2613"/>
      <c r="J441" s="2624"/>
      <c r="K441" s="2615"/>
      <c r="L441" s="2338"/>
      <c r="M441" s="2339"/>
      <c r="N441" s="2618"/>
      <c r="O441" s="2619"/>
      <c r="P441" s="2622"/>
      <c r="Q441" s="2573"/>
      <c r="R441" s="2573"/>
      <c r="S441" s="2623"/>
      <c r="T441" s="2573"/>
      <c r="U441" s="2573"/>
      <c r="V441" s="2573"/>
      <c r="W441" s="2573"/>
      <c r="X441" s="2573"/>
      <c r="Y441" s="2573"/>
      <c r="Z441" s="1093"/>
      <c r="AA441" s="1094"/>
      <c r="AB441" s="1159" t="s">
        <v>1029</v>
      </c>
      <c r="AC441" s="1098"/>
      <c r="AD441" s="1098"/>
      <c r="AE441" s="1100"/>
      <c r="AF441" s="2616"/>
      <c r="AG441" s="2617"/>
      <c r="AH441" s="2617"/>
      <c r="AI441" s="2616"/>
      <c r="AJ441" s="2617"/>
      <c r="AK441" s="2617"/>
      <c r="AL441" s="1900"/>
      <c r="AM441" s="1738"/>
      <c r="AN441" s="1738"/>
      <c r="AO441" s="1738"/>
      <c r="AP441" s="1738"/>
      <c r="AQ441" s="1738"/>
      <c r="AR441" s="1738"/>
      <c r="AS441" s="1738"/>
      <c r="AT441" s="1738"/>
      <c r="AU441" s="1738"/>
      <c r="AV441" s="1738"/>
      <c r="AW441" s="1738"/>
      <c r="AX441" s="1738"/>
      <c r="AY441" s="1738"/>
      <c r="AZ441" s="1738"/>
      <c r="BA441" s="1738"/>
      <c r="BB441" s="1738"/>
      <c r="BC441" s="1738"/>
      <c r="BD441" s="1738"/>
      <c r="BE441" s="1738"/>
      <c r="BF441" s="1738"/>
    </row>
    <row r="442" spans="1:58" ht="36" customHeight="1">
      <c r="A442" s="1084" t="s">
        <v>992</v>
      </c>
      <c r="B442" s="1084"/>
      <c r="C442" s="1084"/>
      <c r="D442" s="1078"/>
      <c r="E442" s="1088"/>
      <c r="F442" s="2605"/>
      <c r="G442" s="2606"/>
      <c r="H442" s="2601" t="s">
        <v>111</v>
      </c>
      <c r="I442" s="2613"/>
      <c r="J442" s="2624"/>
      <c r="K442" s="2615"/>
      <c r="L442" s="2338"/>
      <c r="M442" s="2339"/>
      <c r="N442" s="1093"/>
      <c r="O442" s="1094"/>
      <c r="P442" s="1086" t="s">
        <v>1030</v>
      </c>
      <c r="Q442" s="1094"/>
      <c r="R442" s="1094"/>
      <c r="S442" s="1094"/>
      <c r="T442" s="1094"/>
      <c r="U442" s="1094"/>
      <c r="V442" s="1094"/>
      <c r="W442" s="1094"/>
      <c r="X442" s="1094"/>
      <c r="Y442" s="1094"/>
      <c r="Z442" s="1094"/>
      <c r="AA442" s="1094"/>
      <c r="AB442" s="1094"/>
      <c r="AC442" s="1094"/>
      <c r="AD442" s="1094"/>
      <c r="AE442" s="1101"/>
      <c r="AF442" s="2616"/>
      <c r="AG442" s="2617"/>
      <c r="AH442" s="2617"/>
      <c r="AI442" s="2616"/>
      <c r="AJ442" s="2617"/>
      <c r="AK442" s="2617"/>
      <c r="AL442" s="1900"/>
      <c r="AM442" s="1738"/>
      <c r="AN442" s="1738"/>
      <c r="AO442" s="1738"/>
      <c r="AP442" s="1738"/>
      <c r="AQ442" s="1738"/>
      <c r="AR442" s="1738"/>
      <c r="AS442" s="1738"/>
      <c r="AT442" s="1738"/>
      <c r="AU442" s="1738"/>
      <c r="AV442" s="1738"/>
      <c r="AW442" s="1738"/>
      <c r="AX442" s="1738"/>
      <c r="AY442" s="1738"/>
      <c r="AZ442" s="1738"/>
      <c r="BA442" s="1738"/>
      <c r="BB442" s="1738"/>
      <c r="BC442" s="1738"/>
      <c r="BD442" s="1738"/>
      <c r="BE442" s="1738"/>
      <c r="BF442" s="1738"/>
    </row>
    <row r="443" spans="1:58" ht="11.25" customHeight="1">
      <c r="A443" s="1084" t="s">
        <v>992</v>
      </c>
      <c r="B443" s="1084" t="s">
        <v>1031</v>
      </c>
      <c r="C443" s="1084"/>
      <c r="D443" s="1078"/>
      <c r="E443" s="1088"/>
      <c r="F443" s="2605"/>
      <c r="G443" s="2590" t="s">
        <v>686</v>
      </c>
      <c r="H443" s="2601" t="s">
        <v>148</v>
      </c>
      <c r="I443" s="2613" t="s">
        <v>1032</v>
      </c>
      <c r="J443" s="2624" t="s">
        <v>1033</v>
      </c>
      <c r="K443" s="2615" t="s">
        <v>1077</v>
      </c>
      <c r="L443" s="2338" t="s">
        <v>19</v>
      </c>
      <c r="M443" s="2339"/>
      <c r="N443" s="1898"/>
      <c r="O443" s="1095" t="s">
        <v>373</v>
      </c>
      <c r="P443" s="1096"/>
      <c r="Q443" s="1096"/>
      <c r="R443" s="1096"/>
      <c r="S443" s="1096"/>
      <c r="T443" s="1096"/>
      <c r="U443" s="1096"/>
      <c r="V443" s="1096"/>
      <c r="W443" s="1096"/>
      <c r="X443" s="1096"/>
      <c r="Y443" s="1096"/>
      <c r="Z443" s="1096"/>
      <c r="AA443" s="1096"/>
      <c r="AB443" s="1096"/>
      <c r="AC443" s="1096"/>
      <c r="AD443" s="1096"/>
      <c r="AE443" s="1096"/>
      <c r="AF443" s="2616">
        <v>3</v>
      </c>
      <c r="AG443" s="2617" t="s">
        <v>1026</v>
      </c>
      <c r="AH443" s="2617" t="s">
        <v>1035</v>
      </c>
      <c r="AI443" s="2616"/>
      <c r="AJ443" s="2617"/>
      <c r="AK443" s="2617"/>
      <c r="AL443" s="1900"/>
      <c r="AM443" s="1738"/>
      <c r="AN443" s="1738"/>
      <c r="AO443" s="1738"/>
      <c r="AP443" s="1738"/>
      <c r="AQ443" s="1738"/>
      <c r="AR443" s="1738"/>
      <c r="AS443" s="1738"/>
      <c r="AT443" s="1738"/>
      <c r="AU443" s="1738"/>
      <c r="AV443" s="1738"/>
      <c r="AW443" s="1738"/>
      <c r="AX443" s="1738"/>
      <c r="AY443" s="1738"/>
      <c r="AZ443" s="1738"/>
      <c r="BA443" s="1738"/>
      <c r="BB443" s="1738"/>
      <c r="BC443" s="1738"/>
      <c r="BD443" s="1738"/>
      <c r="BE443" s="1738"/>
      <c r="BF443" s="1738"/>
    </row>
    <row r="444" spans="1:58" ht="11.25" customHeight="1">
      <c r="A444" s="1084" t="s">
        <v>992</v>
      </c>
      <c r="B444" s="1084"/>
      <c r="C444" s="1084"/>
      <c r="D444" s="1078"/>
      <c r="E444" s="1088"/>
      <c r="F444" s="2605"/>
      <c r="G444" s="2606"/>
      <c r="H444" s="2601" t="s">
        <v>147</v>
      </c>
      <c r="I444" s="2613"/>
      <c r="J444" s="2624"/>
      <c r="K444" s="2615"/>
      <c r="L444" s="2338"/>
      <c r="M444" s="2339"/>
      <c r="N444" s="2618"/>
      <c r="O444" s="2619">
        <v>1</v>
      </c>
      <c r="P444" s="2620" t="s">
        <v>19</v>
      </c>
      <c r="Q444" s="2573" t="s">
        <v>22</v>
      </c>
      <c r="R444" s="2573" t="s">
        <v>22</v>
      </c>
      <c r="S444" s="2573" t="s">
        <v>22</v>
      </c>
      <c r="T444" s="2573" t="s">
        <v>22</v>
      </c>
      <c r="U444" s="2573" t="s">
        <v>22</v>
      </c>
      <c r="V444" s="2573" t="s">
        <v>22</v>
      </c>
      <c r="W444" s="2573" t="s">
        <v>22</v>
      </c>
      <c r="X444" s="2573" t="s">
        <v>22</v>
      </c>
      <c r="Y444" s="2573"/>
      <c r="Z444" s="1093"/>
      <c r="AA444" s="1094"/>
      <c r="AB444" s="1094"/>
      <c r="AC444" s="1098"/>
      <c r="AD444" s="1098"/>
      <c r="AE444" s="1099"/>
      <c r="AF444" s="2616"/>
      <c r="AG444" s="2617"/>
      <c r="AH444" s="2617"/>
      <c r="AI444" s="2616"/>
      <c r="AJ444" s="2617"/>
      <c r="AK444" s="2617"/>
      <c r="AL444" s="1900"/>
      <c r="AM444" s="1738"/>
      <c r="AN444" s="1738"/>
      <c r="AO444" s="1738"/>
      <c r="AP444" s="1738"/>
      <c r="AQ444" s="1738"/>
      <c r="AR444" s="1738"/>
      <c r="AS444" s="1738"/>
      <c r="AT444" s="1738"/>
      <c r="AU444" s="1738"/>
      <c r="AV444" s="1738"/>
      <c r="AW444" s="1738"/>
      <c r="AX444" s="1738"/>
      <c r="AY444" s="1738"/>
      <c r="AZ444" s="1738"/>
      <c r="BA444" s="1738"/>
      <c r="BB444" s="1738"/>
      <c r="BC444" s="1738"/>
      <c r="BD444" s="1738"/>
      <c r="BE444" s="1738"/>
      <c r="BF444" s="1738"/>
    </row>
    <row r="445" spans="1:58" ht="11.25" customHeight="1">
      <c r="A445" s="1084" t="s">
        <v>992</v>
      </c>
      <c r="B445" s="1084"/>
      <c r="C445" s="1084"/>
      <c r="D445" s="1078"/>
      <c r="E445" s="1088"/>
      <c r="F445" s="2605"/>
      <c r="G445" s="2606"/>
      <c r="H445" s="2601" t="s">
        <v>147</v>
      </c>
      <c r="I445" s="2613"/>
      <c r="J445" s="2624"/>
      <c r="K445" s="2615"/>
      <c r="L445" s="2338"/>
      <c r="M445" s="2339"/>
      <c r="N445" s="2618"/>
      <c r="O445" s="2619"/>
      <c r="P445" s="2621"/>
      <c r="Q445" s="2573"/>
      <c r="R445" s="2573"/>
      <c r="S445" s="2623"/>
      <c r="T445" s="2573"/>
      <c r="U445" s="2573"/>
      <c r="V445" s="2573"/>
      <c r="W445" s="2573"/>
      <c r="X445" s="2573"/>
      <c r="Y445" s="2573"/>
      <c r="Z445" s="1743"/>
      <c r="AA445" s="1711">
        <v>1</v>
      </c>
      <c r="AB445" s="1097" t="s">
        <v>1036</v>
      </c>
      <c r="AC445" s="1087">
        <v>148500</v>
      </c>
      <c r="AD445" s="1097" t="str">
        <f>AB445</f>
        <v xml:space="preserve">      Прочие амортизационные отчисления</v>
      </c>
      <c r="AE445" s="1087"/>
      <c r="AF445" s="2616"/>
      <c r="AG445" s="2617"/>
      <c r="AH445" s="2617"/>
      <c r="AI445" s="2616"/>
      <c r="AJ445" s="2617"/>
      <c r="AK445" s="2617"/>
      <c r="AL445" s="1900"/>
      <c r="AM445" s="1738"/>
      <c r="AN445" s="1738"/>
      <c r="AO445" s="1738"/>
      <c r="AP445" s="1738"/>
      <c r="AQ445" s="1738"/>
      <c r="AR445" s="1738"/>
      <c r="AS445" s="1738"/>
      <c r="AT445" s="1738"/>
      <c r="AU445" s="1738"/>
      <c r="AV445" s="1738"/>
      <c r="AW445" s="1738"/>
      <c r="AX445" s="1738"/>
      <c r="AY445" s="1738"/>
      <c r="AZ445" s="1738"/>
      <c r="BA445" s="1738"/>
      <c r="BB445" s="1738"/>
      <c r="BC445" s="1738"/>
      <c r="BD445" s="1738"/>
      <c r="BE445" s="1738"/>
      <c r="BF445" s="1738"/>
    </row>
    <row r="446" spans="1:58" ht="11.25" customHeight="1">
      <c r="A446" s="1084" t="s">
        <v>992</v>
      </c>
      <c r="B446" s="1084"/>
      <c r="C446" s="1084"/>
      <c r="D446" s="1078"/>
      <c r="E446" s="1088"/>
      <c r="F446" s="2605"/>
      <c r="G446" s="2606"/>
      <c r="H446" s="2601" t="s">
        <v>147</v>
      </c>
      <c r="I446" s="2613"/>
      <c r="J446" s="2624"/>
      <c r="K446" s="2615"/>
      <c r="L446" s="2338"/>
      <c r="M446" s="2339"/>
      <c r="N446" s="2618"/>
      <c r="O446" s="2619"/>
      <c r="P446" s="2622"/>
      <c r="Q446" s="2573"/>
      <c r="R446" s="2573"/>
      <c r="S446" s="2623"/>
      <c r="T446" s="2573"/>
      <c r="U446" s="2573"/>
      <c r="V446" s="2573"/>
      <c r="W446" s="2573"/>
      <c r="X446" s="2573"/>
      <c r="Y446" s="2573"/>
      <c r="Z446" s="1093"/>
      <c r="AA446" s="1094"/>
      <c r="AB446" s="1159" t="s">
        <v>1029</v>
      </c>
      <c r="AC446" s="1098"/>
      <c r="AD446" s="1098"/>
      <c r="AE446" s="1100"/>
      <c r="AF446" s="2616"/>
      <c r="AG446" s="2617"/>
      <c r="AH446" s="2617"/>
      <c r="AI446" s="2616"/>
      <c r="AJ446" s="2617"/>
      <c r="AK446" s="2617"/>
      <c r="AL446" s="1900"/>
      <c r="AM446" s="1738"/>
      <c r="AN446" s="1738"/>
      <c r="AO446" s="1738"/>
      <c r="AP446" s="1738"/>
      <c r="AQ446" s="1738"/>
      <c r="AR446" s="1738"/>
      <c r="AS446" s="1738"/>
      <c r="AT446" s="1738"/>
      <c r="AU446" s="1738"/>
      <c r="AV446" s="1738"/>
      <c r="AW446" s="1738"/>
      <c r="AX446" s="1738"/>
      <c r="AY446" s="1738"/>
      <c r="AZ446" s="1738"/>
      <c r="BA446" s="1738"/>
      <c r="BB446" s="1738"/>
      <c r="BC446" s="1738"/>
      <c r="BD446" s="1738"/>
      <c r="BE446" s="1738"/>
      <c r="BF446" s="1738"/>
    </row>
    <row r="447" spans="1:58" ht="11.25" customHeight="1">
      <c r="A447" s="1084" t="s">
        <v>992</v>
      </c>
      <c r="B447" s="1084"/>
      <c r="C447" s="1084"/>
      <c r="D447" s="1078"/>
      <c r="E447" s="1088"/>
      <c r="F447" s="2605"/>
      <c r="G447" s="2606"/>
      <c r="H447" s="2601" t="s">
        <v>147</v>
      </c>
      <c r="I447" s="2613"/>
      <c r="J447" s="2624"/>
      <c r="K447" s="2615"/>
      <c r="L447" s="2338"/>
      <c r="M447" s="2339"/>
      <c r="N447" s="1093"/>
      <c r="O447" s="1094"/>
      <c r="P447" s="1086" t="s">
        <v>1030</v>
      </c>
      <c r="Q447" s="1094"/>
      <c r="R447" s="1094"/>
      <c r="S447" s="1094"/>
      <c r="T447" s="1094"/>
      <c r="U447" s="1094"/>
      <c r="V447" s="1094"/>
      <c r="W447" s="1094"/>
      <c r="X447" s="1094"/>
      <c r="Y447" s="1094"/>
      <c r="Z447" s="1094"/>
      <c r="AA447" s="1094"/>
      <c r="AB447" s="1094"/>
      <c r="AC447" s="1094"/>
      <c r="AD447" s="1094"/>
      <c r="AE447" s="1101"/>
      <c r="AF447" s="2616"/>
      <c r="AG447" s="2617"/>
      <c r="AH447" s="2617"/>
      <c r="AI447" s="2616"/>
      <c r="AJ447" s="2617"/>
      <c r="AK447" s="2617"/>
      <c r="AL447" s="1900"/>
      <c r="AM447" s="1738"/>
      <c r="AN447" s="1738"/>
      <c r="AO447" s="1738"/>
      <c r="AP447" s="1738"/>
      <c r="AQ447" s="1738"/>
      <c r="AR447" s="1738"/>
      <c r="AS447" s="1738"/>
      <c r="AT447" s="1738"/>
      <c r="AU447" s="1738"/>
      <c r="AV447" s="1738"/>
      <c r="AW447" s="1738"/>
      <c r="AX447" s="1738"/>
      <c r="AY447" s="1738"/>
      <c r="AZ447" s="1738"/>
      <c r="BA447" s="1738"/>
      <c r="BB447" s="1738"/>
      <c r="BC447" s="1738"/>
      <c r="BD447" s="1738"/>
      <c r="BE447" s="1738"/>
      <c r="BF447" s="1738"/>
    </row>
    <row r="448" spans="1:58" ht="11.25" customHeight="1">
      <c r="A448" s="1084" t="s">
        <v>992</v>
      </c>
      <c r="B448" s="1084" t="s">
        <v>22</v>
      </c>
      <c r="C448" s="1084"/>
      <c r="D448" s="1078"/>
      <c r="E448" s="1088"/>
      <c r="F448" s="2605"/>
      <c r="G448" s="2590" t="s">
        <v>686</v>
      </c>
      <c r="H448" s="2601" t="s">
        <v>149</v>
      </c>
      <c r="I448" s="2613" t="s">
        <v>1050</v>
      </c>
      <c r="J448" s="2614" t="s">
        <v>22</v>
      </c>
      <c r="K448" s="2615" t="s">
        <v>1051</v>
      </c>
      <c r="L448" s="2338" t="s">
        <v>19</v>
      </c>
      <c r="M448" s="2339"/>
      <c r="N448" s="1898"/>
      <c r="O448" s="1095" t="s">
        <v>373</v>
      </c>
      <c r="P448" s="1096"/>
      <c r="Q448" s="1096"/>
      <c r="R448" s="1096"/>
      <c r="S448" s="1096"/>
      <c r="T448" s="1096"/>
      <c r="U448" s="1096"/>
      <c r="V448" s="1096"/>
      <c r="W448" s="1096"/>
      <c r="X448" s="1096"/>
      <c r="Y448" s="1096"/>
      <c r="Z448" s="1096"/>
      <c r="AA448" s="1096"/>
      <c r="AB448" s="1096"/>
      <c r="AC448" s="1096"/>
      <c r="AD448" s="1096"/>
      <c r="AE448" s="1096"/>
      <c r="AF448" s="2616">
        <v>14</v>
      </c>
      <c r="AG448" s="2617" t="s">
        <v>1026</v>
      </c>
      <c r="AH448" s="2617" t="s">
        <v>1035</v>
      </c>
      <c r="AI448" s="2616"/>
      <c r="AJ448" s="2617"/>
      <c r="AK448" s="2617"/>
      <c r="AL448" s="1900"/>
      <c r="AM448" s="1738"/>
      <c r="AN448" s="1738"/>
      <c r="AO448" s="1738"/>
      <c r="AP448" s="1738"/>
      <c r="AQ448" s="1738"/>
      <c r="AR448" s="1738"/>
      <c r="AS448" s="1738"/>
      <c r="AT448" s="1738"/>
      <c r="AU448" s="1738"/>
      <c r="AV448" s="1738"/>
      <c r="AW448" s="1738"/>
      <c r="AX448" s="1738"/>
      <c r="AY448" s="1738"/>
      <c r="AZ448" s="1738"/>
      <c r="BA448" s="1738"/>
      <c r="BB448" s="1738"/>
      <c r="BC448" s="1738"/>
      <c r="BD448" s="1738"/>
      <c r="BE448" s="1738"/>
      <c r="BF448" s="1738"/>
    </row>
    <row r="449" spans="1:58" ht="11.25" customHeight="1">
      <c r="A449" s="1084" t="s">
        <v>992</v>
      </c>
      <c r="B449" s="1084"/>
      <c r="C449" s="1084"/>
      <c r="D449" s="1078"/>
      <c r="E449" s="1088"/>
      <c r="F449" s="2605"/>
      <c r="G449" s="2606"/>
      <c r="H449" s="2601" t="s">
        <v>148</v>
      </c>
      <c r="I449" s="2613"/>
      <c r="J449" s="2614"/>
      <c r="K449" s="2615"/>
      <c r="L449" s="2338"/>
      <c r="M449" s="2339"/>
      <c r="N449" s="2618"/>
      <c r="O449" s="2619">
        <v>1</v>
      </c>
      <c r="P449" s="2620" t="s">
        <v>19</v>
      </c>
      <c r="Q449" s="2573" t="s">
        <v>22</v>
      </c>
      <c r="R449" s="2573" t="s">
        <v>22</v>
      </c>
      <c r="S449" s="2573" t="s">
        <v>22</v>
      </c>
      <c r="T449" s="2573" t="s">
        <v>22</v>
      </c>
      <c r="U449" s="2573" t="s">
        <v>22</v>
      </c>
      <c r="V449" s="2573" t="s">
        <v>22</v>
      </c>
      <c r="W449" s="2573" t="s">
        <v>22</v>
      </c>
      <c r="X449" s="2573" t="s">
        <v>22</v>
      </c>
      <c r="Y449" s="2573"/>
      <c r="Z449" s="1093"/>
      <c r="AA449" s="1094"/>
      <c r="AB449" s="1094"/>
      <c r="AC449" s="1098"/>
      <c r="AD449" s="1098"/>
      <c r="AE449" s="1099"/>
      <c r="AF449" s="2616"/>
      <c r="AG449" s="2617"/>
      <c r="AH449" s="2617"/>
      <c r="AI449" s="2616"/>
      <c r="AJ449" s="2617"/>
      <c r="AK449" s="2617"/>
      <c r="AL449" s="1900"/>
      <c r="AM449" s="1738"/>
      <c r="AN449" s="1738"/>
      <c r="AO449" s="1738"/>
      <c r="AP449" s="1738"/>
      <c r="AQ449" s="1738"/>
      <c r="AR449" s="1738"/>
      <c r="AS449" s="1738"/>
      <c r="AT449" s="1738"/>
      <c r="AU449" s="1738"/>
      <c r="AV449" s="1738"/>
      <c r="AW449" s="1738"/>
      <c r="AX449" s="1738"/>
      <c r="AY449" s="1738"/>
      <c r="AZ449" s="1738"/>
      <c r="BA449" s="1738"/>
      <c r="BB449" s="1738"/>
      <c r="BC449" s="1738"/>
      <c r="BD449" s="1738"/>
      <c r="BE449" s="1738"/>
      <c r="BF449" s="1738"/>
    </row>
    <row r="450" spans="1:58" ht="11.25" customHeight="1">
      <c r="A450" s="1084" t="s">
        <v>992</v>
      </c>
      <c r="B450" s="1084"/>
      <c r="C450" s="1084"/>
      <c r="D450" s="1078"/>
      <c r="E450" s="1088"/>
      <c r="F450" s="2605"/>
      <c r="G450" s="2606"/>
      <c r="H450" s="2601" t="s">
        <v>148</v>
      </c>
      <c r="I450" s="2613"/>
      <c r="J450" s="2614"/>
      <c r="K450" s="2615"/>
      <c r="L450" s="2338"/>
      <c r="M450" s="2339"/>
      <c r="N450" s="2618"/>
      <c r="O450" s="2619"/>
      <c r="P450" s="2621"/>
      <c r="Q450" s="2573"/>
      <c r="R450" s="2573"/>
      <c r="S450" s="2623"/>
      <c r="T450" s="2573"/>
      <c r="U450" s="2573"/>
      <c r="V450" s="2573"/>
      <c r="W450" s="2573"/>
      <c r="X450" s="2573"/>
      <c r="Y450" s="2573"/>
      <c r="Z450" s="1743"/>
      <c r="AA450" s="1711">
        <v>1</v>
      </c>
      <c r="AB450" s="1097" t="s">
        <v>1036</v>
      </c>
      <c r="AC450" s="1087">
        <v>75597.370662000001</v>
      </c>
      <c r="AD450" s="1097" t="str">
        <f>AB450</f>
        <v xml:space="preserve">      Прочие амортизационные отчисления</v>
      </c>
      <c r="AE450" s="1087"/>
      <c r="AF450" s="2616"/>
      <c r="AG450" s="2617"/>
      <c r="AH450" s="2617"/>
      <c r="AI450" s="2616"/>
      <c r="AJ450" s="2617"/>
      <c r="AK450" s="2617"/>
      <c r="AL450" s="1900"/>
      <c r="AM450" s="1738"/>
      <c r="AN450" s="1738"/>
      <c r="AO450" s="1738"/>
      <c r="AP450" s="1738"/>
      <c r="AQ450" s="1738"/>
      <c r="AR450" s="1738"/>
      <c r="AS450" s="1738"/>
      <c r="AT450" s="1738"/>
      <c r="AU450" s="1738"/>
      <c r="AV450" s="1738"/>
      <c r="AW450" s="1738"/>
      <c r="AX450" s="1738"/>
      <c r="AY450" s="1738"/>
      <c r="AZ450" s="1738"/>
      <c r="BA450" s="1738"/>
      <c r="BB450" s="1738"/>
      <c r="BC450" s="1738"/>
      <c r="BD450" s="1738"/>
      <c r="BE450" s="1738"/>
      <c r="BF450" s="1738"/>
    </row>
    <row r="451" spans="1:58" ht="11.25" customHeight="1">
      <c r="A451" s="1084" t="s">
        <v>992</v>
      </c>
      <c r="B451" s="1084"/>
      <c r="C451" s="1084"/>
      <c r="D451" s="1078"/>
      <c r="E451" s="1088"/>
      <c r="F451" s="2606"/>
      <c r="G451" s="2606"/>
      <c r="H451" s="2606"/>
      <c r="I451" s="2606"/>
      <c r="J451" s="2606"/>
      <c r="K451" s="2606"/>
      <c r="L451" s="2606"/>
      <c r="M451" s="2606"/>
      <c r="N451" s="2606"/>
      <c r="O451" s="2606"/>
      <c r="P451" s="2606"/>
      <c r="Q451" s="2606"/>
      <c r="R451" s="2606"/>
      <c r="S451" s="2606"/>
      <c r="T451" s="2606"/>
      <c r="U451" s="2606"/>
      <c r="V451" s="2606"/>
      <c r="W451" s="2606"/>
      <c r="X451" s="2606"/>
      <c r="Y451" s="2606"/>
      <c r="Z451" s="2054" t="s">
        <v>686</v>
      </c>
      <c r="AA451" s="1731" t="s">
        <v>109</v>
      </c>
      <c r="AB451" s="1097" t="s">
        <v>1028</v>
      </c>
      <c r="AC451" s="1087">
        <v>44402.632272000003</v>
      </c>
      <c r="AD451" s="1097" t="str">
        <f>AB451</f>
        <v xml:space="preserve">  Прочие</v>
      </c>
      <c r="AE451" s="1087"/>
      <c r="AF451" s="2625"/>
      <c r="AG451" s="2626"/>
      <c r="AH451" s="2626"/>
      <c r="AI451" s="2625"/>
      <c r="AJ451" s="2626"/>
      <c r="AK451" s="2627"/>
      <c r="AL451" s="1900"/>
      <c r="AM451" s="1738"/>
      <c r="AN451" s="1738"/>
      <c r="AO451" s="1738"/>
      <c r="AP451" s="1738"/>
      <c r="AQ451" s="1738"/>
      <c r="AR451" s="1738"/>
      <c r="AS451" s="1738"/>
      <c r="AT451" s="1738"/>
      <c r="AU451" s="1738"/>
      <c r="AV451" s="1738"/>
      <c r="AW451" s="1738"/>
      <c r="AX451" s="1738"/>
      <c r="AY451" s="1738"/>
      <c r="AZ451" s="1738"/>
      <c r="BA451" s="1738"/>
      <c r="BB451" s="1738"/>
      <c r="BC451" s="1738"/>
      <c r="BD451" s="1738"/>
      <c r="BE451" s="1738"/>
      <c r="BF451" s="1738"/>
    </row>
    <row r="452" spans="1:58" ht="11.25" customHeight="1">
      <c r="A452" s="1084" t="s">
        <v>992</v>
      </c>
      <c r="B452" s="1084"/>
      <c r="C452" s="1084"/>
      <c r="D452" s="1078"/>
      <c r="E452" s="1088"/>
      <c r="F452" s="2605"/>
      <c r="G452" s="2606"/>
      <c r="H452" s="2601" t="s">
        <v>148</v>
      </c>
      <c r="I452" s="2613"/>
      <c r="J452" s="2614"/>
      <c r="K452" s="2615"/>
      <c r="L452" s="2338"/>
      <c r="M452" s="2339"/>
      <c r="N452" s="2618"/>
      <c r="O452" s="2619"/>
      <c r="P452" s="2622"/>
      <c r="Q452" s="2573"/>
      <c r="R452" s="2573"/>
      <c r="S452" s="2623"/>
      <c r="T452" s="2573"/>
      <c r="U452" s="2573"/>
      <c r="V452" s="2573"/>
      <c r="W452" s="2573"/>
      <c r="X452" s="2573"/>
      <c r="Y452" s="2573"/>
      <c r="Z452" s="1093"/>
      <c r="AA452" s="1094"/>
      <c r="AB452" s="1159" t="s">
        <v>1029</v>
      </c>
      <c r="AC452" s="1098"/>
      <c r="AD452" s="1098"/>
      <c r="AE452" s="1100"/>
      <c r="AF452" s="2616"/>
      <c r="AG452" s="2617"/>
      <c r="AH452" s="2617"/>
      <c r="AI452" s="2616"/>
      <c r="AJ452" s="2617"/>
      <c r="AK452" s="2617"/>
      <c r="AL452" s="1900"/>
      <c r="AM452" s="1738"/>
      <c r="AN452" s="1738"/>
      <c r="AO452" s="1738"/>
      <c r="AP452" s="1738"/>
      <c r="AQ452" s="1738"/>
      <c r="AR452" s="1738"/>
      <c r="AS452" s="1738"/>
      <c r="AT452" s="1738"/>
      <c r="AU452" s="1738"/>
      <c r="AV452" s="1738"/>
      <c r="AW452" s="1738"/>
      <c r="AX452" s="1738"/>
      <c r="AY452" s="1738"/>
      <c r="AZ452" s="1738"/>
      <c r="BA452" s="1738"/>
      <c r="BB452" s="1738"/>
      <c r="BC452" s="1738"/>
      <c r="BD452" s="1738"/>
      <c r="BE452" s="1738"/>
      <c r="BF452" s="1738"/>
    </row>
    <row r="453" spans="1:58" ht="11.25" customHeight="1">
      <c r="A453" s="1084" t="s">
        <v>992</v>
      </c>
      <c r="B453" s="1084"/>
      <c r="C453" s="1084"/>
      <c r="D453" s="1078"/>
      <c r="E453" s="1088"/>
      <c r="F453" s="2605"/>
      <c r="G453" s="2606"/>
      <c r="H453" s="2601" t="s">
        <v>148</v>
      </c>
      <c r="I453" s="2613"/>
      <c r="J453" s="2614"/>
      <c r="K453" s="2615"/>
      <c r="L453" s="2338"/>
      <c r="M453" s="2339"/>
      <c r="N453" s="1093"/>
      <c r="O453" s="1094"/>
      <c r="P453" s="1086" t="s">
        <v>1030</v>
      </c>
      <c r="Q453" s="1094"/>
      <c r="R453" s="1094"/>
      <c r="S453" s="1094"/>
      <c r="T453" s="1094"/>
      <c r="U453" s="1094"/>
      <c r="V453" s="1094"/>
      <c r="W453" s="1094"/>
      <c r="X453" s="1094"/>
      <c r="Y453" s="1094"/>
      <c r="Z453" s="1094"/>
      <c r="AA453" s="1094"/>
      <c r="AB453" s="1094"/>
      <c r="AC453" s="1094"/>
      <c r="AD453" s="1094"/>
      <c r="AE453" s="1101"/>
      <c r="AF453" s="2616"/>
      <c r="AG453" s="2617"/>
      <c r="AH453" s="2617"/>
      <c r="AI453" s="2616"/>
      <c r="AJ453" s="2617"/>
      <c r="AK453" s="2617"/>
      <c r="AL453" s="1900"/>
      <c r="AM453" s="1738"/>
      <c r="AN453" s="1738"/>
      <c r="AO453" s="1738"/>
      <c r="AP453" s="1738"/>
      <c r="AQ453" s="1738"/>
      <c r="AR453" s="1738"/>
      <c r="AS453" s="1738"/>
      <c r="AT453" s="1738"/>
      <c r="AU453" s="1738"/>
      <c r="AV453" s="1738"/>
      <c r="AW453" s="1738"/>
      <c r="AX453" s="1738"/>
      <c r="AY453" s="1738"/>
      <c r="AZ453" s="1738"/>
      <c r="BA453" s="1738"/>
      <c r="BB453" s="1738"/>
      <c r="BC453" s="1738"/>
      <c r="BD453" s="1738"/>
      <c r="BE453" s="1738"/>
      <c r="BF453" s="1738"/>
    </row>
    <row r="454" spans="1:58" ht="11.25" customHeight="1">
      <c r="A454" s="1084" t="s">
        <v>992</v>
      </c>
      <c r="B454" s="1084" t="s">
        <v>22</v>
      </c>
      <c r="C454" s="1084"/>
      <c r="D454" s="1078"/>
      <c r="E454" s="1088"/>
      <c r="F454" s="2605"/>
      <c r="G454" s="2590" t="s">
        <v>686</v>
      </c>
      <c r="H454" s="2601" t="s">
        <v>150</v>
      </c>
      <c r="I454" s="2613" t="s">
        <v>1050</v>
      </c>
      <c r="J454" s="2614" t="s">
        <v>22</v>
      </c>
      <c r="K454" s="2615" t="s">
        <v>1069</v>
      </c>
      <c r="L454" s="2338" t="s">
        <v>19</v>
      </c>
      <c r="M454" s="2339"/>
      <c r="N454" s="1898"/>
      <c r="O454" s="1095" t="s">
        <v>373</v>
      </c>
      <c r="P454" s="1096"/>
      <c r="Q454" s="1096"/>
      <c r="R454" s="1096"/>
      <c r="S454" s="1096"/>
      <c r="T454" s="1096"/>
      <c r="U454" s="1096"/>
      <c r="V454" s="1096"/>
      <c r="W454" s="1096"/>
      <c r="X454" s="1096"/>
      <c r="Y454" s="1096"/>
      <c r="Z454" s="1096"/>
      <c r="AA454" s="1096"/>
      <c r="AB454" s="1096"/>
      <c r="AC454" s="1096"/>
      <c r="AD454" s="1096"/>
      <c r="AE454" s="1096"/>
      <c r="AF454" s="2616">
        <v>4</v>
      </c>
      <c r="AG454" s="2617" t="s">
        <v>1026</v>
      </c>
      <c r="AH454" s="2617" t="s">
        <v>1035</v>
      </c>
      <c r="AI454" s="2616"/>
      <c r="AJ454" s="2617"/>
      <c r="AK454" s="2617"/>
      <c r="AL454" s="1900"/>
      <c r="AM454" s="1738"/>
      <c r="AN454" s="1738"/>
      <c r="AO454" s="1738"/>
      <c r="AP454" s="1738"/>
      <c r="AQ454" s="1738"/>
      <c r="AR454" s="1738"/>
      <c r="AS454" s="1738"/>
      <c r="AT454" s="1738"/>
      <c r="AU454" s="1738"/>
      <c r="AV454" s="1738"/>
      <c r="AW454" s="1738"/>
      <c r="AX454" s="1738"/>
      <c r="AY454" s="1738"/>
      <c r="AZ454" s="1738"/>
      <c r="BA454" s="1738"/>
      <c r="BB454" s="1738"/>
      <c r="BC454" s="1738"/>
      <c r="BD454" s="1738"/>
      <c r="BE454" s="1738"/>
      <c r="BF454" s="1738"/>
    </row>
    <row r="455" spans="1:58" ht="11.25" customHeight="1">
      <c r="A455" s="1084" t="s">
        <v>992</v>
      </c>
      <c r="B455" s="1084"/>
      <c r="C455" s="1084"/>
      <c r="D455" s="1078"/>
      <c r="E455" s="1088"/>
      <c r="F455" s="2605"/>
      <c r="G455" s="2606"/>
      <c r="H455" s="2601" t="s">
        <v>149</v>
      </c>
      <c r="I455" s="2613"/>
      <c r="J455" s="2614"/>
      <c r="K455" s="2615"/>
      <c r="L455" s="2338"/>
      <c r="M455" s="2339"/>
      <c r="N455" s="2618"/>
      <c r="O455" s="2619">
        <v>1</v>
      </c>
      <c r="P455" s="2620" t="s">
        <v>19</v>
      </c>
      <c r="Q455" s="2573" t="s">
        <v>22</v>
      </c>
      <c r="R455" s="2573" t="s">
        <v>22</v>
      </c>
      <c r="S455" s="2573" t="s">
        <v>22</v>
      </c>
      <c r="T455" s="2573" t="s">
        <v>22</v>
      </c>
      <c r="U455" s="2573" t="s">
        <v>22</v>
      </c>
      <c r="V455" s="2573" t="s">
        <v>22</v>
      </c>
      <c r="W455" s="2573" t="s">
        <v>22</v>
      </c>
      <c r="X455" s="2573" t="s">
        <v>22</v>
      </c>
      <c r="Y455" s="2573"/>
      <c r="Z455" s="1093"/>
      <c r="AA455" s="1094"/>
      <c r="AB455" s="1094"/>
      <c r="AC455" s="1098"/>
      <c r="AD455" s="1098"/>
      <c r="AE455" s="1099"/>
      <c r="AF455" s="2616"/>
      <c r="AG455" s="2617"/>
      <c r="AH455" s="2617"/>
      <c r="AI455" s="2616"/>
      <c r="AJ455" s="2617"/>
      <c r="AK455" s="2617"/>
      <c r="AL455" s="1900"/>
      <c r="AM455" s="1738"/>
      <c r="AN455" s="1738"/>
      <c r="AO455" s="1738"/>
      <c r="AP455" s="1738"/>
      <c r="AQ455" s="1738"/>
      <c r="AR455" s="1738"/>
      <c r="AS455" s="1738"/>
      <c r="AT455" s="1738"/>
      <c r="AU455" s="1738"/>
      <c r="AV455" s="1738"/>
      <c r="AW455" s="1738"/>
      <c r="AX455" s="1738"/>
      <c r="AY455" s="1738"/>
      <c r="AZ455" s="1738"/>
      <c r="BA455" s="1738"/>
      <c r="BB455" s="1738"/>
      <c r="BC455" s="1738"/>
      <c r="BD455" s="1738"/>
      <c r="BE455" s="1738"/>
      <c r="BF455" s="1738"/>
    </row>
    <row r="456" spans="1:58" ht="11.25" customHeight="1">
      <c r="A456" s="1084" t="s">
        <v>992</v>
      </c>
      <c r="B456" s="1084"/>
      <c r="C456" s="1084"/>
      <c r="D456" s="1078"/>
      <c r="E456" s="1088"/>
      <c r="F456" s="2605"/>
      <c r="G456" s="2606"/>
      <c r="H456" s="2601" t="s">
        <v>149</v>
      </c>
      <c r="I456" s="2613"/>
      <c r="J456" s="2614"/>
      <c r="K456" s="2615"/>
      <c r="L456" s="2338"/>
      <c r="M456" s="2339"/>
      <c r="N456" s="2618"/>
      <c r="O456" s="2619"/>
      <c r="P456" s="2621"/>
      <c r="Q456" s="2573"/>
      <c r="R456" s="2573"/>
      <c r="S456" s="2623"/>
      <c r="T456" s="2573"/>
      <c r="U456" s="2573"/>
      <c r="V456" s="2573"/>
      <c r="W456" s="2573"/>
      <c r="X456" s="2573"/>
      <c r="Y456" s="2573"/>
      <c r="Z456" s="1743"/>
      <c r="AA456" s="1711">
        <v>1</v>
      </c>
      <c r="AB456" s="1097" t="s">
        <v>1036</v>
      </c>
      <c r="AC456" s="1087">
        <v>12000</v>
      </c>
      <c r="AD456" s="1097" t="str">
        <f>AB456</f>
        <v xml:space="preserve">      Прочие амортизационные отчисления</v>
      </c>
      <c r="AE456" s="1087"/>
      <c r="AF456" s="2616"/>
      <c r="AG456" s="2617"/>
      <c r="AH456" s="2617"/>
      <c r="AI456" s="2616"/>
      <c r="AJ456" s="2617"/>
      <c r="AK456" s="2617"/>
      <c r="AL456" s="1900"/>
      <c r="AM456" s="1738"/>
      <c r="AN456" s="1738"/>
      <c r="AO456" s="1738"/>
      <c r="AP456" s="1738"/>
      <c r="AQ456" s="1738"/>
      <c r="AR456" s="1738"/>
      <c r="AS456" s="1738"/>
      <c r="AT456" s="1738"/>
      <c r="AU456" s="1738"/>
      <c r="AV456" s="1738"/>
      <c r="AW456" s="1738"/>
      <c r="AX456" s="1738"/>
      <c r="AY456" s="1738"/>
      <c r="AZ456" s="1738"/>
      <c r="BA456" s="1738"/>
      <c r="BB456" s="1738"/>
      <c r="BC456" s="1738"/>
      <c r="BD456" s="1738"/>
      <c r="BE456" s="1738"/>
      <c r="BF456" s="1738"/>
    </row>
    <row r="457" spans="1:58" ht="11.25" customHeight="1">
      <c r="A457" s="1084" t="s">
        <v>992</v>
      </c>
      <c r="B457" s="1084"/>
      <c r="C457" s="1084"/>
      <c r="D457" s="1078"/>
      <c r="E457" s="1088"/>
      <c r="F457" s="2605"/>
      <c r="G457" s="2606"/>
      <c r="H457" s="2601" t="s">
        <v>149</v>
      </c>
      <c r="I457" s="2613"/>
      <c r="J457" s="2614"/>
      <c r="K457" s="2615"/>
      <c r="L457" s="2338"/>
      <c r="M457" s="2339"/>
      <c r="N457" s="2618"/>
      <c r="O457" s="2619"/>
      <c r="P457" s="2622"/>
      <c r="Q457" s="2573"/>
      <c r="R457" s="2573"/>
      <c r="S457" s="2623"/>
      <c r="T457" s="2573"/>
      <c r="U457" s="2573"/>
      <c r="V457" s="2573"/>
      <c r="W457" s="2573"/>
      <c r="X457" s="2573"/>
      <c r="Y457" s="2573"/>
      <c r="Z457" s="1093"/>
      <c r="AA457" s="1094"/>
      <c r="AB457" s="1159" t="s">
        <v>1029</v>
      </c>
      <c r="AC457" s="1098"/>
      <c r="AD457" s="1098"/>
      <c r="AE457" s="1100"/>
      <c r="AF457" s="2616"/>
      <c r="AG457" s="2617"/>
      <c r="AH457" s="2617"/>
      <c r="AI457" s="2616"/>
      <c r="AJ457" s="2617"/>
      <c r="AK457" s="2617"/>
      <c r="AL457" s="1900"/>
      <c r="AM457" s="1738"/>
      <c r="AN457" s="1738"/>
      <c r="AO457" s="1738"/>
      <c r="AP457" s="1738"/>
      <c r="AQ457" s="1738"/>
      <c r="AR457" s="1738"/>
      <c r="AS457" s="1738"/>
      <c r="AT457" s="1738"/>
      <c r="AU457" s="1738"/>
      <c r="AV457" s="1738"/>
      <c r="AW457" s="1738"/>
      <c r="AX457" s="1738"/>
      <c r="AY457" s="1738"/>
      <c r="AZ457" s="1738"/>
      <c r="BA457" s="1738"/>
      <c r="BB457" s="1738"/>
      <c r="BC457" s="1738"/>
      <c r="BD457" s="1738"/>
      <c r="BE457" s="1738"/>
      <c r="BF457" s="1738"/>
    </row>
    <row r="458" spans="1:58" ht="20.25" customHeight="1">
      <c r="A458" s="1084" t="s">
        <v>992</v>
      </c>
      <c r="B458" s="1084"/>
      <c r="C458" s="1084"/>
      <c r="D458" s="1078"/>
      <c r="E458" s="1088"/>
      <c r="F458" s="2605"/>
      <c r="G458" s="2606"/>
      <c r="H458" s="2601" t="s">
        <v>149</v>
      </c>
      <c r="I458" s="2613"/>
      <c r="J458" s="2614"/>
      <c r="K458" s="2615"/>
      <c r="L458" s="2338"/>
      <c r="M458" s="2339"/>
      <c r="N458" s="1093"/>
      <c r="O458" s="1094"/>
      <c r="P458" s="1086" t="s">
        <v>1030</v>
      </c>
      <c r="Q458" s="1094"/>
      <c r="R458" s="1094"/>
      <c r="S458" s="1094"/>
      <c r="T458" s="1094"/>
      <c r="U458" s="1094"/>
      <c r="V458" s="1094"/>
      <c r="W458" s="1094"/>
      <c r="X458" s="1094"/>
      <c r="Y458" s="1094"/>
      <c r="Z458" s="1094"/>
      <c r="AA458" s="1094"/>
      <c r="AB458" s="1094"/>
      <c r="AC458" s="1094"/>
      <c r="AD458" s="1094"/>
      <c r="AE458" s="1101"/>
      <c r="AF458" s="2616"/>
      <c r="AG458" s="2617"/>
      <c r="AH458" s="2617"/>
      <c r="AI458" s="2616"/>
      <c r="AJ458" s="2617"/>
      <c r="AK458" s="2617"/>
      <c r="AL458" s="1900"/>
      <c r="AM458" s="1738"/>
      <c r="AN458" s="1738"/>
      <c r="AO458" s="1738"/>
      <c r="AP458" s="1738"/>
      <c r="AQ458" s="1738"/>
      <c r="AR458" s="1738"/>
      <c r="AS458" s="1738"/>
      <c r="AT458" s="1738"/>
      <c r="AU458" s="1738"/>
      <c r="AV458" s="1738"/>
      <c r="AW458" s="1738"/>
      <c r="AX458" s="1738"/>
      <c r="AY458" s="1738"/>
      <c r="AZ458" s="1738"/>
      <c r="BA458" s="1738"/>
      <c r="BB458" s="1738"/>
      <c r="BC458" s="1738"/>
      <c r="BD458" s="1738"/>
      <c r="BE458" s="1738"/>
      <c r="BF458" s="1738"/>
    </row>
    <row r="459" spans="1:58" ht="11.25" customHeight="1">
      <c r="A459" s="1084" t="s">
        <v>992</v>
      </c>
      <c r="B459" s="1084" t="s">
        <v>1031</v>
      </c>
      <c r="C459" s="1084"/>
      <c r="D459" s="1078"/>
      <c r="E459" s="1088"/>
      <c r="F459" s="2605"/>
      <c r="G459" s="2590" t="s">
        <v>686</v>
      </c>
      <c r="H459" s="2601" t="s">
        <v>151</v>
      </c>
      <c r="I459" s="2613" t="s">
        <v>1032</v>
      </c>
      <c r="J459" s="2624" t="s">
        <v>1033</v>
      </c>
      <c r="K459" s="2615" t="s">
        <v>1037</v>
      </c>
      <c r="L459" s="2338" t="s">
        <v>19</v>
      </c>
      <c r="M459" s="2339"/>
      <c r="N459" s="1898"/>
      <c r="O459" s="1095" t="s">
        <v>373</v>
      </c>
      <c r="P459" s="1096"/>
      <c r="Q459" s="1096"/>
      <c r="R459" s="1096"/>
      <c r="S459" s="1096"/>
      <c r="T459" s="1096"/>
      <c r="U459" s="1096"/>
      <c r="V459" s="1096"/>
      <c r="W459" s="1096"/>
      <c r="X459" s="1096"/>
      <c r="Y459" s="1096"/>
      <c r="Z459" s="1096"/>
      <c r="AA459" s="1096"/>
      <c r="AB459" s="1096"/>
      <c r="AC459" s="1096"/>
      <c r="AD459" s="1096"/>
      <c r="AE459" s="1096"/>
      <c r="AF459" s="2616">
        <v>14</v>
      </c>
      <c r="AG459" s="2617" t="s">
        <v>1026</v>
      </c>
      <c r="AH459" s="2617" t="s">
        <v>1035</v>
      </c>
      <c r="AI459" s="2616"/>
      <c r="AJ459" s="2617"/>
      <c r="AK459" s="2617"/>
      <c r="AL459" s="1900"/>
      <c r="AM459" s="1738"/>
      <c r="AN459" s="1738"/>
      <c r="AO459" s="1738"/>
      <c r="AP459" s="1738"/>
      <c r="AQ459" s="1738"/>
      <c r="AR459" s="1738"/>
      <c r="AS459" s="1738"/>
      <c r="AT459" s="1738"/>
      <c r="AU459" s="1738"/>
      <c r="AV459" s="1738"/>
      <c r="AW459" s="1738"/>
      <c r="AX459" s="1738"/>
      <c r="AY459" s="1738"/>
      <c r="AZ459" s="1738"/>
      <c r="BA459" s="1738"/>
      <c r="BB459" s="1738"/>
      <c r="BC459" s="1738"/>
      <c r="BD459" s="1738"/>
      <c r="BE459" s="1738"/>
      <c r="BF459" s="1738"/>
    </row>
    <row r="460" spans="1:58" ht="11.25" customHeight="1">
      <c r="A460" s="1084" t="s">
        <v>992</v>
      </c>
      <c r="B460" s="1084"/>
      <c r="C460" s="1084"/>
      <c r="D460" s="1078"/>
      <c r="E460" s="1088"/>
      <c r="F460" s="2605"/>
      <c r="G460" s="2606"/>
      <c r="H460" s="2601" t="s">
        <v>150</v>
      </c>
      <c r="I460" s="2613"/>
      <c r="J460" s="2624"/>
      <c r="K460" s="2615"/>
      <c r="L460" s="2338"/>
      <c r="M460" s="2339"/>
      <c r="N460" s="2618"/>
      <c r="O460" s="2619">
        <v>1</v>
      </c>
      <c r="P460" s="2620" t="s">
        <v>19</v>
      </c>
      <c r="Q460" s="2573" t="s">
        <v>22</v>
      </c>
      <c r="R460" s="2573" t="s">
        <v>22</v>
      </c>
      <c r="S460" s="2573" t="s">
        <v>22</v>
      </c>
      <c r="T460" s="2573" t="s">
        <v>22</v>
      </c>
      <c r="U460" s="2573" t="s">
        <v>22</v>
      </c>
      <c r="V460" s="2573" t="s">
        <v>22</v>
      </c>
      <c r="W460" s="2573" t="s">
        <v>22</v>
      </c>
      <c r="X460" s="2573" t="s">
        <v>22</v>
      </c>
      <c r="Y460" s="2573"/>
      <c r="Z460" s="1093"/>
      <c r="AA460" s="1094"/>
      <c r="AB460" s="1094"/>
      <c r="AC460" s="1098"/>
      <c r="AD460" s="1098"/>
      <c r="AE460" s="1099"/>
      <c r="AF460" s="2616"/>
      <c r="AG460" s="2617"/>
      <c r="AH460" s="2617"/>
      <c r="AI460" s="2616"/>
      <c r="AJ460" s="2617"/>
      <c r="AK460" s="2617"/>
      <c r="AL460" s="1900"/>
      <c r="AM460" s="1738"/>
      <c r="AN460" s="1738"/>
      <c r="AO460" s="1738"/>
      <c r="AP460" s="1738"/>
      <c r="AQ460" s="1738"/>
      <c r="AR460" s="1738"/>
      <c r="AS460" s="1738"/>
      <c r="AT460" s="1738"/>
      <c r="AU460" s="1738"/>
      <c r="AV460" s="1738"/>
      <c r="AW460" s="1738"/>
      <c r="AX460" s="1738"/>
      <c r="AY460" s="1738"/>
      <c r="AZ460" s="1738"/>
      <c r="BA460" s="1738"/>
      <c r="BB460" s="1738"/>
      <c r="BC460" s="1738"/>
      <c r="BD460" s="1738"/>
      <c r="BE460" s="1738"/>
      <c r="BF460" s="1738"/>
    </row>
    <row r="461" spans="1:58" ht="11.25" customHeight="1">
      <c r="A461" s="1084" t="s">
        <v>992</v>
      </c>
      <c r="B461" s="1084"/>
      <c r="C461" s="1084"/>
      <c r="D461" s="1078"/>
      <c r="E461" s="1088"/>
      <c r="F461" s="2605"/>
      <c r="G461" s="2606"/>
      <c r="H461" s="2601" t="s">
        <v>150</v>
      </c>
      <c r="I461" s="2613"/>
      <c r="J461" s="2624"/>
      <c r="K461" s="2615"/>
      <c r="L461" s="2338"/>
      <c r="M461" s="2339"/>
      <c r="N461" s="2618"/>
      <c r="O461" s="2619"/>
      <c r="P461" s="2621"/>
      <c r="Q461" s="2573"/>
      <c r="R461" s="2573"/>
      <c r="S461" s="2623"/>
      <c r="T461" s="2573"/>
      <c r="U461" s="2573"/>
      <c r="V461" s="2573"/>
      <c r="W461" s="2573"/>
      <c r="X461" s="2573"/>
      <c r="Y461" s="2573"/>
      <c r="Z461" s="1743"/>
      <c r="AA461" s="1711">
        <v>1</v>
      </c>
      <c r="AB461" s="1097" t="s">
        <v>1036</v>
      </c>
      <c r="AC461" s="1087">
        <v>10000</v>
      </c>
      <c r="AD461" s="1097" t="str">
        <f>AB461</f>
        <v xml:space="preserve">      Прочие амортизационные отчисления</v>
      </c>
      <c r="AE461" s="1087"/>
      <c r="AF461" s="2616"/>
      <c r="AG461" s="2617"/>
      <c r="AH461" s="2617"/>
      <c r="AI461" s="2616"/>
      <c r="AJ461" s="2617"/>
      <c r="AK461" s="2617"/>
      <c r="AL461" s="1900"/>
      <c r="AM461" s="1738"/>
      <c r="AN461" s="1738"/>
      <c r="AO461" s="1738"/>
      <c r="AP461" s="1738"/>
      <c r="AQ461" s="1738"/>
      <c r="AR461" s="1738"/>
      <c r="AS461" s="1738"/>
      <c r="AT461" s="1738"/>
      <c r="AU461" s="1738"/>
      <c r="AV461" s="1738"/>
      <c r="AW461" s="1738"/>
      <c r="AX461" s="1738"/>
      <c r="AY461" s="1738"/>
      <c r="AZ461" s="1738"/>
      <c r="BA461" s="1738"/>
      <c r="BB461" s="1738"/>
      <c r="BC461" s="1738"/>
      <c r="BD461" s="1738"/>
      <c r="BE461" s="1738"/>
      <c r="BF461" s="1738"/>
    </row>
    <row r="462" spans="1:58" ht="11.25" customHeight="1">
      <c r="A462" s="1084" t="s">
        <v>992</v>
      </c>
      <c r="B462" s="1084"/>
      <c r="C462" s="1084"/>
      <c r="D462" s="1078"/>
      <c r="E462" s="1088"/>
      <c r="F462" s="2605"/>
      <c r="G462" s="2606"/>
      <c r="H462" s="2601" t="s">
        <v>150</v>
      </c>
      <c r="I462" s="2613"/>
      <c r="J462" s="2624"/>
      <c r="K462" s="2615"/>
      <c r="L462" s="2338"/>
      <c r="M462" s="2339"/>
      <c r="N462" s="2618"/>
      <c r="O462" s="2619"/>
      <c r="P462" s="2622"/>
      <c r="Q462" s="2573"/>
      <c r="R462" s="2573"/>
      <c r="S462" s="2623"/>
      <c r="T462" s="2573"/>
      <c r="U462" s="2573"/>
      <c r="V462" s="2573"/>
      <c r="W462" s="2573"/>
      <c r="X462" s="2573"/>
      <c r="Y462" s="2573"/>
      <c r="Z462" s="1093"/>
      <c r="AA462" s="1094"/>
      <c r="AB462" s="1159" t="s">
        <v>1029</v>
      </c>
      <c r="AC462" s="1098"/>
      <c r="AD462" s="1098"/>
      <c r="AE462" s="1100"/>
      <c r="AF462" s="2616"/>
      <c r="AG462" s="2617"/>
      <c r="AH462" s="2617"/>
      <c r="AI462" s="2616"/>
      <c r="AJ462" s="2617"/>
      <c r="AK462" s="2617"/>
      <c r="AL462" s="1900"/>
      <c r="AM462" s="1738"/>
      <c r="AN462" s="1738"/>
      <c r="AO462" s="1738"/>
      <c r="AP462" s="1738"/>
      <c r="AQ462" s="1738"/>
      <c r="AR462" s="1738"/>
      <c r="AS462" s="1738"/>
      <c r="AT462" s="1738"/>
      <c r="AU462" s="1738"/>
      <c r="AV462" s="1738"/>
      <c r="AW462" s="1738"/>
      <c r="AX462" s="1738"/>
      <c r="AY462" s="1738"/>
      <c r="AZ462" s="1738"/>
      <c r="BA462" s="1738"/>
      <c r="BB462" s="1738"/>
      <c r="BC462" s="1738"/>
      <c r="BD462" s="1738"/>
      <c r="BE462" s="1738"/>
      <c r="BF462" s="1738"/>
    </row>
    <row r="463" spans="1:58" ht="11.25" customHeight="1">
      <c r="A463" s="1084" t="s">
        <v>992</v>
      </c>
      <c r="B463" s="1084"/>
      <c r="C463" s="1084"/>
      <c r="D463" s="1078"/>
      <c r="E463" s="1088"/>
      <c r="F463" s="2605"/>
      <c r="G463" s="2606"/>
      <c r="H463" s="2601" t="s">
        <v>150</v>
      </c>
      <c r="I463" s="2613"/>
      <c r="J463" s="2624"/>
      <c r="K463" s="2615"/>
      <c r="L463" s="2338"/>
      <c r="M463" s="2339"/>
      <c r="N463" s="1093"/>
      <c r="O463" s="1094"/>
      <c r="P463" s="1086" t="s">
        <v>1030</v>
      </c>
      <c r="Q463" s="1094"/>
      <c r="R463" s="1094"/>
      <c r="S463" s="1094"/>
      <c r="T463" s="1094"/>
      <c r="U463" s="1094"/>
      <c r="V463" s="1094"/>
      <c r="W463" s="1094"/>
      <c r="X463" s="1094"/>
      <c r="Y463" s="1094"/>
      <c r="Z463" s="1094"/>
      <c r="AA463" s="1094"/>
      <c r="AB463" s="1094"/>
      <c r="AC463" s="1094"/>
      <c r="AD463" s="1094"/>
      <c r="AE463" s="1101"/>
      <c r="AF463" s="2616"/>
      <c r="AG463" s="2617"/>
      <c r="AH463" s="2617"/>
      <c r="AI463" s="2616"/>
      <c r="AJ463" s="2617"/>
      <c r="AK463" s="2617"/>
      <c r="AL463" s="1900"/>
      <c r="AM463" s="1738"/>
      <c r="AN463" s="1738"/>
      <c r="AO463" s="1738"/>
      <c r="AP463" s="1738"/>
      <c r="AQ463" s="1738"/>
      <c r="AR463" s="1738"/>
      <c r="AS463" s="1738"/>
      <c r="AT463" s="1738"/>
      <c r="AU463" s="1738"/>
      <c r="AV463" s="1738"/>
      <c r="AW463" s="1738"/>
      <c r="AX463" s="1738"/>
      <c r="AY463" s="1738"/>
      <c r="AZ463" s="1738"/>
      <c r="BA463" s="1738"/>
      <c r="BB463" s="1738"/>
      <c r="BC463" s="1738"/>
      <c r="BD463" s="1738"/>
      <c r="BE463" s="1738"/>
      <c r="BF463" s="1738"/>
    </row>
    <row r="464" spans="1:58" ht="33" customHeight="1">
      <c r="A464" s="1084" t="s">
        <v>992</v>
      </c>
      <c r="B464" s="1084" t="s">
        <v>1031</v>
      </c>
      <c r="C464" s="1084"/>
      <c r="D464" s="1078"/>
      <c r="E464" s="1088"/>
      <c r="F464" s="2605"/>
      <c r="G464" s="2590" t="s">
        <v>686</v>
      </c>
      <c r="H464" s="2601" t="s">
        <v>152</v>
      </c>
      <c r="I464" s="2613" t="s">
        <v>1032</v>
      </c>
      <c r="J464" s="2624" t="s">
        <v>1033</v>
      </c>
      <c r="K464" s="2615" t="s">
        <v>1042</v>
      </c>
      <c r="L464" s="2338" t="s">
        <v>19</v>
      </c>
      <c r="M464" s="2339"/>
      <c r="N464" s="1898"/>
      <c r="O464" s="1095" t="s">
        <v>373</v>
      </c>
      <c r="P464" s="1096"/>
      <c r="Q464" s="1096"/>
      <c r="R464" s="1096"/>
      <c r="S464" s="1096"/>
      <c r="T464" s="1096"/>
      <c r="U464" s="1096"/>
      <c r="V464" s="1096"/>
      <c r="W464" s="1096"/>
      <c r="X464" s="1096"/>
      <c r="Y464" s="1096"/>
      <c r="Z464" s="1096"/>
      <c r="AA464" s="1096"/>
      <c r="AB464" s="1096"/>
      <c r="AC464" s="1096"/>
      <c r="AD464" s="1096"/>
      <c r="AE464" s="1096"/>
      <c r="AF464" s="2616">
        <v>6</v>
      </c>
      <c r="AG464" s="2617" t="s">
        <v>1026</v>
      </c>
      <c r="AH464" s="2617" t="s">
        <v>1035</v>
      </c>
      <c r="AI464" s="2616"/>
      <c r="AJ464" s="2617"/>
      <c r="AK464" s="2617"/>
      <c r="AL464" s="1900"/>
      <c r="AM464" s="1738"/>
      <c r="AN464" s="1738"/>
      <c r="AO464" s="1738"/>
      <c r="AP464" s="1738"/>
      <c r="AQ464" s="1738"/>
      <c r="AR464" s="1738"/>
      <c r="AS464" s="1738"/>
      <c r="AT464" s="1738"/>
      <c r="AU464" s="1738"/>
      <c r="AV464" s="1738"/>
      <c r="AW464" s="1738"/>
      <c r="AX464" s="1738"/>
      <c r="AY464" s="1738"/>
      <c r="AZ464" s="1738"/>
      <c r="BA464" s="1738"/>
      <c r="BB464" s="1738"/>
      <c r="BC464" s="1738"/>
      <c r="BD464" s="1738"/>
      <c r="BE464" s="1738"/>
      <c r="BF464" s="1738"/>
    </row>
    <row r="465" spans="1:58" ht="26.25" customHeight="1">
      <c r="A465" s="1084" t="s">
        <v>992</v>
      </c>
      <c r="B465" s="1084"/>
      <c r="C465" s="1084"/>
      <c r="D465" s="1078"/>
      <c r="E465" s="1088"/>
      <c r="F465" s="2605"/>
      <c r="G465" s="2606"/>
      <c r="H465" s="2601" t="s">
        <v>151</v>
      </c>
      <c r="I465" s="2613"/>
      <c r="J465" s="2624"/>
      <c r="K465" s="2615"/>
      <c r="L465" s="2338"/>
      <c r="M465" s="2339"/>
      <c r="N465" s="2618"/>
      <c r="O465" s="2619">
        <v>1</v>
      </c>
      <c r="P465" s="2620" t="s">
        <v>19</v>
      </c>
      <c r="Q465" s="2573" t="s">
        <v>22</v>
      </c>
      <c r="R465" s="2573" t="s">
        <v>22</v>
      </c>
      <c r="S465" s="2573" t="s">
        <v>22</v>
      </c>
      <c r="T465" s="2573" t="s">
        <v>22</v>
      </c>
      <c r="U465" s="2573" t="s">
        <v>22</v>
      </c>
      <c r="V465" s="2573" t="s">
        <v>22</v>
      </c>
      <c r="W465" s="2573" t="s">
        <v>22</v>
      </c>
      <c r="X465" s="2573" t="s">
        <v>22</v>
      </c>
      <c r="Y465" s="2573"/>
      <c r="Z465" s="1093"/>
      <c r="AA465" s="1094"/>
      <c r="AB465" s="1094"/>
      <c r="AC465" s="1098"/>
      <c r="AD465" s="1098"/>
      <c r="AE465" s="1099"/>
      <c r="AF465" s="2616"/>
      <c r="AG465" s="2617"/>
      <c r="AH465" s="2617"/>
      <c r="AI465" s="2616"/>
      <c r="AJ465" s="2617"/>
      <c r="AK465" s="2617"/>
      <c r="AL465" s="1900"/>
      <c r="AM465" s="1738"/>
      <c r="AN465" s="1738"/>
      <c r="AO465" s="1738"/>
      <c r="AP465" s="1738"/>
      <c r="AQ465" s="1738"/>
      <c r="AR465" s="1738"/>
      <c r="AS465" s="1738"/>
      <c r="AT465" s="1738"/>
      <c r="AU465" s="1738"/>
      <c r="AV465" s="1738"/>
      <c r="AW465" s="1738"/>
      <c r="AX465" s="1738"/>
      <c r="AY465" s="1738"/>
      <c r="AZ465" s="1738"/>
      <c r="BA465" s="1738"/>
      <c r="BB465" s="1738"/>
      <c r="BC465" s="1738"/>
      <c r="BD465" s="1738"/>
      <c r="BE465" s="1738"/>
      <c r="BF465" s="1738"/>
    </row>
    <row r="466" spans="1:58" ht="11.25" customHeight="1">
      <c r="A466" s="1084" t="s">
        <v>992</v>
      </c>
      <c r="B466" s="1084"/>
      <c r="C466" s="1084"/>
      <c r="D466" s="1078"/>
      <c r="E466" s="1088"/>
      <c r="F466" s="2605"/>
      <c r="G466" s="2606"/>
      <c r="H466" s="2601" t="s">
        <v>151</v>
      </c>
      <c r="I466" s="2613"/>
      <c r="J466" s="2624"/>
      <c r="K466" s="2615"/>
      <c r="L466" s="2338"/>
      <c r="M466" s="2339"/>
      <c r="N466" s="2618"/>
      <c r="O466" s="2619"/>
      <c r="P466" s="2621"/>
      <c r="Q466" s="2573"/>
      <c r="R466" s="2573"/>
      <c r="S466" s="2623"/>
      <c r="T466" s="2573"/>
      <c r="U466" s="2573"/>
      <c r="V466" s="2573"/>
      <c r="W466" s="2573"/>
      <c r="X466" s="2573"/>
      <c r="Y466" s="2573"/>
      <c r="Z466" s="1743"/>
      <c r="AA466" s="1711">
        <v>1</v>
      </c>
      <c r="AB466" s="1097" t="s">
        <v>1036</v>
      </c>
      <c r="AC466" s="1087">
        <v>53170.781762565501</v>
      </c>
      <c r="AD466" s="1097" t="str">
        <f>AB466</f>
        <v xml:space="preserve">      Прочие амортизационные отчисления</v>
      </c>
      <c r="AE466" s="1087"/>
      <c r="AF466" s="2616"/>
      <c r="AG466" s="2617"/>
      <c r="AH466" s="2617"/>
      <c r="AI466" s="2616"/>
      <c r="AJ466" s="2617"/>
      <c r="AK466" s="2617"/>
      <c r="AL466" s="1900"/>
      <c r="AM466" s="1738"/>
      <c r="AN466" s="1738"/>
      <c r="AO466" s="1738"/>
      <c r="AP466" s="1738"/>
      <c r="AQ466" s="1738"/>
      <c r="AR466" s="1738"/>
      <c r="AS466" s="1738"/>
      <c r="AT466" s="1738"/>
      <c r="AU466" s="1738"/>
      <c r="AV466" s="1738"/>
      <c r="AW466" s="1738"/>
      <c r="AX466" s="1738"/>
      <c r="AY466" s="1738"/>
      <c r="AZ466" s="1738"/>
      <c r="BA466" s="1738"/>
      <c r="BB466" s="1738"/>
      <c r="BC466" s="1738"/>
      <c r="BD466" s="1738"/>
      <c r="BE466" s="1738"/>
      <c r="BF466" s="1738"/>
    </row>
    <row r="467" spans="1:58" ht="11.25" customHeight="1">
      <c r="A467" s="1084" t="s">
        <v>992</v>
      </c>
      <c r="B467" s="1084"/>
      <c r="C467" s="1084"/>
      <c r="D467" s="1078"/>
      <c r="E467" s="1088"/>
      <c r="F467" s="2606"/>
      <c r="G467" s="2606"/>
      <c r="H467" s="2606"/>
      <c r="I467" s="2606"/>
      <c r="J467" s="2606"/>
      <c r="K467" s="2606"/>
      <c r="L467" s="2606"/>
      <c r="M467" s="2606"/>
      <c r="N467" s="2606"/>
      <c r="O467" s="2606"/>
      <c r="P467" s="2606"/>
      <c r="Q467" s="2606"/>
      <c r="R467" s="2606"/>
      <c r="S467" s="2606"/>
      <c r="T467" s="2606"/>
      <c r="U467" s="2606"/>
      <c r="V467" s="2606"/>
      <c r="W467" s="2606"/>
      <c r="X467" s="2606"/>
      <c r="Y467" s="2606"/>
      <c r="Z467" s="2054" t="s">
        <v>686</v>
      </c>
      <c r="AA467" s="1731" t="s">
        <v>109</v>
      </c>
      <c r="AB467" s="1097" t="s">
        <v>1028</v>
      </c>
      <c r="AC467" s="1087">
        <v>6198.9372574344998</v>
      </c>
      <c r="AD467" s="1097" t="str">
        <f>AB467</f>
        <v xml:space="preserve">  Прочие</v>
      </c>
      <c r="AE467" s="1087"/>
      <c r="AF467" s="2625"/>
      <c r="AG467" s="2626"/>
      <c r="AH467" s="2626"/>
      <c r="AI467" s="2625"/>
      <c r="AJ467" s="2626"/>
      <c r="AK467" s="2627"/>
      <c r="AL467" s="1900"/>
      <c r="AM467" s="1738"/>
      <c r="AN467" s="1738"/>
      <c r="AO467" s="1738"/>
      <c r="AP467" s="1738"/>
      <c r="AQ467" s="1738"/>
      <c r="AR467" s="1738"/>
      <c r="AS467" s="1738"/>
      <c r="AT467" s="1738"/>
      <c r="AU467" s="1738"/>
      <c r="AV467" s="1738"/>
      <c r="AW467" s="1738"/>
      <c r="AX467" s="1738"/>
      <c r="AY467" s="1738"/>
      <c r="AZ467" s="1738"/>
      <c r="BA467" s="1738"/>
      <c r="BB467" s="1738"/>
      <c r="BC467" s="1738"/>
      <c r="BD467" s="1738"/>
      <c r="BE467" s="1738"/>
      <c r="BF467" s="1738"/>
    </row>
    <row r="468" spans="1:58" ht="11.25" customHeight="1">
      <c r="A468" s="1084" t="s">
        <v>992</v>
      </c>
      <c r="B468" s="1084"/>
      <c r="C468" s="1084"/>
      <c r="D468" s="1078"/>
      <c r="E468" s="1088"/>
      <c r="F468" s="2605"/>
      <c r="G468" s="2606"/>
      <c r="H468" s="2601" t="s">
        <v>151</v>
      </c>
      <c r="I468" s="2613"/>
      <c r="J468" s="2624"/>
      <c r="K468" s="2615"/>
      <c r="L468" s="2338"/>
      <c r="M468" s="2339"/>
      <c r="N468" s="2618"/>
      <c r="O468" s="2619"/>
      <c r="P468" s="2622"/>
      <c r="Q468" s="2573"/>
      <c r="R468" s="2573"/>
      <c r="S468" s="2623"/>
      <c r="T468" s="2573"/>
      <c r="U468" s="2573"/>
      <c r="V468" s="2573"/>
      <c r="W468" s="2573"/>
      <c r="X468" s="2573"/>
      <c r="Y468" s="2573"/>
      <c r="Z468" s="1093"/>
      <c r="AA468" s="1094"/>
      <c r="AB468" s="1159" t="s">
        <v>1029</v>
      </c>
      <c r="AC468" s="1098"/>
      <c r="AD468" s="1098"/>
      <c r="AE468" s="1100"/>
      <c r="AF468" s="2616"/>
      <c r="AG468" s="2617"/>
      <c r="AH468" s="2617"/>
      <c r="AI468" s="2616"/>
      <c r="AJ468" s="2617"/>
      <c r="AK468" s="2617"/>
      <c r="AL468" s="1900"/>
      <c r="AM468" s="1738"/>
      <c r="AN468" s="1738"/>
      <c r="AO468" s="1738"/>
      <c r="AP468" s="1738"/>
      <c r="AQ468" s="1738"/>
      <c r="AR468" s="1738"/>
      <c r="AS468" s="1738"/>
      <c r="AT468" s="1738"/>
      <c r="AU468" s="1738"/>
      <c r="AV468" s="1738"/>
      <c r="AW468" s="1738"/>
      <c r="AX468" s="1738"/>
      <c r="AY468" s="1738"/>
      <c r="AZ468" s="1738"/>
      <c r="BA468" s="1738"/>
      <c r="BB468" s="1738"/>
      <c r="BC468" s="1738"/>
      <c r="BD468" s="1738"/>
      <c r="BE468" s="1738"/>
      <c r="BF468" s="1738"/>
    </row>
    <row r="469" spans="1:58" ht="11.25" customHeight="1">
      <c r="A469" s="1084" t="s">
        <v>992</v>
      </c>
      <c r="B469" s="1084"/>
      <c r="C469" s="1084"/>
      <c r="D469" s="1078"/>
      <c r="E469" s="1088"/>
      <c r="F469" s="2605"/>
      <c r="G469" s="2606"/>
      <c r="H469" s="2601" t="s">
        <v>151</v>
      </c>
      <c r="I469" s="2613"/>
      <c r="J469" s="2624"/>
      <c r="K469" s="2615"/>
      <c r="L469" s="2338"/>
      <c r="M469" s="2339"/>
      <c r="N469" s="1093"/>
      <c r="O469" s="1094"/>
      <c r="P469" s="1086" t="s">
        <v>1030</v>
      </c>
      <c r="Q469" s="1094"/>
      <c r="R469" s="1094"/>
      <c r="S469" s="1094"/>
      <c r="T469" s="1094"/>
      <c r="U469" s="1094"/>
      <c r="V469" s="1094"/>
      <c r="W469" s="1094"/>
      <c r="X469" s="1094"/>
      <c r="Y469" s="1094"/>
      <c r="Z469" s="1094"/>
      <c r="AA469" s="1094"/>
      <c r="AB469" s="1094"/>
      <c r="AC469" s="1094"/>
      <c r="AD469" s="1094"/>
      <c r="AE469" s="1101"/>
      <c r="AF469" s="2616"/>
      <c r="AG469" s="2617"/>
      <c r="AH469" s="2617"/>
      <c r="AI469" s="2616"/>
      <c r="AJ469" s="2617"/>
      <c r="AK469" s="2617"/>
      <c r="AL469" s="1900"/>
      <c r="AM469" s="1738"/>
      <c r="AN469" s="1738"/>
      <c r="AO469" s="1738"/>
      <c r="AP469" s="1738"/>
      <c r="AQ469" s="1738"/>
      <c r="AR469" s="1738"/>
      <c r="AS469" s="1738"/>
      <c r="AT469" s="1738"/>
      <c r="AU469" s="1738"/>
      <c r="AV469" s="1738"/>
      <c r="AW469" s="1738"/>
      <c r="AX469" s="1738"/>
      <c r="AY469" s="1738"/>
      <c r="AZ469" s="1738"/>
      <c r="BA469" s="1738"/>
      <c r="BB469" s="1738"/>
      <c r="BC469" s="1738"/>
      <c r="BD469" s="1738"/>
      <c r="BE469" s="1738"/>
      <c r="BF469" s="1738"/>
    </row>
    <row r="470" spans="1:58" ht="43.5" customHeight="1">
      <c r="A470" s="1084" t="s">
        <v>992</v>
      </c>
      <c r="B470" s="1084" t="s">
        <v>1031</v>
      </c>
      <c r="C470" s="1084"/>
      <c r="D470" s="1078"/>
      <c r="E470" s="1088"/>
      <c r="F470" s="2605"/>
      <c r="G470" s="2590" t="s">
        <v>686</v>
      </c>
      <c r="H470" s="2601" t="s">
        <v>1054</v>
      </c>
      <c r="I470" s="2613" t="s">
        <v>1032</v>
      </c>
      <c r="J470" s="2624" t="s">
        <v>1033</v>
      </c>
      <c r="K470" s="2615" t="s">
        <v>1043</v>
      </c>
      <c r="L470" s="2338" t="s">
        <v>19</v>
      </c>
      <c r="M470" s="2339"/>
      <c r="N470" s="1898"/>
      <c r="O470" s="1095" t="s">
        <v>373</v>
      </c>
      <c r="P470" s="1096"/>
      <c r="Q470" s="1096"/>
      <c r="R470" s="1096"/>
      <c r="S470" s="1096"/>
      <c r="T470" s="1096"/>
      <c r="U470" s="1096"/>
      <c r="V470" s="1096"/>
      <c r="W470" s="1096"/>
      <c r="X470" s="1096"/>
      <c r="Y470" s="1096"/>
      <c r="Z470" s="1096"/>
      <c r="AA470" s="1096"/>
      <c r="AB470" s="1096"/>
      <c r="AC470" s="1096"/>
      <c r="AD470" s="1096"/>
      <c r="AE470" s="1096"/>
      <c r="AF470" s="2616">
        <v>6</v>
      </c>
      <c r="AG470" s="2617" t="s">
        <v>1026</v>
      </c>
      <c r="AH470" s="2617" t="s">
        <v>1035</v>
      </c>
      <c r="AI470" s="2616"/>
      <c r="AJ470" s="2617"/>
      <c r="AK470" s="2617"/>
      <c r="AL470" s="1900"/>
      <c r="AM470" s="1738"/>
      <c r="AN470" s="1738"/>
      <c r="AO470" s="1738"/>
      <c r="AP470" s="1738"/>
      <c r="AQ470" s="1738"/>
      <c r="AR470" s="1738"/>
      <c r="AS470" s="1738"/>
      <c r="AT470" s="1738"/>
      <c r="AU470" s="1738"/>
      <c r="AV470" s="1738"/>
      <c r="AW470" s="1738"/>
      <c r="AX470" s="1738"/>
      <c r="AY470" s="1738"/>
      <c r="AZ470" s="1738"/>
      <c r="BA470" s="1738"/>
      <c r="BB470" s="1738"/>
      <c r="BC470" s="1738"/>
      <c r="BD470" s="1738"/>
      <c r="BE470" s="1738"/>
      <c r="BF470" s="1738"/>
    </row>
    <row r="471" spans="1:58" ht="11.25" customHeight="1">
      <c r="A471" s="1084" t="s">
        <v>992</v>
      </c>
      <c r="B471" s="1084"/>
      <c r="C471" s="1084"/>
      <c r="D471" s="1078"/>
      <c r="E471" s="1088"/>
      <c r="F471" s="2605"/>
      <c r="G471" s="2606"/>
      <c r="H471" s="2601" t="s">
        <v>152</v>
      </c>
      <c r="I471" s="2613"/>
      <c r="J471" s="2624"/>
      <c r="K471" s="2615"/>
      <c r="L471" s="2338"/>
      <c r="M471" s="2339"/>
      <c r="N471" s="2618"/>
      <c r="O471" s="2619">
        <v>1</v>
      </c>
      <c r="P471" s="2620" t="s">
        <v>19</v>
      </c>
      <c r="Q471" s="2573" t="s">
        <v>22</v>
      </c>
      <c r="R471" s="2573" t="s">
        <v>22</v>
      </c>
      <c r="S471" s="2573" t="s">
        <v>22</v>
      </c>
      <c r="T471" s="2573" t="s">
        <v>22</v>
      </c>
      <c r="U471" s="2573" t="s">
        <v>22</v>
      </c>
      <c r="V471" s="2573" t="s">
        <v>22</v>
      </c>
      <c r="W471" s="2573" t="s">
        <v>22</v>
      </c>
      <c r="X471" s="2573" t="s">
        <v>22</v>
      </c>
      <c r="Y471" s="2573"/>
      <c r="Z471" s="1093"/>
      <c r="AA471" s="1094"/>
      <c r="AB471" s="1094"/>
      <c r="AC471" s="1098"/>
      <c r="AD471" s="1098"/>
      <c r="AE471" s="1099"/>
      <c r="AF471" s="2616"/>
      <c r="AG471" s="2617"/>
      <c r="AH471" s="2617"/>
      <c r="AI471" s="2616"/>
      <c r="AJ471" s="2617"/>
      <c r="AK471" s="2617"/>
      <c r="AL471" s="1900"/>
      <c r="AM471" s="1738"/>
      <c r="AN471" s="1738"/>
      <c r="AO471" s="1738"/>
      <c r="AP471" s="1738"/>
      <c r="AQ471" s="1738"/>
      <c r="AR471" s="1738"/>
      <c r="AS471" s="1738"/>
      <c r="AT471" s="1738"/>
      <c r="AU471" s="1738"/>
      <c r="AV471" s="1738"/>
      <c r="AW471" s="1738"/>
      <c r="AX471" s="1738"/>
      <c r="AY471" s="1738"/>
      <c r="AZ471" s="1738"/>
      <c r="BA471" s="1738"/>
      <c r="BB471" s="1738"/>
      <c r="BC471" s="1738"/>
      <c r="BD471" s="1738"/>
      <c r="BE471" s="1738"/>
      <c r="BF471" s="1738"/>
    </row>
    <row r="472" spans="1:58" ht="11.25" customHeight="1">
      <c r="A472" s="1084" t="s">
        <v>992</v>
      </c>
      <c r="B472" s="1084"/>
      <c r="C472" s="1084"/>
      <c r="D472" s="1078"/>
      <c r="E472" s="1088"/>
      <c r="F472" s="2605"/>
      <c r="G472" s="2606"/>
      <c r="H472" s="2601" t="s">
        <v>152</v>
      </c>
      <c r="I472" s="2613"/>
      <c r="J472" s="2624"/>
      <c r="K472" s="2615"/>
      <c r="L472" s="2338"/>
      <c r="M472" s="2339"/>
      <c r="N472" s="2618"/>
      <c r="O472" s="2619"/>
      <c r="P472" s="2621"/>
      <c r="Q472" s="2573"/>
      <c r="R472" s="2573"/>
      <c r="S472" s="2623"/>
      <c r="T472" s="2573"/>
      <c r="U472" s="2573"/>
      <c r="V472" s="2573"/>
      <c r="W472" s="2573"/>
      <c r="X472" s="2573"/>
      <c r="Y472" s="2573"/>
      <c r="Z472" s="1743"/>
      <c r="AA472" s="1711">
        <v>1</v>
      </c>
      <c r="AB472" s="1097" t="s">
        <v>1028</v>
      </c>
      <c r="AC472" s="1087">
        <v>269172.07486298302</v>
      </c>
      <c r="AD472" s="1097" t="str">
        <f>AB472</f>
        <v xml:space="preserve">  Прочие</v>
      </c>
      <c r="AE472" s="1087"/>
      <c r="AF472" s="2616"/>
      <c r="AG472" s="2617"/>
      <c r="AH472" s="2617"/>
      <c r="AI472" s="2616"/>
      <c r="AJ472" s="2617"/>
      <c r="AK472" s="2617"/>
      <c r="AL472" s="1900"/>
      <c r="AM472" s="1738"/>
      <c r="AN472" s="1738"/>
      <c r="AO472" s="1738"/>
      <c r="AP472" s="1738"/>
      <c r="AQ472" s="1738"/>
      <c r="AR472" s="1738"/>
      <c r="AS472" s="1738"/>
      <c r="AT472" s="1738"/>
      <c r="AU472" s="1738"/>
      <c r="AV472" s="1738"/>
      <c r="AW472" s="1738"/>
      <c r="AX472" s="1738"/>
      <c r="AY472" s="1738"/>
      <c r="AZ472" s="1738"/>
      <c r="BA472" s="1738"/>
      <c r="BB472" s="1738"/>
      <c r="BC472" s="1738"/>
      <c r="BD472" s="1738"/>
      <c r="BE472" s="1738"/>
      <c r="BF472" s="1738"/>
    </row>
    <row r="473" spans="1:58" ht="11.25" customHeight="1">
      <c r="A473" s="1084" t="s">
        <v>992</v>
      </c>
      <c r="B473" s="1084"/>
      <c r="C473" s="1084"/>
      <c r="D473" s="1078"/>
      <c r="E473" s="1088"/>
      <c r="F473" s="2605"/>
      <c r="G473" s="2606"/>
      <c r="H473" s="2601" t="s">
        <v>152</v>
      </c>
      <c r="I473" s="2613"/>
      <c r="J473" s="2624"/>
      <c r="K473" s="2615"/>
      <c r="L473" s="2338"/>
      <c r="M473" s="2339"/>
      <c r="N473" s="2618"/>
      <c r="O473" s="2619"/>
      <c r="P473" s="2622"/>
      <c r="Q473" s="2573"/>
      <c r="R473" s="2573"/>
      <c r="S473" s="2623"/>
      <c r="T473" s="2573"/>
      <c r="U473" s="2573"/>
      <c r="V473" s="2573"/>
      <c r="W473" s="2573"/>
      <c r="X473" s="2573"/>
      <c r="Y473" s="2573"/>
      <c r="Z473" s="1093"/>
      <c r="AA473" s="1094"/>
      <c r="AB473" s="1159" t="s">
        <v>1029</v>
      </c>
      <c r="AC473" s="1098"/>
      <c r="AD473" s="1098"/>
      <c r="AE473" s="1100"/>
      <c r="AF473" s="2616"/>
      <c r="AG473" s="2617"/>
      <c r="AH473" s="2617"/>
      <c r="AI473" s="2616"/>
      <c r="AJ473" s="2617"/>
      <c r="AK473" s="2617"/>
      <c r="AL473" s="1900"/>
      <c r="AM473" s="1738"/>
      <c r="AN473" s="1738"/>
      <c r="AO473" s="1738"/>
      <c r="AP473" s="1738"/>
      <c r="AQ473" s="1738"/>
      <c r="AR473" s="1738"/>
      <c r="AS473" s="1738"/>
      <c r="AT473" s="1738"/>
      <c r="AU473" s="1738"/>
      <c r="AV473" s="1738"/>
      <c r="AW473" s="1738"/>
      <c r="AX473" s="1738"/>
      <c r="AY473" s="1738"/>
      <c r="AZ473" s="1738"/>
      <c r="BA473" s="1738"/>
      <c r="BB473" s="1738"/>
      <c r="BC473" s="1738"/>
      <c r="BD473" s="1738"/>
      <c r="BE473" s="1738"/>
      <c r="BF473" s="1738"/>
    </row>
    <row r="474" spans="1:58" ht="11.25" customHeight="1">
      <c r="A474" s="1084" t="s">
        <v>992</v>
      </c>
      <c r="B474" s="1084"/>
      <c r="C474" s="1084"/>
      <c r="D474" s="1078"/>
      <c r="E474" s="1088"/>
      <c r="F474" s="2605"/>
      <c r="G474" s="2606"/>
      <c r="H474" s="2601" t="s">
        <v>152</v>
      </c>
      <c r="I474" s="2613"/>
      <c r="J474" s="2624"/>
      <c r="K474" s="2615"/>
      <c r="L474" s="2338"/>
      <c r="M474" s="2339"/>
      <c r="N474" s="1093"/>
      <c r="O474" s="1094"/>
      <c r="P474" s="1086" t="s">
        <v>1030</v>
      </c>
      <c r="Q474" s="1094"/>
      <c r="R474" s="1094"/>
      <c r="S474" s="1094"/>
      <c r="T474" s="1094"/>
      <c r="U474" s="1094"/>
      <c r="V474" s="1094"/>
      <c r="W474" s="1094"/>
      <c r="X474" s="1094"/>
      <c r="Y474" s="1094"/>
      <c r="Z474" s="1094"/>
      <c r="AA474" s="1094"/>
      <c r="AB474" s="1094"/>
      <c r="AC474" s="1094"/>
      <c r="AD474" s="1094"/>
      <c r="AE474" s="1101"/>
      <c r="AF474" s="2616"/>
      <c r="AG474" s="2617"/>
      <c r="AH474" s="2617"/>
      <c r="AI474" s="2616"/>
      <c r="AJ474" s="2617"/>
      <c r="AK474" s="2617"/>
      <c r="AL474" s="1900"/>
      <c r="AM474" s="1738"/>
      <c r="AN474" s="1738"/>
      <c r="AO474" s="1738"/>
      <c r="AP474" s="1738"/>
      <c r="AQ474" s="1738"/>
      <c r="AR474" s="1738"/>
      <c r="AS474" s="1738"/>
      <c r="AT474" s="1738"/>
      <c r="AU474" s="1738"/>
      <c r="AV474" s="1738"/>
      <c r="AW474" s="1738"/>
      <c r="AX474" s="1738"/>
      <c r="AY474" s="1738"/>
      <c r="AZ474" s="1738"/>
      <c r="BA474" s="1738"/>
      <c r="BB474" s="1738"/>
      <c r="BC474" s="1738"/>
      <c r="BD474" s="1738"/>
      <c r="BE474" s="1738"/>
      <c r="BF474" s="1738"/>
    </row>
    <row r="475" spans="1:58" ht="11.25" customHeight="1">
      <c r="A475" s="1084" t="s">
        <v>992</v>
      </c>
      <c r="B475" s="1084" t="s">
        <v>1031</v>
      </c>
      <c r="C475" s="1084"/>
      <c r="D475" s="1078"/>
      <c r="E475" s="1088"/>
      <c r="F475" s="2605"/>
      <c r="G475" s="2590" t="s">
        <v>686</v>
      </c>
      <c r="H475" s="2601" t="s">
        <v>1056</v>
      </c>
      <c r="I475" s="2613" t="s">
        <v>1032</v>
      </c>
      <c r="J475" s="2624" t="s">
        <v>1033</v>
      </c>
      <c r="K475" s="2615" t="s">
        <v>1078</v>
      </c>
      <c r="L475" s="2338" t="s">
        <v>19</v>
      </c>
      <c r="M475" s="2339"/>
      <c r="N475" s="1898"/>
      <c r="O475" s="1095" t="s">
        <v>373</v>
      </c>
      <c r="P475" s="1096"/>
      <c r="Q475" s="1096"/>
      <c r="R475" s="1096"/>
      <c r="S475" s="1096"/>
      <c r="T475" s="1096"/>
      <c r="U475" s="1096"/>
      <c r="V475" s="1096"/>
      <c r="W475" s="1096"/>
      <c r="X475" s="1096"/>
      <c r="Y475" s="1096"/>
      <c r="Z475" s="1096"/>
      <c r="AA475" s="1096"/>
      <c r="AB475" s="1096"/>
      <c r="AC475" s="1096"/>
      <c r="AD475" s="1096"/>
      <c r="AE475" s="1096"/>
      <c r="AF475" s="2616">
        <v>3</v>
      </c>
      <c r="AG475" s="2617" t="s">
        <v>1026</v>
      </c>
      <c r="AH475" s="2617" t="s">
        <v>1035</v>
      </c>
      <c r="AI475" s="2616"/>
      <c r="AJ475" s="2617"/>
      <c r="AK475" s="2617"/>
      <c r="AL475" s="1900"/>
      <c r="AM475" s="1738"/>
      <c r="AN475" s="1738"/>
      <c r="AO475" s="1738"/>
      <c r="AP475" s="1738"/>
      <c r="AQ475" s="1738"/>
      <c r="AR475" s="1738"/>
      <c r="AS475" s="1738"/>
      <c r="AT475" s="1738"/>
      <c r="AU475" s="1738"/>
      <c r="AV475" s="1738"/>
      <c r="AW475" s="1738"/>
      <c r="AX475" s="1738"/>
      <c r="AY475" s="1738"/>
      <c r="AZ475" s="1738"/>
      <c r="BA475" s="1738"/>
      <c r="BB475" s="1738"/>
      <c r="BC475" s="1738"/>
      <c r="BD475" s="1738"/>
      <c r="BE475" s="1738"/>
      <c r="BF475" s="1738"/>
    </row>
    <row r="476" spans="1:58" ht="11.25" customHeight="1">
      <c r="A476" s="1084" t="s">
        <v>992</v>
      </c>
      <c r="B476" s="1084"/>
      <c r="C476" s="1084"/>
      <c r="D476" s="1078"/>
      <c r="E476" s="1088"/>
      <c r="F476" s="2605"/>
      <c r="G476" s="2606"/>
      <c r="H476" s="2601" t="s">
        <v>1054</v>
      </c>
      <c r="I476" s="2613"/>
      <c r="J476" s="2624"/>
      <c r="K476" s="2615"/>
      <c r="L476" s="2338"/>
      <c r="M476" s="2339"/>
      <c r="N476" s="2618"/>
      <c r="O476" s="2619">
        <v>1</v>
      </c>
      <c r="P476" s="2620" t="s">
        <v>19</v>
      </c>
      <c r="Q476" s="2573" t="s">
        <v>22</v>
      </c>
      <c r="R476" s="2573" t="s">
        <v>22</v>
      </c>
      <c r="S476" s="2573" t="s">
        <v>22</v>
      </c>
      <c r="T476" s="2573" t="s">
        <v>22</v>
      </c>
      <c r="U476" s="2573" t="s">
        <v>22</v>
      </c>
      <c r="V476" s="2573" t="s">
        <v>22</v>
      </c>
      <c r="W476" s="2573" t="s">
        <v>22</v>
      </c>
      <c r="X476" s="2573" t="s">
        <v>22</v>
      </c>
      <c r="Y476" s="2573"/>
      <c r="Z476" s="1093"/>
      <c r="AA476" s="1094"/>
      <c r="AB476" s="1094"/>
      <c r="AC476" s="1098"/>
      <c r="AD476" s="1098"/>
      <c r="AE476" s="1099"/>
      <c r="AF476" s="2616"/>
      <c r="AG476" s="2617"/>
      <c r="AH476" s="2617"/>
      <c r="AI476" s="2616"/>
      <c r="AJ476" s="2617"/>
      <c r="AK476" s="2617"/>
      <c r="AL476" s="1900"/>
      <c r="AM476" s="1738"/>
      <c r="AN476" s="1738"/>
      <c r="AO476" s="1738"/>
      <c r="AP476" s="1738"/>
      <c r="AQ476" s="1738"/>
      <c r="AR476" s="1738"/>
      <c r="AS476" s="1738"/>
      <c r="AT476" s="1738"/>
      <c r="AU476" s="1738"/>
      <c r="AV476" s="1738"/>
      <c r="AW476" s="1738"/>
      <c r="AX476" s="1738"/>
      <c r="AY476" s="1738"/>
      <c r="AZ476" s="1738"/>
      <c r="BA476" s="1738"/>
      <c r="BB476" s="1738"/>
      <c r="BC476" s="1738"/>
      <c r="BD476" s="1738"/>
      <c r="BE476" s="1738"/>
      <c r="BF476" s="1738"/>
    </row>
    <row r="477" spans="1:58" ht="11.25" customHeight="1">
      <c r="A477" s="1084" t="s">
        <v>992</v>
      </c>
      <c r="B477" s="1084"/>
      <c r="C477" s="1084"/>
      <c r="D477" s="1078"/>
      <c r="E477" s="1088"/>
      <c r="F477" s="2605"/>
      <c r="G477" s="2606"/>
      <c r="H477" s="2601" t="s">
        <v>1054</v>
      </c>
      <c r="I477" s="2613"/>
      <c r="J477" s="2624"/>
      <c r="K477" s="2615"/>
      <c r="L477" s="2338"/>
      <c r="M477" s="2339"/>
      <c r="N477" s="2618"/>
      <c r="O477" s="2619"/>
      <c r="P477" s="2621"/>
      <c r="Q477" s="2573"/>
      <c r="R477" s="2573"/>
      <c r="S477" s="2623"/>
      <c r="T477" s="2573"/>
      <c r="U477" s="2573"/>
      <c r="V477" s="2573"/>
      <c r="W477" s="2573"/>
      <c r="X477" s="2573"/>
      <c r="Y477" s="2573"/>
      <c r="Z477" s="1743"/>
      <c r="AA477" s="1711">
        <v>1</v>
      </c>
      <c r="AB477" s="1097" t="s">
        <v>1036</v>
      </c>
      <c r="AC477" s="1087">
        <v>91517.0765592471</v>
      </c>
      <c r="AD477" s="1097" t="str">
        <f>AB477</f>
        <v xml:space="preserve">      Прочие амортизационные отчисления</v>
      </c>
      <c r="AE477" s="1087"/>
      <c r="AF477" s="2616"/>
      <c r="AG477" s="2617"/>
      <c r="AH477" s="2617"/>
      <c r="AI477" s="2616"/>
      <c r="AJ477" s="2617"/>
      <c r="AK477" s="2617"/>
      <c r="AL477" s="1900"/>
      <c r="AM477" s="1738"/>
      <c r="AN477" s="1738"/>
      <c r="AO477" s="1738"/>
      <c r="AP477" s="1738"/>
      <c r="AQ477" s="1738"/>
      <c r="AR477" s="1738"/>
      <c r="AS477" s="1738"/>
      <c r="AT477" s="1738"/>
      <c r="AU477" s="1738"/>
      <c r="AV477" s="1738"/>
      <c r="AW477" s="1738"/>
      <c r="AX477" s="1738"/>
      <c r="AY477" s="1738"/>
      <c r="AZ477" s="1738"/>
      <c r="BA477" s="1738"/>
      <c r="BB477" s="1738"/>
      <c r="BC477" s="1738"/>
      <c r="BD477" s="1738"/>
      <c r="BE477" s="1738"/>
      <c r="BF477" s="1738"/>
    </row>
    <row r="478" spans="1:58" ht="11.25" customHeight="1">
      <c r="A478" s="1084" t="s">
        <v>992</v>
      </c>
      <c r="B478" s="1084"/>
      <c r="C478" s="1084"/>
      <c r="D478" s="1078"/>
      <c r="E478" s="1088"/>
      <c r="F478" s="2606"/>
      <c r="G478" s="2606"/>
      <c r="H478" s="2606"/>
      <c r="I478" s="2606"/>
      <c r="J478" s="2606"/>
      <c r="K478" s="2606"/>
      <c r="L478" s="2606"/>
      <c r="M478" s="2606"/>
      <c r="N478" s="2606"/>
      <c r="O478" s="2606"/>
      <c r="P478" s="2606"/>
      <c r="Q478" s="2606"/>
      <c r="R478" s="2606"/>
      <c r="S478" s="2606"/>
      <c r="T478" s="2606"/>
      <c r="U478" s="2606"/>
      <c r="V478" s="2606"/>
      <c r="W478" s="2606"/>
      <c r="X478" s="2606"/>
      <c r="Y478" s="2606"/>
      <c r="Z478" s="2054" t="s">
        <v>686</v>
      </c>
      <c r="AA478" s="1731" t="s">
        <v>109</v>
      </c>
      <c r="AB478" s="1097" t="s">
        <v>1028</v>
      </c>
      <c r="AC478" s="1087">
        <v>93415.172547000606</v>
      </c>
      <c r="AD478" s="1097" t="str">
        <f>AB478</f>
        <v xml:space="preserve">  Прочие</v>
      </c>
      <c r="AE478" s="1087"/>
      <c r="AF478" s="2625"/>
      <c r="AG478" s="2626"/>
      <c r="AH478" s="2626"/>
      <c r="AI478" s="2625"/>
      <c r="AJ478" s="2626"/>
      <c r="AK478" s="2627"/>
      <c r="AL478" s="1900"/>
      <c r="AM478" s="1738"/>
      <c r="AN478" s="1738"/>
      <c r="AO478" s="1738"/>
      <c r="AP478" s="1738"/>
      <c r="AQ478" s="1738"/>
      <c r="AR478" s="1738"/>
      <c r="AS478" s="1738"/>
      <c r="AT478" s="1738"/>
      <c r="AU478" s="1738"/>
      <c r="AV478" s="1738"/>
      <c r="AW478" s="1738"/>
      <c r="AX478" s="1738"/>
      <c r="AY478" s="1738"/>
      <c r="AZ478" s="1738"/>
      <c r="BA478" s="1738"/>
      <c r="BB478" s="1738"/>
      <c r="BC478" s="1738"/>
      <c r="BD478" s="1738"/>
      <c r="BE478" s="1738"/>
      <c r="BF478" s="1738"/>
    </row>
    <row r="479" spans="1:58" ht="11.25" customHeight="1">
      <c r="A479" s="1084" t="s">
        <v>992</v>
      </c>
      <c r="B479" s="1084"/>
      <c r="C479" s="1084"/>
      <c r="D479" s="1078"/>
      <c r="E479" s="1088"/>
      <c r="F479" s="2605"/>
      <c r="G479" s="2606"/>
      <c r="H479" s="2601" t="s">
        <v>1054</v>
      </c>
      <c r="I479" s="2613"/>
      <c r="J479" s="2624"/>
      <c r="K479" s="2615"/>
      <c r="L479" s="2338"/>
      <c r="M479" s="2339"/>
      <c r="N479" s="2618"/>
      <c r="O479" s="2619"/>
      <c r="P479" s="2622"/>
      <c r="Q479" s="2573"/>
      <c r="R479" s="2573"/>
      <c r="S479" s="2623"/>
      <c r="T479" s="2573"/>
      <c r="U479" s="2573"/>
      <c r="V479" s="2573"/>
      <c r="W479" s="2573"/>
      <c r="X479" s="2573"/>
      <c r="Y479" s="2573"/>
      <c r="Z479" s="1093"/>
      <c r="AA479" s="1094"/>
      <c r="AB479" s="1159" t="s">
        <v>1029</v>
      </c>
      <c r="AC479" s="1098"/>
      <c r="AD479" s="1098"/>
      <c r="AE479" s="1100"/>
      <c r="AF479" s="2616"/>
      <c r="AG479" s="2617"/>
      <c r="AH479" s="2617"/>
      <c r="AI479" s="2616"/>
      <c r="AJ479" s="2617"/>
      <c r="AK479" s="2617"/>
      <c r="AL479" s="1900"/>
      <c r="AM479" s="1738"/>
      <c r="AN479" s="1738"/>
      <c r="AO479" s="1738"/>
      <c r="AP479" s="1738"/>
      <c r="AQ479" s="1738"/>
      <c r="AR479" s="1738"/>
      <c r="AS479" s="1738"/>
      <c r="AT479" s="1738"/>
      <c r="AU479" s="1738"/>
      <c r="AV479" s="1738"/>
      <c r="AW479" s="1738"/>
      <c r="AX479" s="1738"/>
      <c r="AY479" s="1738"/>
      <c r="AZ479" s="1738"/>
      <c r="BA479" s="1738"/>
      <c r="BB479" s="1738"/>
      <c r="BC479" s="1738"/>
      <c r="BD479" s="1738"/>
      <c r="BE479" s="1738"/>
      <c r="BF479" s="1738"/>
    </row>
    <row r="480" spans="1:58" ht="11.25" customHeight="1">
      <c r="A480" s="1084" t="s">
        <v>992</v>
      </c>
      <c r="B480" s="1084"/>
      <c r="C480" s="1084"/>
      <c r="D480" s="1078"/>
      <c r="E480" s="1088"/>
      <c r="F480" s="2605"/>
      <c r="G480" s="2606"/>
      <c r="H480" s="2601" t="s">
        <v>1054</v>
      </c>
      <c r="I480" s="2613"/>
      <c r="J480" s="2624"/>
      <c r="K480" s="2615"/>
      <c r="L480" s="2338"/>
      <c r="M480" s="2339"/>
      <c r="N480" s="1093"/>
      <c r="O480" s="1094"/>
      <c r="P480" s="1086" t="s">
        <v>1030</v>
      </c>
      <c r="Q480" s="1094"/>
      <c r="R480" s="1094"/>
      <c r="S480" s="1094"/>
      <c r="T480" s="1094"/>
      <c r="U480" s="1094"/>
      <c r="V480" s="1094"/>
      <c r="W480" s="1094"/>
      <c r="X480" s="1094"/>
      <c r="Y480" s="1094"/>
      <c r="Z480" s="1094"/>
      <c r="AA480" s="1094"/>
      <c r="AB480" s="1094"/>
      <c r="AC480" s="1094"/>
      <c r="AD480" s="1094"/>
      <c r="AE480" s="1101"/>
      <c r="AF480" s="2616"/>
      <c r="AG480" s="2617"/>
      <c r="AH480" s="2617"/>
      <c r="AI480" s="2616"/>
      <c r="AJ480" s="2617"/>
      <c r="AK480" s="2617"/>
      <c r="AL480" s="1900"/>
      <c r="AM480" s="1738"/>
      <c r="AN480" s="1738"/>
      <c r="AO480" s="1738"/>
      <c r="AP480" s="1738"/>
      <c r="AQ480" s="1738"/>
      <c r="AR480" s="1738"/>
      <c r="AS480" s="1738"/>
      <c r="AT480" s="1738"/>
      <c r="AU480" s="1738"/>
      <c r="AV480" s="1738"/>
      <c r="AW480" s="1738"/>
      <c r="AX480" s="1738"/>
      <c r="AY480" s="1738"/>
      <c r="AZ480" s="1738"/>
      <c r="BA480" s="1738"/>
      <c r="BB480" s="1738"/>
      <c r="BC480" s="1738"/>
      <c r="BD480" s="1738"/>
      <c r="BE480" s="1738"/>
      <c r="BF480" s="1738"/>
    </row>
    <row r="481" spans="1:58" ht="11.25" customHeight="1">
      <c r="A481" s="1084" t="s">
        <v>992</v>
      </c>
      <c r="B481" s="1084" t="s">
        <v>1031</v>
      </c>
      <c r="C481" s="1084"/>
      <c r="D481" s="1078"/>
      <c r="E481" s="1088"/>
      <c r="F481" s="2605"/>
      <c r="G481" s="2590" t="s">
        <v>686</v>
      </c>
      <c r="H481" s="2601" t="s">
        <v>1059</v>
      </c>
      <c r="I481" s="2613" t="s">
        <v>1032</v>
      </c>
      <c r="J481" s="2624" t="s">
        <v>1033</v>
      </c>
      <c r="K481" s="2615" t="s">
        <v>1079</v>
      </c>
      <c r="L481" s="2338" t="s">
        <v>19</v>
      </c>
      <c r="M481" s="2339"/>
      <c r="N481" s="1898"/>
      <c r="O481" s="1095" t="s">
        <v>373</v>
      </c>
      <c r="P481" s="1096"/>
      <c r="Q481" s="1096"/>
      <c r="R481" s="1096"/>
      <c r="S481" s="1096"/>
      <c r="T481" s="1096"/>
      <c r="U481" s="1096"/>
      <c r="V481" s="1096"/>
      <c r="W481" s="1096"/>
      <c r="X481" s="1096"/>
      <c r="Y481" s="1096"/>
      <c r="Z481" s="1096"/>
      <c r="AA481" s="1096"/>
      <c r="AB481" s="1096"/>
      <c r="AC481" s="1096"/>
      <c r="AD481" s="1096"/>
      <c r="AE481" s="1096"/>
      <c r="AF481" s="2616">
        <v>3</v>
      </c>
      <c r="AG481" s="2617" t="s">
        <v>1026</v>
      </c>
      <c r="AH481" s="2617" t="s">
        <v>1035</v>
      </c>
      <c r="AI481" s="2616"/>
      <c r="AJ481" s="2617"/>
      <c r="AK481" s="2617"/>
      <c r="AL481" s="1900"/>
      <c r="AM481" s="1738"/>
      <c r="AN481" s="1738"/>
      <c r="AO481" s="1738"/>
      <c r="AP481" s="1738"/>
      <c r="AQ481" s="1738"/>
      <c r="AR481" s="1738"/>
      <c r="AS481" s="1738"/>
      <c r="AT481" s="1738"/>
      <c r="AU481" s="1738"/>
      <c r="AV481" s="1738"/>
      <c r="AW481" s="1738"/>
      <c r="AX481" s="1738"/>
      <c r="AY481" s="1738"/>
      <c r="AZ481" s="1738"/>
      <c r="BA481" s="1738"/>
      <c r="BB481" s="1738"/>
      <c r="BC481" s="1738"/>
      <c r="BD481" s="1738"/>
      <c r="BE481" s="1738"/>
      <c r="BF481" s="1738"/>
    </row>
    <row r="482" spans="1:58" ht="11.25" customHeight="1">
      <c r="A482" s="1084" t="s">
        <v>992</v>
      </c>
      <c r="B482" s="1084"/>
      <c r="C482" s="1084"/>
      <c r="D482" s="1078"/>
      <c r="E482" s="1088"/>
      <c r="F482" s="2605"/>
      <c r="G482" s="2606"/>
      <c r="H482" s="2601" t="s">
        <v>1056</v>
      </c>
      <c r="I482" s="2613"/>
      <c r="J482" s="2624"/>
      <c r="K482" s="2615"/>
      <c r="L482" s="2338"/>
      <c r="M482" s="2339"/>
      <c r="N482" s="2618"/>
      <c r="O482" s="2619">
        <v>1</v>
      </c>
      <c r="P482" s="2620" t="s">
        <v>19</v>
      </c>
      <c r="Q482" s="2573" t="s">
        <v>22</v>
      </c>
      <c r="R482" s="2573" t="s">
        <v>22</v>
      </c>
      <c r="S482" s="2573" t="s">
        <v>22</v>
      </c>
      <c r="T482" s="2573" t="s">
        <v>22</v>
      </c>
      <c r="U482" s="2573" t="s">
        <v>22</v>
      </c>
      <c r="V482" s="2573" t="s">
        <v>22</v>
      </c>
      <c r="W482" s="2573" t="s">
        <v>22</v>
      </c>
      <c r="X482" s="2573" t="s">
        <v>22</v>
      </c>
      <c r="Y482" s="2573"/>
      <c r="Z482" s="1093"/>
      <c r="AA482" s="1094"/>
      <c r="AB482" s="1094"/>
      <c r="AC482" s="1098"/>
      <c r="AD482" s="1098"/>
      <c r="AE482" s="1099"/>
      <c r="AF482" s="2616"/>
      <c r="AG482" s="2617"/>
      <c r="AH482" s="2617"/>
      <c r="AI482" s="2616"/>
      <c r="AJ482" s="2617"/>
      <c r="AK482" s="2617"/>
      <c r="AL482" s="1900"/>
      <c r="AM482" s="1738"/>
      <c r="AN482" s="1738"/>
      <c r="AO482" s="1738"/>
      <c r="AP482" s="1738"/>
      <c r="AQ482" s="1738"/>
      <c r="AR482" s="1738"/>
      <c r="AS482" s="1738"/>
      <c r="AT482" s="1738"/>
      <c r="AU482" s="1738"/>
      <c r="AV482" s="1738"/>
      <c r="AW482" s="1738"/>
      <c r="AX482" s="1738"/>
      <c r="AY482" s="1738"/>
      <c r="AZ482" s="1738"/>
      <c r="BA482" s="1738"/>
      <c r="BB482" s="1738"/>
      <c r="BC482" s="1738"/>
      <c r="BD482" s="1738"/>
      <c r="BE482" s="1738"/>
      <c r="BF482" s="1738"/>
    </row>
    <row r="483" spans="1:58" ht="11.25" customHeight="1">
      <c r="A483" s="1084" t="s">
        <v>992</v>
      </c>
      <c r="B483" s="1084"/>
      <c r="C483" s="1084"/>
      <c r="D483" s="1078"/>
      <c r="E483" s="1088"/>
      <c r="F483" s="2605"/>
      <c r="G483" s="2606"/>
      <c r="H483" s="2601" t="s">
        <v>1056</v>
      </c>
      <c r="I483" s="2613"/>
      <c r="J483" s="2624"/>
      <c r="K483" s="2615"/>
      <c r="L483" s="2338"/>
      <c r="M483" s="2339"/>
      <c r="N483" s="2618"/>
      <c r="O483" s="2619"/>
      <c r="P483" s="2621"/>
      <c r="Q483" s="2573"/>
      <c r="R483" s="2573"/>
      <c r="S483" s="2623"/>
      <c r="T483" s="2573"/>
      <c r="U483" s="2573"/>
      <c r="V483" s="2573"/>
      <c r="W483" s="2573"/>
      <c r="X483" s="2573"/>
      <c r="Y483" s="2573"/>
      <c r="Z483" s="1743"/>
      <c r="AA483" s="1711">
        <v>1</v>
      </c>
      <c r="AB483" s="1097" t="s">
        <v>1036</v>
      </c>
      <c r="AC483" s="1087">
        <v>96928.197894426805</v>
      </c>
      <c r="AD483" s="1097" t="str">
        <f>AB483</f>
        <v xml:space="preserve">      Прочие амортизационные отчисления</v>
      </c>
      <c r="AE483" s="1087"/>
      <c r="AF483" s="2616"/>
      <c r="AG483" s="2617"/>
      <c r="AH483" s="2617"/>
      <c r="AI483" s="2616"/>
      <c r="AJ483" s="2617"/>
      <c r="AK483" s="2617"/>
      <c r="AL483" s="1900"/>
      <c r="AM483" s="1738"/>
      <c r="AN483" s="1738"/>
      <c r="AO483" s="1738"/>
      <c r="AP483" s="1738"/>
      <c r="AQ483" s="1738"/>
      <c r="AR483" s="1738"/>
      <c r="AS483" s="1738"/>
      <c r="AT483" s="1738"/>
      <c r="AU483" s="1738"/>
      <c r="AV483" s="1738"/>
      <c r="AW483" s="1738"/>
      <c r="AX483" s="1738"/>
      <c r="AY483" s="1738"/>
      <c r="AZ483" s="1738"/>
      <c r="BA483" s="1738"/>
      <c r="BB483" s="1738"/>
      <c r="BC483" s="1738"/>
      <c r="BD483" s="1738"/>
      <c r="BE483" s="1738"/>
      <c r="BF483" s="1738"/>
    </row>
    <row r="484" spans="1:58" ht="11.25" customHeight="1">
      <c r="A484" s="1084" t="s">
        <v>992</v>
      </c>
      <c r="B484" s="1084"/>
      <c r="C484" s="1084"/>
      <c r="D484" s="1078"/>
      <c r="E484" s="1088"/>
      <c r="F484" s="2606"/>
      <c r="G484" s="2606"/>
      <c r="H484" s="2606"/>
      <c r="I484" s="2606"/>
      <c r="J484" s="2606"/>
      <c r="K484" s="2606"/>
      <c r="L484" s="2606"/>
      <c r="M484" s="2606"/>
      <c r="N484" s="2606"/>
      <c r="O484" s="2606"/>
      <c r="P484" s="2606"/>
      <c r="Q484" s="2606"/>
      <c r="R484" s="2606"/>
      <c r="S484" s="2606"/>
      <c r="T484" s="2606"/>
      <c r="U484" s="2606"/>
      <c r="V484" s="2606"/>
      <c r="W484" s="2606"/>
      <c r="X484" s="2606"/>
      <c r="Y484" s="2606"/>
      <c r="Z484" s="2054" t="s">
        <v>686</v>
      </c>
      <c r="AA484" s="1731" t="s">
        <v>109</v>
      </c>
      <c r="AB484" s="1097" t="s">
        <v>1028</v>
      </c>
      <c r="AC484" s="1087">
        <v>88004.051211820901</v>
      </c>
      <c r="AD484" s="1097" t="str">
        <f>AB484</f>
        <v xml:space="preserve">  Прочие</v>
      </c>
      <c r="AE484" s="1087"/>
      <c r="AF484" s="2625"/>
      <c r="AG484" s="2626"/>
      <c r="AH484" s="2626"/>
      <c r="AI484" s="2625"/>
      <c r="AJ484" s="2626"/>
      <c r="AK484" s="2627"/>
      <c r="AL484" s="1900"/>
      <c r="AM484" s="1738"/>
      <c r="AN484" s="1738"/>
      <c r="AO484" s="1738"/>
      <c r="AP484" s="1738"/>
      <c r="AQ484" s="1738"/>
      <c r="AR484" s="1738"/>
      <c r="AS484" s="1738"/>
      <c r="AT484" s="1738"/>
      <c r="AU484" s="1738"/>
      <c r="AV484" s="1738"/>
      <c r="AW484" s="1738"/>
      <c r="AX484" s="1738"/>
      <c r="AY484" s="1738"/>
      <c r="AZ484" s="1738"/>
      <c r="BA484" s="1738"/>
      <c r="BB484" s="1738"/>
      <c r="BC484" s="1738"/>
      <c r="BD484" s="1738"/>
      <c r="BE484" s="1738"/>
      <c r="BF484" s="1738"/>
    </row>
    <row r="485" spans="1:58" ht="11.25" customHeight="1">
      <c r="A485" s="1084" t="s">
        <v>992</v>
      </c>
      <c r="B485" s="1084"/>
      <c r="C485" s="1084"/>
      <c r="D485" s="1078"/>
      <c r="E485" s="1088"/>
      <c r="F485" s="2605"/>
      <c r="G485" s="2606"/>
      <c r="H485" s="2601" t="s">
        <v>1056</v>
      </c>
      <c r="I485" s="2613"/>
      <c r="J485" s="2624"/>
      <c r="K485" s="2615"/>
      <c r="L485" s="2338"/>
      <c r="M485" s="2339"/>
      <c r="N485" s="2618"/>
      <c r="O485" s="2619"/>
      <c r="P485" s="2622"/>
      <c r="Q485" s="2573"/>
      <c r="R485" s="2573"/>
      <c r="S485" s="2623"/>
      <c r="T485" s="2573"/>
      <c r="U485" s="2573"/>
      <c r="V485" s="2573"/>
      <c r="W485" s="2573"/>
      <c r="X485" s="2573"/>
      <c r="Y485" s="2573"/>
      <c r="Z485" s="1093"/>
      <c r="AA485" s="1094"/>
      <c r="AB485" s="1159" t="s">
        <v>1029</v>
      </c>
      <c r="AC485" s="1098"/>
      <c r="AD485" s="1098"/>
      <c r="AE485" s="1100"/>
      <c r="AF485" s="2616"/>
      <c r="AG485" s="2617"/>
      <c r="AH485" s="2617"/>
      <c r="AI485" s="2616"/>
      <c r="AJ485" s="2617"/>
      <c r="AK485" s="2617"/>
      <c r="AL485" s="1900"/>
      <c r="AM485" s="1738"/>
      <c r="AN485" s="1738"/>
      <c r="AO485" s="1738"/>
      <c r="AP485" s="1738"/>
      <c r="AQ485" s="1738"/>
      <c r="AR485" s="1738"/>
      <c r="AS485" s="1738"/>
      <c r="AT485" s="1738"/>
      <c r="AU485" s="1738"/>
      <c r="AV485" s="1738"/>
      <c r="AW485" s="1738"/>
      <c r="AX485" s="1738"/>
      <c r="AY485" s="1738"/>
      <c r="AZ485" s="1738"/>
      <c r="BA485" s="1738"/>
      <c r="BB485" s="1738"/>
      <c r="BC485" s="1738"/>
      <c r="BD485" s="1738"/>
      <c r="BE485" s="1738"/>
      <c r="BF485" s="1738"/>
    </row>
    <row r="486" spans="1:58" ht="11.25" customHeight="1">
      <c r="A486" s="1084" t="s">
        <v>992</v>
      </c>
      <c r="B486" s="1084"/>
      <c r="C486" s="1084"/>
      <c r="D486" s="1078"/>
      <c r="E486" s="1088"/>
      <c r="F486" s="2605"/>
      <c r="G486" s="2606"/>
      <c r="H486" s="2601" t="s">
        <v>1056</v>
      </c>
      <c r="I486" s="2613"/>
      <c r="J486" s="2624"/>
      <c r="K486" s="2615"/>
      <c r="L486" s="2338"/>
      <c r="M486" s="2339"/>
      <c r="N486" s="1093"/>
      <c r="O486" s="1094"/>
      <c r="P486" s="1086" t="s">
        <v>1030</v>
      </c>
      <c r="Q486" s="1094"/>
      <c r="R486" s="1094"/>
      <c r="S486" s="1094"/>
      <c r="T486" s="1094"/>
      <c r="U486" s="1094"/>
      <c r="V486" s="1094"/>
      <c r="W486" s="1094"/>
      <c r="X486" s="1094"/>
      <c r="Y486" s="1094"/>
      <c r="Z486" s="1094"/>
      <c r="AA486" s="1094"/>
      <c r="AB486" s="1094"/>
      <c r="AC486" s="1094"/>
      <c r="AD486" s="1094"/>
      <c r="AE486" s="1101"/>
      <c r="AF486" s="2616"/>
      <c r="AG486" s="2617"/>
      <c r="AH486" s="2617"/>
      <c r="AI486" s="2616"/>
      <c r="AJ486" s="2617"/>
      <c r="AK486" s="2617"/>
      <c r="AL486" s="1900"/>
      <c r="AM486" s="1738"/>
      <c r="AN486" s="1738"/>
      <c r="AO486" s="1738"/>
      <c r="AP486" s="1738"/>
      <c r="AQ486" s="1738"/>
      <c r="AR486" s="1738"/>
      <c r="AS486" s="1738"/>
      <c r="AT486" s="1738"/>
      <c r="AU486" s="1738"/>
      <c r="AV486" s="1738"/>
      <c r="AW486" s="1738"/>
      <c r="AX486" s="1738"/>
      <c r="AY486" s="1738"/>
      <c r="AZ486" s="1738"/>
      <c r="BA486" s="1738"/>
      <c r="BB486" s="1738"/>
      <c r="BC486" s="1738"/>
      <c r="BD486" s="1738"/>
      <c r="BE486" s="1738"/>
      <c r="BF486" s="1738"/>
    </row>
    <row r="487" spans="1:58" ht="12" customHeight="1">
      <c r="A487" s="1084" t="s">
        <v>992</v>
      </c>
      <c r="B487" s="1084"/>
      <c r="C487" s="1084"/>
      <c r="D487" s="1078"/>
      <c r="E487" s="1088"/>
      <c r="F487" s="2607"/>
      <c r="G487" s="1108"/>
      <c r="H487" s="1108"/>
      <c r="I487" s="2603" t="s">
        <v>1063</v>
      </c>
      <c r="J487" s="2603"/>
      <c r="K487" s="2603"/>
      <c r="L487" s="1091"/>
      <c r="M487" s="1091"/>
      <c r="N487" s="1092"/>
      <c r="O487" s="1092"/>
      <c r="P487" s="1092"/>
      <c r="Q487" s="1092"/>
      <c r="R487" s="1092"/>
      <c r="S487" s="1092"/>
      <c r="T487" s="1092"/>
      <c r="U487" s="1092"/>
      <c r="V487" s="1092"/>
      <c r="W487" s="1092"/>
      <c r="X487" s="1092"/>
      <c r="Y487" s="1092"/>
      <c r="Z487" s="1092"/>
      <c r="AA487" s="1092"/>
      <c r="AB487" s="1092"/>
      <c r="AC487" s="1092"/>
      <c r="AD487" s="1092"/>
      <c r="AE487" s="1092"/>
      <c r="AF487" s="1092"/>
      <c r="AG487" s="1091"/>
      <c r="AH487" s="1091"/>
      <c r="AI487" s="1092"/>
      <c r="AJ487" s="1091"/>
      <c r="AK487" s="1092"/>
      <c r="AL487" s="1900"/>
      <c r="AM487" s="1738"/>
      <c r="AN487" s="1738"/>
      <c r="AO487" s="1738"/>
      <c r="AP487" s="1738"/>
      <c r="AQ487" s="1738"/>
      <c r="AR487" s="1738"/>
      <c r="AS487" s="1738"/>
      <c r="AT487" s="1738"/>
      <c r="AU487" s="1738"/>
      <c r="AV487" s="1738"/>
      <c r="AW487" s="1738"/>
      <c r="AX487" s="1738"/>
      <c r="AY487" s="1738"/>
      <c r="AZ487" s="1738"/>
      <c r="BA487" s="1738"/>
      <c r="BB487" s="1738"/>
      <c r="BC487" s="1738"/>
      <c r="BD487" s="1738"/>
      <c r="BE487" s="1738"/>
      <c r="BF487" s="1738"/>
    </row>
    <row r="488" spans="1:58" ht="0.75" customHeight="1">
      <c r="A488" s="1084" t="s">
        <v>992</v>
      </c>
      <c r="B488" s="1084"/>
      <c r="C488" s="1084"/>
      <c r="D488" s="1078"/>
      <c r="E488" s="1088"/>
      <c r="F488" s="2604">
        <v>2028</v>
      </c>
      <c r="G488" s="2601"/>
      <c r="H488" s="2609" t="s">
        <v>373</v>
      </c>
      <c r="I488" s="2610"/>
      <c r="J488" s="2600"/>
      <c r="K488" s="2600"/>
      <c r="L488" s="2602"/>
      <c r="M488" s="2453"/>
      <c r="N488" s="1948"/>
      <c r="O488" s="1947"/>
      <c r="P488" s="1948"/>
      <c r="Q488" s="1948"/>
      <c r="R488" s="1948"/>
      <c r="S488" s="1948"/>
      <c r="T488" s="1948"/>
      <c r="U488" s="1948"/>
      <c r="V488" s="1948"/>
      <c r="W488" s="1948"/>
      <c r="X488" s="1948"/>
      <c r="Y488" s="1948"/>
      <c r="Z488" s="1948"/>
      <c r="AA488" s="1948"/>
      <c r="AB488" s="1948"/>
      <c r="AC488" s="1948"/>
      <c r="AD488" s="1948"/>
      <c r="AE488" s="1948"/>
      <c r="AF488" s="2608"/>
      <c r="AG488" s="2602"/>
      <c r="AH488" s="2602"/>
      <c r="AI488" s="2608"/>
      <c r="AJ488" s="2602"/>
      <c r="AK488" s="2602"/>
      <c r="AL488" s="1900"/>
      <c r="AM488" s="1738"/>
      <c r="AN488" s="1738"/>
      <c r="AO488" s="1738"/>
      <c r="AP488" s="1738"/>
      <c r="AQ488" s="1738"/>
      <c r="AR488" s="1738"/>
      <c r="AS488" s="1738"/>
      <c r="AT488" s="1738"/>
      <c r="AU488" s="1738"/>
      <c r="AV488" s="1738"/>
      <c r="AW488" s="1738"/>
      <c r="AX488" s="1738"/>
      <c r="AY488" s="1738"/>
      <c r="AZ488" s="1738"/>
      <c r="BA488" s="1738"/>
      <c r="BB488" s="1738"/>
      <c r="BC488" s="1738"/>
      <c r="BD488" s="1738"/>
      <c r="BE488" s="1738"/>
      <c r="BF488" s="1738"/>
    </row>
    <row r="489" spans="1:58" ht="18" customHeight="1">
      <c r="A489" s="1084" t="s">
        <v>992</v>
      </c>
      <c r="B489" s="1084"/>
      <c r="C489" s="1084"/>
      <c r="D489" s="1078"/>
      <c r="E489" s="1088"/>
      <c r="F489" s="2604"/>
      <c r="G489" s="2601"/>
      <c r="H489" s="2609"/>
      <c r="I489" s="2610"/>
      <c r="J489" s="2600"/>
      <c r="K489" s="2600"/>
      <c r="L489" s="2602"/>
      <c r="M489" s="2453"/>
      <c r="N489" s="2611"/>
      <c r="O489" s="2612"/>
      <c r="P489" s="2597"/>
      <c r="Q489" s="2600"/>
      <c r="R489" s="2600"/>
      <c r="S489" s="2600"/>
      <c r="T489" s="2600"/>
      <c r="U489" s="2600"/>
      <c r="V489" s="2600"/>
      <c r="W489" s="2600"/>
      <c r="X489" s="2600"/>
      <c r="Y489" s="2600"/>
      <c r="Z489" s="1949"/>
      <c r="AA489" s="1950"/>
      <c r="AB489" s="1950"/>
      <c r="AC489" s="1951"/>
      <c r="AD489" s="1951"/>
      <c r="AE489" s="1952"/>
      <c r="AF489" s="2608"/>
      <c r="AG489" s="2602"/>
      <c r="AH489" s="2602"/>
      <c r="AI489" s="2608"/>
      <c r="AJ489" s="2602"/>
      <c r="AK489" s="2602"/>
      <c r="AL489" s="1900"/>
      <c r="AM489" s="1738"/>
      <c r="AN489" s="1738"/>
      <c r="AO489" s="1738"/>
      <c r="AP489" s="1738"/>
      <c r="AQ489" s="1738"/>
      <c r="AR489" s="1738"/>
      <c r="AS489" s="1738"/>
      <c r="AT489" s="1738"/>
      <c r="AU489" s="1738"/>
      <c r="AV489" s="1738"/>
      <c r="AW489" s="1738"/>
      <c r="AX489" s="1738"/>
      <c r="AY489" s="1738"/>
      <c r="AZ489" s="1738"/>
      <c r="BA489" s="1738"/>
      <c r="BB489" s="1738"/>
      <c r="BC489" s="1738"/>
      <c r="BD489" s="1738"/>
      <c r="BE489" s="1738"/>
      <c r="BF489" s="1738"/>
    </row>
    <row r="490" spans="1:58" ht="0.75" customHeight="1">
      <c r="A490" s="1084" t="s">
        <v>992</v>
      </c>
      <c r="B490" s="1084"/>
      <c r="C490" s="1084"/>
      <c r="D490" s="1078"/>
      <c r="E490" s="1088"/>
      <c r="F490" s="2604"/>
      <c r="G490" s="2601"/>
      <c r="H490" s="2609"/>
      <c r="I490" s="2610"/>
      <c r="J490" s="2600"/>
      <c r="K490" s="2600"/>
      <c r="L490" s="2602"/>
      <c r="M490" s="2453"/>
      <c r="N490" s="2611"/>
      <c r="O490" s="2612"/>
      <c r="P490" s="2598"/>
      <c r="Q490" s="2600"/>
      <c r="R490" s="2600"/>
      <c r="S490" s="2600"/>
      <c r="T490" s="2600"/>
      <c r="U490" s="2600"/>
      <c r="V490" s="2600"/>
      <c r="W490" s="2600"/>
      <c r="X490" s="2600"/>
      <c r="Y490" s="2600"/>
      <c r="Z490" s="1953"/>
      <c r="AA490" s="1954"/>
      <c r="AB490" s="1955"/>
      <c r="AC490" s="1956"/>
      <c r="AD490" s="1955"/>
      <c r="AE490" s="1956"/>
      <c r="AF490" s="2608"/>
      <c r="AG490" s="2602"/>
      <c r="AH490" s="2602"/>
      <c r="AI490" s="2608"/>
      <c r="AJ490" s="2602"/>
      <c r="AK490" s="2602"/>
      <c r="AL490" s="1900"/>
      <c r="AM490" s="1738"/>
      <c r="AN490" s="1738"/>
      <c r="AO490" s="1738"/>
      <c r="AP490" s="1738"/>
      <c r="AQ490" s="1738"/>
      <c r="AR490" s="1738"/>
      <c r="AS490" s="1738"/>
      <c r="AT490" s="1738"/>
      <c r="AU490" s="1738"/>
      <c r="AV490" s="1738"/>
      <c r="AW490" s="1738"/>
      <c r="AX490" s="1738"/>
      <c r="AY490" s="1738"/>
      <c r="AZ490" s="1738"/>
      <c r="BA490" s="1738"/>
      <c r="BB490" s="1738"/>
      <c r="BC490" s="1738"/>
      <c r="BD490" s="1738"/>
      <c r="BE490" s="1738"/>
      <c r="BF490" s="1738"/>
    </row>
    <row r="491" spans="1:58" ht="0.75" customHeight="1">
      <c r="A491" s="1084" t="s">
        <v>992</v>
      </c>
      <c r="B491" s="1084"/>
      <c r="C491" s="1084"/>
      <c r="D491" s="1078"/>
      <c r="E491" s="1088"/>
      <c r="F491" s="2604"/>
      <c r="G491" s="2601"/>
      <c r="H491" s="2609"/>
      <c r="I491" s="2610"/>
      <c r="J491" s="2600"/>
      <c r="K491" s="2600"/>
      <c r="L491" s="2602"/>
      <c r="M491" s="2453"/>
      <c r="N491" s="2611"/>
      <c r="O491" s="2612"/>
      <c r="P491" s="2599"/>
      <c r="Q491" s="2600"/>
      <c r="R491" s="2600"/>
      <c r="S491" s="2600"/>
      <c r="T491" s="2600"/>
      <c r="U491" s="2600"/>
      <c r="V491" s="2600"/>
      <c r="W491" s="2600"/>
      <c r="X491" s="2600"/>
      <c r="Y491" s="2600"/>
      <c r="Z491" s="1949"/>
      <c r="AA491" s="1950"/>
      <c r="AB491" s="1957"/>
      <c r="AC491" s="1951"/>
      <c r="AD491" s="1951"/>
      <c r="AE491" s="1958"/>
      <c r="AF491" s="2608"/>
      <c r="AG491" s="2602"/>
      <c r="AH491" s="2602"/>
      <c r="AI491" s="2608"/>
      <c r="AJ491" s="2602"/>
      <c r="AK491" s="2602"/>
      <c r="AL491" s="1900"/>
      <c r="AM491" s="1738"/>
      <c r="AN491" s="1738"/>
      <c r="AO491" s="1738"/>
      <c r="AP491" s="1738"/>
      <c r="AQ491" s="1738"/>
      <c r="AR491" s="1738"/>
      <c r="AS491" s="1738"/>
      <c r="AT491" s="1738"/>
      <c r="AU491" s="1738"/>
      <c r="AV491" s="1738"/>
      <c r="AW491" s="1738"/>
      <c r="AX491" s="1738"/>
      <c r="AY491" s="1738"/>
      <c r="AZ491" s="1738"/>
      <c r="BA491" s="1738"/>
      <c r="BB491" s="1738"/>
      <c r="BC491" s="1738"/>
      <c r="BD491" s="1738"/>
      <c r="BE491" s="1738"/>
      <c r="BF491" s="1738"/>
    </row>
    <row r="492" spans="1:58" ht="0.75" customHeight="1">
      <c r="A492" s="1084" t="s">
        <v>992</v>
      </c>
      <c r="B492" s="1084"/>
      <c r="C492" s="1084"/>
      <c r="D492" s="1078"/>
      <c r="E492" s="1088"/>
      <c r="F492" s="2604"/>
      <c r="G492" s="2601"/>
      <c r="H492" s="2609"/>
      <c r="I492" s="2610"/>
      <c r="J492" s="2600"/>
      <c r="K492" s="2600"/>
      <c r="L492" s="2602"/>
      <c r="M492" s="2453"/>
      <c r="N492" s="1950"/>
      <c r="O492" s="1950"/>
      <c r="P492" s="1957"/>
      <c r="Q492" s="1950"/>
      <c r="R492" s="1950"/>
      <c r="S492" s="1950"/>
      <c r="T492" s="1950"/>
      <c r="U492" s="1950"/>
      <c r="V492" s="1950"/>
      <c r="W492" s="1950"/>
      <c r="X492" s="1950"/>
      <c r="Y492" s="1950"/>
      <c r="Z492" s="1950"/>
      <c r="AA492" s="1950"/>
      <c r="AB492" s="1950"/>
      <c r="AC492" s="1950"/>
      <c r="AD492" s="1950"/>
      <c r="AE492" s="1959"/>
      <c r="AF492" s="2608"/>
      <c r="AG492" s="2602"/>
      <c r="AH492" s="2602"/>
      <c r="AI492" s="2608"/>
      <c r="AJ492" s="2602"/>
      <c r="AK492" s="2602"/>
      <c r="AL492" s="1900"/>
      <c r="AM492" s="1738"/>
      <c r="AN492" s="1738"/>
      <c r="AO492" s="1738"/>
      <c r="AP492" s="1738"/>
      <c r="AQ492" s="1738"/>
      <c r="AR492" s="1738"/>
      <c r="AS492" s="1738"/>
      <c r="AT492" s="1738"/>
      <c r="AU492" s="1738"/>
      <c r="AV492" s="1738"/>
      <c r="AW492" s="1738"/>
      <c r="AX492" s="1738"/>
      <c r="AY492" s="1738"/>
      <c r="AZ492" s="1738"/>
      <c r="BA492" s="1738"/>
      <c r="BB492" s="1738"/>
      <c r="BC492" s="1738"/>
      <c r="BD492" s="1738"/>
      <c r="BE492" s="1738"/>
      <c r="BF492" s="1738"/>
    </row>
    <row r="493" spans="1:58" ht="11.25" customHeight="1">
      <c r="A493" s="1084" t="s">
        <v>992</v>
      </c>
      <c r="B493" s="1084" t="s">
        <v>1031</v>
      </c>
      <c r="C493" s="1084"/>
      <c r="D493" s="1078"/>
      <c r="E493" s="1088"/>
      <c r="F493" s="2605"/>
      <c r="G493" s="2590" t="s">
        <v>686</v>
      </c>
      <c r="H493" s="2601" t="s">
        <v>108</v>
      </c>
      <c r="I493" s="2613" t="s">
        <v>1032</v>
      </c>
      <c r="J493" s="2624" t="s">
        <v>1033</v>
      </c>
      <c r="K493" s="2615" t="s">
        <v>1034</v>
      </c>
      <c r="L493" s="2338" t="s">
        <v>19</v>
      </c>
      <c r="M493" s="2339"/>
      <c r="N493" s="1898"/>
      <c r="O493" s="1095" t="s">
        <v>373</v>
      </c>
      <c r="P493" s="1096"/>
      <c r="Q493" s="1096"/>
      <c r="R493" s="1096"/>
      <c r="S493" s="1096"/>
      <c r="T493" s="1096"/>
      <c r="U493" s="1096"/>
      <c r="V493" s="1096"/>
      <c r="W493" s="1096"/>
      <c r="X493" s="1096"/>
      <c r="Y493" s="1096"/>
      <c r="Z493" s="1096"/>
      <c r="AA493" s="1096"/>
      <c r="AB493" s="1096"/>
      <c r="AC493" s="1096"/>
      <c r="AD493" s="1096"/>
      <c r="AE493" s="1096"/>
      <c r="AF493" s="2616">
        <v>11</v>
      </c>
      <c r="AG493" s="2617" t="s">
        <v>1026</v>
      </c>
      <c r="AH493" s="2617" t="s">
        <v>1035</v>
      </c>
      <c r="AI493" s="2616"/>
      <c r="AJ493" s="2617"/>
      <c r="AK493" s="2617"/>
      <c r="AL493" s="1900"/>
      <c r="AM493" s="1738"/>
      <c r="AN493" s="1738"/>
      <c r="AO493" s="1738"/>
      <c r="AP493" s="1738"/>
      <c r="AQ493" s="1738"/>
      <c r="AR493" s="1738"/>
      <c r="AS493" s="1738"/>
      <c r="AT493" s="1738"/>
      <c r="AU493" s="1738"/>
      <c r="AV493" s="1738"/>
      <c r="AW493" s="1738"/>
      <c r="AX493" s="1738"/>
      <c r="AY493" s="1738"/>
      <c r="AZ493" s="1738"/>
      <c r="BA493" s="1738"/>
      <c r="BB493" s="1738"/>
      <c r="BC493" s="1738"/>
      <c r="BD493" s="1738"/>
      <c r="BE493" s="1738"/>
      <c r="BF493" s="1738"/>
    </row>
    <row r="494" spans="1:58" ht="11.25" customHeight="1">
      <c r="A494" s="1084" t="s">
        <v>992</v>
      </c>
      <c r="B494" s="1084"/>
      <c r="C494" s="1084"/>
      <c r="D494" s="1078"/>
      <c r="E494" s="1088"/>
      <c r="F494" s="2605"/>
      <c r="G494" s="2606"/>
      <c r="H494" s="2601" t="s">
        <v>373</v>
      </c>
      <c r="I494" s="2613"/>
      <c r="J494" s="2624"/>
      <c r="K494" s="2615"/>
      <c r="L494" s="2338"/>
      <c r="M494" s="2339"/>
      <c r="N494" s="2618"/>
      <c r="O494" s="2619">
        <v>1</v>
      </c>
      <c r="P494" s="2620" t="s">
        <v>19</v>
      </c>
      <c r="Q494" s="2573" t="s">
        <v>22</v>
      </c>
      <c r="R494" s="2573" t="s">
        <v>22</v>
      </c>
      <c r="S494" s="2573" t="s">
        <v>22</v>
      </c>
      <c r="T494" s="2573" t="s">
        <v>22</v>
      </c>
      <c r="U494" s="2573" t="s">
        <v>22</v>
      </c>
      <c r="V494" s="2573" t="s">
        <v>22</v>
      </c>
      <c r="W494" s="2573" t="s">
        <v>22</v>
      </c>
      <c r="X494" s="2573" t="s">
        <v>22</v>
      </c>
      <c r="Y494" s="2573"/>
      <c r="Z494" s="1093"/>
      <c r="AA494" s="1094"/>
      <c r="AB494" s="1094"/>
      <c r="AC494" s="1098"/>
      <c r="AD494" s="1098"/>
      <c r="AE494" s="1099"/>
      <c r="AF494" s="2616"/>
      <c r="AG494" s="2617"/>
      <c r="AH494" s="2617"/>
      <c r="AI494" s="2616"/>
      <c r="AJ494" s="2617"/>
      <c r="AK494" s="2617"/>
      <c r="AL494" s="1900"/>
      <c r="AM494" s="1738"/>
      <c r="AN494" s="1738"/>
      <c r="AO494" s="1738"/>
      <c r="AP494" s="1738"/>
      <c r="AQ494" s="1738"/>
      <c r="AR494" s="1738"/>
      <c r="AS494" s="1738"/>
      <c r="AT494" s="1738"/>
      <c r="AU494" s="1738"/>
      <c r="AV494" s="1738"/>
      <c r="AW494" s="1738"/>
      <c r="AX494" s="1738"/>
      <c r="AY494" s="1738"/>
      <c r="AZ494" s="1738"/>
      <c r="BA494" s="1738"/>
      <c r="BB494" s="1738"/>
      <c r="BC494" s="1738"/>
      <c r="BD494" s="1738"/>
      <c r="BE494" s="1738"/>
      <c r="BF494" s="1738"/>
    </row>
    <row r="495" spans="1:58" ht="11.25" customHeight="1">
      <c r="A495" s="1084" t="s">
        <v>992</v>
      </c>
      <c r="B495" s="1084"/>
      <c r="C495" s="1084"/>
      <c r="D495" s="1078"/>
      <c r="E495" s="1088"/>
      <c r="F495" s="2605"/>
      <c r="G495" s="2606"/>
      <c r="H495" s="2601" t="s">
        <v>373</v>
      </c>
      <c r="I495" s="2613"/>
      <c r="J495" s="2624"/>
      <c r="K495" s="2615"/>
      <c r="L495" s="2338"/>
      <c r="M495" s="2339"/>
      <c r="N495" s="2618"/>
      <c r="O495" s="2619"/>
      <c r="P495" s="2621"/>
      <c r="Q495" s="2573"/>
      <c r="R495" s="2573"/>
      <c r="S495" s="2623"/>
      <c r="T495" s="2573"/>
      <c r="U495" s="2573"/>
      <c r="V495" s="2573"/>
      <c r="W495" s="2573"/>
      <c r="X495" s="2573"/>
      <c r="Y495" s="2573"/>
      <c r="Z495" s="1743"/>
      <c r="AA495" s="1711">
        <v>1</v>
      </c>
      <c r="AB495" s="1097" t="s">
        <v>1028</v>
      </c>
      <c r="AC495" s="1087">
        <v>304075.761988112</v>
      </c>
      <c r="AD495" s="1097" t="str">
        <f>AB495</f>
        <v xml:space="preserve">  Прочие</v>
      </c>
      <c r="AE495" s="1087"/>
      <c r="AF495" s="2616"/>
      <c r="AG495" s="2617"/>
      <c r="AH495" s="2617"/>
      <c r="AI495" s="2616"/>
      <c r="AJ495" s="2617"/>
      <c r="AK495" s="2617"/>
      <c r="AL495" s="1900"/>
      <c r="AM495" s="1738"/>
      <c r="AN495" s="1738"/>
      <c r="AO495" s="1738"/>
      <c r="AP495" s="1738"/>
      <c r="AQ495" s="1738"/>
      <c r="AR495" s="1738"/>
      <c r="AS495" s="1738"/>
      <c r="AT495" s="1738"/>
      <c r="AU495" s="1738"/>
      <c r="AV495" s="1738"/>
      <c r="AW495" s="1738"/>
      <c r="AX495" s="1738"/>
      <c r="AY495" s="1738"/>
      <c r="AZ495" s="1738"/>
      <c r="BA495" s="1738"/>
      <c r="BB495" s="1738"/>
      <c r="BC495" s="1738"/>
      <c r="BD495" s="1738"/>
      <c r="BE495" s="1738"/>
      <c r="BF495" s="1738"/>
    </row>
    <row r="496" spans="1:58" ht="11.25" customHeight="1">
      <c r="A496" s="1084" t="s">
        <v>992</v>
      </c>
      <c r="B496" s="1084"/>
      <c r="C496" s="1084"/>
      <c r="D496" s="1078"/>
      <c r="E496" s="1088"/>
      <c r="F496" s="2605"/>
      <c r="G496" s="2606"/>
      <c r="H496" s="2601" t="s">
        <v>373</v>
      </c>
      <c r="I496" s="2613"/>
      <c r="J496" s="2624"/>
      <c r="K496" s="2615"/>
      <c r="L496" s="2338"/>
      <c r="M496" s="2339"/>
      <c r="N496" s="2618"/>
      <c r="O496" s="2619"/>
      <c r="P496" s="2622"/>
      <c r="Q496" s="2573"/>
      <c r="R496" s="2573"/>
      <c r="S496" s="2623"/>
      <c r="T496" s="2573"/>
      <c r="U496" s="2573"/>
      <c r="V496" s="2573"/>
      <c r="W496" s="2573"/>
      <c r="X496" s="2573"/>
      <c r="Y496" s="2573"/>
      <c r="Z496" s="1093"/>
      <c r="AA496" s="1094"/>
      <c r="AB496" s="1159" t="s">
        <v>1029</v>
      </c>
      <c r="AC496" s="1098"/>
      <c r="AD496" s="1098"/>
      <c r="AE496" s="1100"/>
      <c r="AF496" s="2616"/>
      <c r="AG496" s="2617"/>
      <c r="AH496" s="2617"/>
      <c r="AI496" s="2616"/>
      <c r="AJ496" s="2617"/>
      <c r="AK496" s="2617"/>
      <c r="AL496" s="1900"/>
      <c r="AM496" s="1738"/>
      <c r="AN496" s="1738"/>
      <c r="AO496" s="1738"/>
      <c r="AP496" s="1738"/>
      <c r="AQ496" s="1738"/>
      <c r="AR496" s="1738"/>
      <c r="AS496" s="1738"/>
      <c r="AT496" s="1738"/>
      <c r="AU496" s="1738"/>
      <c r="AV496" s="1738"/>
      <c r="AW496" s="1738"/>
      <c r="AX496" s="1738"/>
      <c r="AY496" s="1738"/>
      <c r="AZ496" s="1738"/>
      <c r="BA496" s="1738"/>
      <c r="BB496" s="1738"/>
      <c r="BC496" s="1738"/>
      <c r="BD496" s="1738"/>
      <c r="BE496" s="1738"/>
      <c r="BF496" s="1738"/>
    </row>
    <row r="497" spans="1:58" ht="11.25" customHeight="1">
      <c r="A497" s="1084" t="s">
        <v>992</v>
      </c>
      <c r="B497" s="1084"/>
      <c r="C497" s="1084"/>
      <c r="D497" s="1078"/>
      <c r="E497" s="1088"/>
      <c r="F497" s="2605"/>
      <c r="G497" s="2606"/>
      <c r="H497" s="2601" t="s">
        <v>373</v>
      </c>
      <c r="I497" s="2613"/>
      <c r="J497" s="2624"/>
      <c r="K497" s="2615"/>
      <c r="L497" s="2338"/>
      <c r="M497" s="2339"/>
      <c r="N497" s="1093"/>
      <c r="O497" s="1094"/>
      <c r="P497" s="1086" t="s">
        <v>1030</v>
      </c>
      <c r="Q497" s="1094"/>
      <c r="R497" s="1094"/>
      <c r="S497" s="1094"/>
      <c r="T497" s="1094"/>
      <c r="U497" s="1094"/>
      <c r="V497" s="1094"/>
      <c r="W497" s="1094"/>
      <c r="X497" s="1094"/>
      <c r="Y497" s="1094"/>
      <c r="Z497" s="1094"/>
      <c r="AA497" s="1094"/>
      <c r="AB497" s="1094"/>
      <c r="AC497" s="1094"/>
      <c r="AD497" s="1094"/>
      <c r="AE497" s="1101"/>
      <c r="AF497" s="2616"/>
      <c r="AG497" s="2617"/>
      <c r="AH497" s="2617"/>
      <c r="AI497" s="2616"/>
      <c r="AJ497" s="2617"/>
      <c r="AK497" s="2617"/>
      <c r="AL497" s="1900"/>
      <c r="AM497" s="1738"/>
      <c r="AN497" s="1738"/>
      <c r="AO497" s="1738"/>
      <c r="AP497" s="1738"/>
      <c r="AQ497" s="1738"/>
      <c r="AR497" s="1738"/>
      <c r="AS497" s="1738"/>
      <c r="AT497" s="1738"/>
      <c r="AU497" s="1738"/>
      <c r="AV497" s="1738"/>
      <c r="AW497" s="1738"/>
      <c r="AX497" s="1738"/>
      <c r="AY497" s="1738"/>
      <c r="AZ497" s="1738"/>
      <c r="BA497" s="1738"/>
      <c r="BB497" s="1738"/>
      <c r="BC497" s="1738"/>
      <c r="BD497" s="1738"/>
      <c r="BE497" s="1738"/>
      <c r="BF497" s="1738"/>
    </row>
    <row r="498" spans="1:58" ht="11.25" customHeight="1">
      <c r="A498" s="1084" t="s">
        <v>992</v>
      </c>
      <c r="B498" s="1084" t="s">
        <v>1031</v>
      </c>
      <c r="C498" s="1084"/>
      <c r="D498" s="1078"/>
      <c r="E498" s="1088"/>
      <c r="F498" s="2605"/>
      <c r="G498" s="2590" t="s">
        <v>686</v>
      </c>
      <c r="H498" s="2601" t="s">
        <v>109</v>
      </c>
      <c r="I498" s="2613" t="s">
        <v>1032</v>
      </c>
      <c r="J498" s="2624" t="s">
        <v>1033</v>
      </c>
      <c r="K498" s="2615" t="s">
        <v>1082</v>
      </c>
      <c r="L498" s="2338" t="s">
        <v>19</v>
      </c>
      <c r="M498" s="2339"/>
      <c r="N498" s="1898"/>
      <c r="O498" s="1095" t="s">
        <v>373</v>
      </c>
      <c r="P498" s="1096"/>
      <c r="Q498" s="1096"/>
      <c r="R498" s="1096"/>
      <c r="S498" s="1096"/>
      <c r="T498" s="1096"/>
      <c r="U498" s="1096"/>
      <c r="V498" s="1096"/>
      <c r="W498" s="1096"/>
      <c r="X498" s="1096"/>
      <c r="Y498" s="1096"/>
      <c r="Z498" s="1096"/>
      <c r="AA498" s="1096"/>
      <c r="AB498" s="1096"/>
      <c r="AC498" s="1096"/>
      <c r="AD498" s="1096"/>
      <c r="AE498" s="1096"/>
      <c r="AF498" s="2616">
        <v>1</v>
      </c>
      <c r="AG498" s="2617" t="s">
        <v>1026</v>
      </c>
      <c r="AH498" s="2617" t="s">
        <v>1035</v>
      </c>
      <c r="AI498" s="2616"/>
      <c r="AJ498" s="2617"/>
      <c r="AK498" s="2617"/>
      <c r="AL498" s="1900"/>
      <c r="AM498" s="1738"/>
      <c r="AN498" s="1738"/>
      <c r="AO498" s="1738"/>
      <c r="AP498" s="1738"/>
      <c r="AQ498" s="1738"/>
      <c r="AR498" s="1738"/>
      <c r="AS498" s="1738"/>
      <c r="AT498" s="1738"/>
      <c r="AU498" s="1738"/>
      <c r="AV498" s="1738"/>
      <c r="AW498" s="1738"/>
      <c r="AX498" s="1738"/>
      <c r="AY498" s="1738"/>
      <c r="AZ498" s="1738"/>
      <c r="BA498" s="1738"/>
      <c r="BB498" s="1738"/>
      <c r="BC498" s="1738"/>
      <c r="BD498" s="1738"/>
      <c r="BE498" s="1738"/>
      <c r="BF498" s="1738"/>
    </row>
    <row r="499" spans="1:58" ht="11.25" customHeight="1">
      <c r="A499" s="1084" t="s">
        <v>992</v>
      </c>
      <c r="B499" s="1084"/>
      <c r="C499" s="1084"/>
      <c r="D499" s="1078"/>
      <c r="E499" s="1088"/>
      <c r="F499" s="2605"/>
      <c r="G499" s="2606"/>
      <c r="H499" s="2601" t="s">
        <v>108</v>
      </c>
      <c r="I499" s="2613"/>
      <c r="J499" s="2624"/>
      <c r="K499" s="2615"/>
      <c r="L499" s="2338"/>
      <c r="M499" s="2339"/>
      <c r="N499" s="2618"/>
      <c r="O499" s="2619">
        <v>1</v>
      </c>
      <c r="P499" s="2620" t="s">
        <v>19</v>
      </c>
      <c r="Q499" s="2573" t="s">
        <v>22</v>
      </c>
      <c r="R499" s="2573" t="s">
        <v>22</v>
      </c>
      <c r="S499" s="2573" t="s">
        <v>22</v>
      </c>
      <c r="T499" s="2573" t="s">
        <v>22</v>
      </c>
      <c r="U499" s="2573" t="s">
        <v>22</v>
      </c>
      <c r="V499" s="2573" t="s">
        <v>22</v>
      </c>
      <c r="W499" s="2573" t="s">
        <v>22</v>
      </c>
      <c r="X499" s="2573" t="s">
        <v>22</v>
      </c>
      <c r="Y499" s="2573"/>
      <c r="Z499" s="1093"/>
      <c r="AA499" s="1094"/>
      <c r="AB499" s="1094"/>
      <c r="AC499" s="1098"/>
      <c r="AD499" s="1098"/>
      <c r="AE499" s="1099"/>
      <c r="AF499" s="2616"/>
      <c r="AG499" s="2617"/>
      <c r="AH499" s="2617"/>
      <c r="AI499" s="2616"/>
      <c r="AJ499" s="2617"/>
      <c r="AK499" s="2617"/>
      <c r="AL499" s="1900"/>
      <c r="AM499" s="1738"/>
      <c r="AN499" s="1738"/>
      <c r="AO499" s="1738"/>
      <c r="AP499" s="1738"/>
      <c r="AQ499" s="1738"/>
      <c r="AR499" s="1738"/>
      <c r="AS499" s="1738"/>
      <c r="AT499" s="1738"/>
      <c r="AU499" s="1738"/>
      <c r="AV499" s="1738"/>
      <c r="AW499" s="1738"/>
      <c r="AX499" s="1738"/>
      <c r="AY499" s="1738"/>
      <c r="AZ499" s="1738"/>
      <c r="BA499" s="1738"/>
      <c r="BB499" s="1738"/>
      <c r="BC499" s="1738"/>
      <c r="BD499" s="1738"/>
      <c r="BE499" s="1738"/>
      <c r="BF499" s="1738"/>
    </row>
    <row r="500" spans="1:58" ht="11.25" customHeight="1">
      <c r="A500" s="1084" t="s">
        <v>992</v>
      </c>
      <c r="B500" s="1084"/>
      <c r="C500" s="1084"/>
      <c r="D500" s="1078"/>
      <c r="E500" s="1088"/>
      <c r="F500" s="2605"/>
      <c r="G500" s="2606"/>
      <c r="H500" s="2601" t="s">
        <v>108</v>
      </c>
      <c r="I500" s="2613"/>
      <c r="J500" s="2624"/>
      <c r="K500" s="2615"/>
      <c r="L500" s="2338"/>
      <c r="M500" s="2339"/>
      <c r="N500" s="2618"/>
      <c r="O500" s="2619"/>
      <c r="P500" s="2621"/>
      <c r="Q500" s="2573"/>
      <c r="R500" s="2573"/>
      <c r="S500" s="2623"/>
      <c r="T500" s="2573"/>
      <c r="U500" s="2573"/>
      <c r="V500" s="2573"/>
      <c r="W500" s="2573"/>
      <c r="X500" s="2573"/>
      <c r="Y500" s="2573"/>
      <c r="Z500" s="1743"/>
      <c r="AA500" s="1711">
        <v>1</v>
      </c>
      <c r="AB500" s="1097" t="s">
        <v>1036</v>
      </c>
      <c r="AC500" s="1087">
        <v>42794.003443675603</v>
      </c>
      <c r="AD500" s="1097" t="str">
        <f>AB500</f>
        <v xml:space="preserve">      Прочие амортизационные отчисления</v>
      </c>
      <c r="AE500" s="1087"/>
      <c r="AF500" s="2616"/>
      <c r="AG500" s="2617"/>
      <c r="AH500" s="2617"/>
      <c r="AI500" s="2616"/>
      <c r="AJ500" s="2617"/>
      <c r="AK500" s="2617"/>
      <c r="AL500" s="1900"/>
      <c r="AM500" s="1738"/>
      <c r="AN500" s="1738"/>
      <c r="AO500" s="1738"/>
      <c r="AP500" s="1738"/>
      <c r="AQ500" s="1738"/>
      <c r="AR500" s="1738"/>
      <c r="AS500" s="1738"/>
      <c r="AT500" s="1738"/>
      <c r="AU500" s="1738"/>
      <c r="AV500" s="1738"/>
      <c r="AW500" s="1738"/>
      <c r="AX500" s="1738"/>
      <c r="AY500" s="1738"/>
      <c r="AZ500" s="1738"/>
      <c r="BA500" s="1738"/>
      <c r="BB500" s="1738"/>
      <c r="BC500" s="1738"/>
      <c r="BD500" s="1738"/>
      <c r="BE500" s="1738"/>
      <c r="BF500" s="1738"/>
    </row>
    <row r="501" spans="1:58" ht="11.25" customHeight="1">
      <c r="A501" s="1084" t="s">
        <v>992</v>
      </c>
      <c r="B501" s="1084"/>
      <c r="C501" s="1084"/>
      <c r="D501" s="1078"/>
      <c r="E501" s="1088"/>
      <c r="F501" s="2606"/>
      <c r="G501" s="2606"/>
      <c r="H501" s="2606"/>
      <c r="I501" s="2606"/>
      <c r="J501" s="2606"/>
      <c r="K501" s="2606"/>
      <c r="L501" s="2606"/>
      <c r="M501" s="2606"/>
      <c r="N501" s="2606"/>
      <c r="O501" s="2606"/>
      <c r="P501" s="2606"/>
      <c r="Q501" s="2606"/>
      <c r="R501" s="2606"/>
      <c r="S501" s="2606"/>
      <c r="T501" s="2606"/>
      <c r="U501" s="2606"/>
      <c r="V501" s="2606"/>
      <c r="W501" s="2606"/>
      <c r="X501" s="2606"/>
      <c r="Y501" s="2606"/>
      <c r="Z501" s="2054" t="s">
        <v>686</v>
      </c>
      <c r="AA501" s="1731" t="s">
        <v>109</v>
      </c>
      <c r="AB501" s="1097" t="s">
        <v>1028</v>
      </c>
      <c r="AC501" s="1087">
        <v>15363.1354663243</v>
      </c>
      <c r="AD501" s="1097" t="str">
        <f>AB501</f>
        <v xml:space="preserve">  Прочие</v>
      </c>
      <c r="AE501" s="1087"/>
      <c r="AF501" s="2625"/>
      <c r="AG501" s="2626"/>
      <c r="AH501" s="2626"/>
      <c r="AI501" s="2625"/>
      <c r="AJ501" s="2626"/>
      <c r="AK501" s="2627"/>
      <c r="AL501" s="1900"/>
      <c r="AM501" s="1738"/>
      <c r="AN501" s="1738"/>
      <c r="AO501" s="1738"/>
      <c r="AP501" s="1738"/>
      <c r="AQ501" s="1738"/>
      <c r="AR501" s="1738"/>
      <c r="AS501" s="1738"/>
      <c r="AT501" s="1738"/>
      <c r="AU501" s="1738"/>
      <c r="AV501" s="1738"/>
      <c r="AW501" s="1738"/>
      <c r="AX501" s="1738"/>
      <c r="AY501" s="1738"/>
      <c r="AZ501" s="1738"/>
      <c r="BA501" s="1738"/>
      <c r="BB501" s="1738"/>
      <c r="BC501" s="1738"/>
      <c r="BD501" s="1738"/>
      <c r="BE501" s="1738"/>
      <c r="BF501" s="1738"/>
    </row>
    <row r="502" spans="1:58" ht="11.25" customHeight="1">
      <c r="A502" s="1084" t="s">
        <v>992</v>
      </c>
      <c r="B502" s="1084"/>
      <c r="C502" s="1084"/>
      <c r="D502" s="1078"/>
      <c r="E502" s="1088"/>
      <c r="F502" s="2605"/>
      <c r="G502" s="2606"/>
      <c r="H502" s="2601" t="s">
        <v>108</v>
      </c>
      <c r="I502" s="2613"/>
      <c r="J502" s="2624"/>
      <c r="K502" s="2615"/>
      <c r="L502" s="2338"/>
      <c r="M502" s="2339"/>
      <c r="N502" s="2618"/>
      <c r="O502" s="2619"/>
      <c r="P502" s="2622"/>
      <c r="Q502" s="2573"/>
      <c r="R502" s="2573"/>
      <c r="S502" s="2623"/>
      <c r="T502" s="2573"/>
      <c r="U502" s="2573"/>
      <c r="V502" s="2573"/>
      <c r="W502" s="2573"/>
      <c r="X502" s="2573"/>
      <c r="Y502" s="2573"/>
      <c r="Z502" s="1093"/>
      <c r="AA502" s="1094"/>
      <c r="AB502" s="1159" t="s">
        <v>1029</v>
      </c>
      <c r="AC502" s="1098"/>
      <c r="AD502" s="1098"/>
      <c r="AE502" s="1100"/>
      <c r="AF502" s="2616"/>
      <c r="AG502" s="2617"/>
      <c r="AH502" s="2617"/>
      <c r="AI502" s="2616"/>
      <c r="AJ502" s="2617"/>
      <c r="AK502" s="2617"/>
      <c r="AL502" s="1900"/>
      <c r="AM502" s="1738"/>
      <c r="AN502" s="1738"/>
      <c r="AO502" s="1738"/>
      <c r="AP502" s="1738"/>
      <c r="AQ502" s="1738"/>
      <c r="AR502" s="1738"/>
      <c r="AS502" s="1738"/>
      <c r="AT502" s="1738"/>
      <c r="AU502" s="1738"/>
      <c r="AV502" s="1738"/>
      <c r="AW502" s="1738"/>
      <c r="AX502" s="1738"/>
      <c r="AY502" s="1738"/>
      <c r="AZ502" s="1738"/>
      <c r="BA502" s="1738"/>
      <c r="BB502" s="1738"/>
      <c r="BC502" s="1738"/>
      <c r="BD502" s="1738"/>
      <c r="BE502" s="1738"/>
      <c r="BF502" s="1738"/>
    </row>
    <row r="503" spans="1:58" ht="39.75" customHeight="1">
      <c r="A503" s="1084" t="s">
        <v>992</v>
      </c>
      <c r="B503" s="1084"/>
      <c r="C503" s="1084"/>
      <c r="D503" s="1078"/>
      <c r="E503" s="1088"/>
      <c r="F503" s="2605"/>
      <c r="G503" s="2606"/>
      <c r="H503" s="2601" t="s">
        <v>108</v>
      </c>
      <c r="I503" s="2613"/>
      <c r="J503" s="2624"/>
      <c r="K503" s="2615"/>
      <c r="L503" s="2338"/>
      <c r="M503" s="2339"/>
      <c r="N503" s="1093"/>
      <c r="O503" s="1094"/>
      <c r="P503" s="1086" t="s">
        <v>1030</v>
      </c>
      <c r="Q503" s="1094"/>
      <c r="R503" s="1094"/>
      <c r="S503" s="1094"/>
      <c r="T503" s="1094"/>
      <c r="U503" s="1094"/>
      <c r="V503" s="1094"/>
      <c r="W503" s="1094"/>
      <c r="X503" s="1094"/>
      <c r="Y503" s="1094"/>
      <c r="Z503" s="1094"/>
      <c r="AA503" s="1094"/>
      <c r="AB503" s="1094"/>
      <c r="AC503" s="1094"/>
      <c r="AD503" s="1094"/>
      <c r="AE503" s="1101"/>
      <c r="AF503" s="2616"/>
      <c r="AG503" s="2617"/>
      <c r="AH503" s="2617"/>
      <c r="AI503" s="2616"/>
      <c r="AJ503" s="2617"/>
      <c r="AK503" s="2617"/>
      <c r="AL503" s="1900"/>
      <c r="AM503" s="1738"/>
      <c r="AN503" s="1738"/>
      <c r="AO503" s="1738"/>
      <c r="AP503" s="1738"/>
      <c r="AQ503" s="1738"/>
      <c r="AR503" s="1738"/>
      <c r="AS503" s="1738"/>
      <c r="AT503" s="1738"/>
      <c r="AU503" s="1738"/>
      <c r="AV503" s="1738"/>
      <c r="AW503" s="1738"/>
      <c r="AX503" s="1738"/>
      <c r="AY503" s="1738"/>
      <c r="AZ503" s="1738"/>
      <c r="BA503" s="1738"/>
      <c r="BB503" s="1738"/>
      <c r="BC503" s="1738"/>
      <c r="BD503" s="1738"/>
      <c r="BE503" s="1738"/>
      <c r="BF503" s="1738"/>
    </row>
    <row r="504" spans="1:58" ht="11.25" customHeight="1">
      <c r="A504" s="1084" t="s">
        <v>992</v>
      </c>
      <c r="B504" s="1084" t="s">
        <v>1031</v>
      </c>
      <c r="C504" s="1084"/>
      <c r="D504" s="1078"/>
      <c r="E504" s="1088"/>
      <c r="F504" s="2605"/>
      <c r="G504" s="2590" t="s">
        <v>686</v>
      </c>
      <c r="H504" s="2601" t="s">
        <v>92</v>
      </c>
      <c r="I504" s="2613" t="s">
        <v>1032</v>
      </c>
      <c r="J504" s="2624" t="s">
        <v>1033</v>
      </c>
      <c r="K504" s="2615" t="s">
        <v>1065</v>
      </c>
      <c r="L504" s="2338" t="s">
        <v>19</v>
      </c>
      <c r="M504" s="2339"/>
      <c r="N504" s="1898"/>
      <c r="O504" s="1095" t="s">
        <v>373</v>
      </c>
      <c r="P504" s="1096"/>
      <c r="Q504" s="1096"/>
      <c r="R504" s="1096"/>
      <c r="S504" s="1096"/>
      <c r="T504" s="1096"/>
      <c r="U504" s="1096"/>
      <c r="V504" s="1096"/>
      <c r="W504" s="1096"/>
      <c r="X504" s="1096"/>
      <c r="Y504" s="1096"/>
      <c r="Z504" s="1096"/>
      <c r="AA504" s="1096"/>
      <c r="AB504" s="1096"/>
      <c r="AC504" s="1096"/>
      <c r="AD504" s="1096"/>
      <c r="AE504" s="1096"/>
      <c r="AF504" s="2616">
        <v>4</v>
      </c>
      <c r="AG504" s="2617" t="s">
        <v>1026</v>
      </c>
      <c r="AH504" s="2617" t="s">
        <v>1035</v>
      </c>
      <c r="AI504" s="2616"/>
      <c r="AJ504" s="2617"/>
      <c r="AK504" s="2617"/>
      <c r="AL504" s="1900"/>
      <c r="AM504" s="1738"/>
      <c r="AN504" s="1738"/>
      <c r="AO504" s="1738"/>
      <c r="AP504" s="1738"/>
      <c r="AQ504" s="1738"/>
      <c r="AR504" s="1738"/>
      <c r="AS504" s="1738"/>
      <c r="AT504" s="1738"/>
      <c r="AU504" s="1738"/>
      <c r="AV504" s="1738"/>
      <c r="AW504" s="1738"/>
      <c r="AX504" s="1738"/>
      <c r="AY504" s="1738"/>
      <c r="AZ504" s="1738"/>
      <c r="BA504" s="1738"/>
      <c r="BB504" s="1738"/>
      <c r="BC504" s="1738"/>
      <c r="BD504" s="1738"/>
      <c r="BE504" s="1738"/>
      <c r="BF504" s="1738"/>
    </row>
    <row r="505" spans="1:58" ht="11.25" customHeight="1">
      <c r="A505" s="1084" t="s">
        <v>992</v>
      </c>
      <c r="B505" s="1084"/>
      <c r="C505" s="1084"/>
      <c r="D505" s="1078"/>
      <c r="E505" s="1088"/>
      <c r="F505" s="2605"/>
      <c r="G505" s="2606"/>
      <c r="H505" s="2601" t="s">
        <v>109</v>
      </c>
      <c r="I505" s="2613"/>
      <c r="J505" s="2624"/>
      <c r="K505" s="2615"/>
      <c r="L505" s="2338"/>
      <c r="M505" s="2339"/>
      <c r="N505" s="2618"/>
      <c r="O505" s="2619">
        <v>1</v>
      </c>
      <c r="P505" s="2620" t="s">
        <v>19</v>
      </c>
      <c r="Q505" s="2573" t="s">
        <v>22</v>
      </c>
      <c r="R505" s="2573" t="s">
        <v>22</v>
      </c>
      <c r="S505" s="2573" t="s">
        <v>22</v>
      </c>
      <c r="T505" s="2573" t="s">
        <v>22</v>
      </c>
      <c r="U505" s="2573" t="s">
        <v>22</v>
      </c>
      <c r="V505" s="2573" t="s">
        <v>22</v>
      </c>
      <c r="W505" s="2573" t="s">
        <v>22</v>
      </c>
      <c r="X505" s="2573" t="s">
        <v>22</v>
      </c>
      <c r="Y505" s="2573"/>
      <c r="Z505" s="1093"/>
      <c r="AA505" s="1094"/>
      <c r="AB505" s="1094"/>
      <c r="AC505" s="1098"/>
      <c r="AD505" s="1098"/>
      <c r="AE505" s="1099"/>
      <c r="AF505" s="2616"/>
      <c r="AG505" s="2617"/>
      <c r="AH505" s="2617"/>
      <c r="AI505" s="2616"/>
      <c r="AJ505" s="2617"/>
      <c r="AK505" s="2617"/>
      <c r="AL505" s="1900"/>
      <c r="AM505" s="1738"/>
      <c r="AN505" s="1738"/>
      <c r="AO505" s="1738"/>
      <c r="AP505" s="1738"/>
      <c r="AQ505" s="1738"/>
      <c r="AR505" s="1738"/>
      <c r="AS505" s="1738"/>
      <c r="AT505" s="1738"/>
      <c r="AU505" s="1738"/>
      <c r="AV505" s="1738"/>
      <c r="AW505" s="1738"/>
      <c r="AX505" s="1738"/>
      <c r="AY505" s="1738"/>
      <c r="AZ505" s="1738"/>
      <c r="BA505" s="1738"/>
      <c r="BB505" s="1738"/>
      <c r="BC505" s="1738"/>
      <c r="BD505" s="1738"/>
      <c r="BE505" s="1738"/>
      <c r="BF505" s="1738"/>
    </row>
    <row r="506" spans="1:58" ht="11.25" customHeight="1">
      <c r="A506" s="1084" t="s">
        <v>992</v>
      </c>
      <c r="B506" s="1084"/>
      <c r="C506" s="1084"/>
      <c r="D506" s="1078"/>
      <c r="E506" s="1088"/>
      <c r="F506" s="2605"/>
      <c r="G506" s="2606"/>
      <c r="H506" s="2601" t="s">
        <v>109</v>
      </c>
      <c r="I506" s="2613"/>
      <c r="J506" s="2624"/>
      <c r="K506" s="2615"/>
      <c r="L506" s="2338"/>
      <c r="M506" s="2339"/>
      <c r="N506" s="2618"/>
      <c r="O506" s="2619"/>
      <c r="P506" s="2621"/>
      <c r="Q506" s="2573"/>
      <c r="R506" s="2573"/>
      <c r="S506" s="2623"/>
      <c r="T506" s="2573"/>
      <c r="U506" s="2573"/>
      <c r="V506" s="2573"/>
      <c r="W506" s="2573"/>
      <c r="X506" s="2573"/>
      <c r="Y506" s="2573"/>
      <c r="Z506" s="1743"/>
      <c r="AA506" s="1711">
        <v>1</v>
      </c>
      <c r="AB506" s="1097" t="s">
        <v>1036</v>
      </c>
      <c r="AC506" s="1087">
        <v>294112.25929670798</v>
      </c>
      <c r="AD506" s="1097" t="str">
        <f>AB506</f>
        <v xml:space="preserve">      Прочие амортизационные отчисления</v>
      </c>
      <c r="AE506" s="1087"/>
      <c r="AF506" s="2616"/>
      <c r="AG506" s="2617"/>
      <c r="AH506" s="2617"/>
      <c r="AI506" s="2616"/>
      <c r="AJ506" s="2617"/>
      <c r="AK506" s="2617"/>
      <c r="AL506" s="1900"/>
      <c r="AM506" s="1738"/>
      <c r="AN506" s="1738"/>
      <c r="AO506" s="1738"/>
      <c r="AP506" s="1738"/>
      <c r="AQ506" s="1738"/>
      <c r="AR506" s="1738"/>
      <c r="AS506" s="1738"/>
      <c r="AT506" s="1738"/>
      <c r="AU506" s="1738"/>
      <c r="AV506" s="1738"/>
      <c r="AW506" s="1738"/>
      <c r="AX506" s="1738"/>
      <c r="AY506" s="1738"/>
      <c r="AZ506" s="1738"/>
      <c r="BA506" s="1738"/>
      <c r="BB506" s="1738"/>
      <c r="BC506" s="1738"/>
      <c r="BD506" s="1738"/>
      <c r="BE506" s="1738"/>
      <c r="BF506" s="1738"/>
    </row>
    <row r="507" spans="1:58" ht="11.25" customHeight="1">
      <c r="A507" s="1084" t="s">
        <v>992</v>
      </c>
      <c r="B507" s="1084"/>
      <c r="C507" s="1084"/>
      <c r="D507" s="1078"/>
      <c r="E507" s="1088"/>
      <c r="F507" s="2606"/>
      <c r="G507" s="2606"/>
      <c r="H507" s="2606"/>
      <c r="I507" s="2606"/>
      <c r="J507" s="2606"/>
      <c r="K507" s="2606"/>
      <c r="L507" s="2606"/>
      <c r="M507" s="2606"/>
      <c r="N507" s="2606"/>
      <c r="O507" s="2606"/>
      <c r="P507" s="2606"/>
      <c r="Q507" s="2606"/>
      <c r="R507" s="2606"/>
      <c r="S507" s="2606"/>
      <c r="T507" s="2606"/>
      <c r="U507" s="2606"/>
      <c r="V507" s="2606"/>
      <c r="W507" s="2606"/>
      <c r="X507" s="2606"/>
      <c r="Y507" s="2606"/>
      <c r="Z507" s="2054" t="s">
        <v>686</v>
      </c>
      <c r="AA507" s="1731" t="s">
        <v>109</v>
      </c>
      <c r="AB507" s="1097" t="s">
        <v>1028</v>
      </c>
      <c r="AC507" s="1087">
        <v>76884.627887361698</v>
      </c>
      <c r="AD507" s="1097" t="str">
        <f>AB507</f>
        <v xml:space="preserve">  Прочие</v>
      </c>
      <c r="AE507" s="1087"/>
      <c r="AF507" s="2625"/>
      <c r="AG507" s="2626"/>
      <c r="AH507" s="2626"/>
      <c r="AI507" s="2625"/>
      <c r="AJ507" s="2626"/>
      <c r="AK507" s="2627"/>
      <c r="AL507" s="1900"/>
      <c r="AM507" s="1738"/>
      <c r="AN507" s="1738"/>
      <c r="AO507" s="1738"/>
      <c r="AP507" s="1738"/>
      <c r="AQ507" s="1738"/>
      <c r="AR507" s="1738"/>
      <c r="AS507" s="1738"/>
      <c r="AT507" s="1738"/>
      <c r="AU507" s="1738"/>
      <c r="AV507" s="1738"/>
      <c r="AW507" s="1738"/>
      <c r="AX507" s="1738"/>
      <c r="AY507" s="1738"/>
      <c r="AZ507" s="1738"/>
      <c r="BA507" s="1738"/>
      <c r="BB507" s="1738"/>
      <c r="BC507" s="1738"/>
      <c r="BD507" s="1738"/>
      <c r="BE507" s="1738"/>
      <c r="BF507" s="1738"/>
    </row>
    <row r="508" spans="1:58" ht="11.25" customHeight="1">
      <c r="A508" s="1084" t="s">
        <v>992</v>
      </c>
      <c r="B508" s="1084"/>
      <c r="C508" s="1084"/>
      <c r="D508" s="1078"/>
      <c r="E508" s="1088"/>
      <c r="F508" s="2605"/>
      <c r="G508" s="2606"/>
      <c r="H508" s="2601" t="s">
        <v>109</v>
      </c>
      <c r="I508" s="2613"/>
      <c r="J508" s="2624"/>
      <c r="K508" s="2615"/>
      <c r="L508" s="2338"/>
      <c r="M508" s="2339"/>
      <c r="N508" s="2618"/>
      <c r="O508" s="2619"/>
      <c r="P508" s="2622"/>
      <c r="Q508" s="2573"/>
      <c r="R508" s="2573"/>
      <c r="S508" s="2623"/>
      <c r="T508" s="2573"/>
      <c r="U508" s="2573"/>
      <c r="V508" s="2573"/>
      <c r="W508" s="2573"/>
      <c r="X508" s="2573"/>
      <c r="Y508" s="2573"/>
      <c r="Z508" s="1093"/>
      <c r="AA508" s="1094"/>
      <c r="AB508" s="1159" t="s">
        <v>1029</v>
      </c>
      <c r="AC508" s="1098"/>
      <c r="AD508" s="1098"/>
      <c r="AE508" s="1100"/>
      <c r="AF508" s="2616"/>
      <c r="AG508" s="2617"/>
      <c r="AH508" s="2617"/>
      <c r="AI508" s="2616"/>
      <c r="AJ508" s="2617"/>
      <c r="AK508" s="2617"/>
      <c r="AL508" s="1900"/>
      <c r="AM508" s="1738"/>
      <c r="AN508" s="1738"/>
      <c r="AO508" s="1738"/>
      <c r="AP508" s="1738"/>
      <c r="AQ508" s="1738"/>
      <c r="AR508" s="1738"/>
      <c r="AS508" s="1738"/>
      <c r="AT508" s="1738"/>
      <c r="AU508" s="1738"/>
      <c r="AV508" s="1738"/>
      <c r="AW508" s="1738"/>
      <c r="AX508" s="1738"/>
      <c r="AY508" s="1738"/>
      <c r="AZ508" s="1738"/>
      <c r="BA508" s="1738"/>
      <c r="BB508" s="1738"/>
      <c r="BC508" s="1738"/>
      <c r="BD508" s="1738"/>
      <c r="BE508" s="1738"/>
      <c r="BF508" s="1738"/>
    </row>
    <row r="509" spans="1:58" ht="23.25" customHeight="1">
      <c r="A509" s="1084" t="s">
        <v>992</v>
      </c>
      <c r="B509" s="1084"/>
      <c r="C509" s="1084"/>
      <c r="D509" s="1078"/>
      <c r="E509" s="1088"/>
      <c r="F509" s="2605"/>
      <c r="G509" s="2606"/>
      <c r="H509" s="2601" t="s">
        <v>109</v>
      </c>
      <c r="I509" s="2613"/>
      <c r="J509" s="2624"/>
      <c r="K509" s="2615"/>
      <c r="L509" s="2338"/>
      <c r="M509" s="2339"/>
      <c r="N509" s="1093"/>
      <c r="O509" s="1094"/>
      <c r="P509" s="1086" t="s">
        <v>1030</v>
      </c>
      <c r="Q509" s="1094"/>
      <c r="R509" s="1094"/>
      <c r="S509" s="1094"/>
      <c r="T509" s="1094"/>
      <c r="U509" s="1094"/>
      <c r="V509" s="1094"/>
      <c r="W509" s="1094"/>
      <c r="X509" s="1094"/>
      <c r="Y509" s="1094"/>
      <c r="Z509" s="1094"/>
      <c r="AA509" s="1094"/>
      <c r="AB509" s="1094"/>
      <c r="AC509" s="1094"/>
      <c r="AD509" s="1094"/>
      <c r="AE509" s="1101"/>
      <c r="AF509" s="2616"/>
      <c r="AG509" s="2617"/>
      <c r="AH509" s="2617"/>
      <c r="AI509" s="2616"/>
      <c r="AJ509" s="2617"/>
      <c r="AK509" s="2617"/>
      <c r="AL509" s="1900"/>
      <c r="AM509" s="1738"/>
      <c r="AN509" s="1738"/>
      <c r="AO509" s="1738"/>
      <c r="AP509" s="1738"/>
      <c r="AQ509" s="1738"/>
      <c r="AR509" s="1738"/>
      <c r="AS509" s="1738"/>
      <c r="AT509" s="1738"/>
      <c r="AU509" s="1738"/>
      <c r="AV509" s="1738"/>
      <c r="AW509" s="1738"/>
      <c r="AX509" s="1738"/>
      <c r="AY509" s="1738"/>
      <c r="AZ509" s="1738"/>
      <c r="BA509" s="1738"/>
      <c r="BB509" s="1738"/>
      <c r="BC509" s="1738"/>
      <c r="BD509" s="1738"/>
      <c r="BE509" s="1738"/>
      <c r="BF509" s="1738"/>
    </row>
    <row r="510" spans="1:58" ht="11.25" customHeight="1">
      <c r="A510" s="1084" t="s">
        <v>992</v>
      </c>
      <c r="B510" s="1084" t="s">
        <v>1031</v>
      </c>
      <c r="C510" s="1084"/>
      <c r="D510" s="1078"/>
      <c r="E510" s="1088"/>
      <c r="F510" s="2605"/>
      <c r="G510" s="2590" t="s">
        <v>686</v>
      </c>
      <c r="H510" s="2601" t="s">
        <v>93</v>
      </c>
      <c r="I510" s="2613" t="s">
        <v>1032</v>
      </c>
      <c r="J510" s="2624" t="s">
        <v>1033</v>
      </c>
      <c r="K510" s="2615" t="s">
        <v>1041</v>
      </c>
      <c r="L510" s="2338" t="s">
        <v>19</v>
      </c>
      <c r="M510" s="2339"/>
      <c r="N510" s="1898"/>
      <c r="O510" s="1095" t="s">
        <v>373</v>
      </c>
      <c r="P510" s="1096"/>
      <c r="Q510" s="1096"/>
      <c r="R510" s="1096"/>
      <c r="S510" s="1096"/>
      <c r="T510" s="1096"/>
      <c r="U510" s="1096"/>
      <c r="V510" s="1096"/>
      <c r="W510" s="1096"/>
      <c r="X510" s="1096"/>
      <c r="Y510" s="1096"/>
      <c r="Z510" s="1096"/>
      <c r="AA510" s="1096"/>
      <c r="AB510" s="1096"/>
      <c r="AC510" s="1096"/>
      <c r="AD510" s="1096"/>
      <c r="AE510" s="1096"/>
      <c r="AF510" s="2616">
        <v>6</v>
      </c>
      <c r="AG510" s="2617" t="s">
        <v>1026</v>
      </c>
      <c r="AH510" s="2617" t="s">
        <v>1035</v>
      </c>
      <c r="AI510" s="2616"/>
      <c r="AJ510" s="2617"/>
      <c r="AK510" s="2617"/>
      <c r="AL510" s="1900"/>
      <c r="AM510" s="1738"/>
      <c r="AN510" s="1738"/>
      <c r="AO510" s="1738"/>
      <c r="AP510" s="1738"/>
      <c r="AQ510" s="1738"/>
      <c r="AR510" s="1738"/>
      <c r="AS510" s="1738"/>
      <c r="AT510" s="1738"/>
      <c r="AU510" s="1738"/>
      <c r="AV510" s="1738"/>
      <c r="AW510" s="1738"/>
      <c r="AX510" s="1738"/>
      <c r="AY510" s="1738"/>
      <c r="AZ510" s="1738"/>
      <c r="BA510" s="1738"/>
      <c r="BB510" s="1738"/>
      <c r="BC510" s="1738"/>
      <c r="BD510" s="1738"/>
      <c r="BE510" s="1738"/>
      <c r="BF510" s="1738"/>
    </row>
    <row r="511" spans="1:58" ht="11.25" customHeight="1">
      <c r="A511" s="1084" t="s">
        <v>992</v>
      </c>
      <c r="B511" s="1084"/>
      <c r="C511" s="1084"/>
      <c r="D511" s="1078"/>
      <c r="E511" s="1088"/>
      <c r="F511" s="2605"/>
      <c r="G511" s="2606"/>
      <c r="H511" s="2601" t="s">
        <v>92</v>
      </c>
      <c r="I511" s="2613"/>
      <c r="J511" s="2624"/>
      <c r="K511" s="2615"/>
      <c r="L511" s="2338"/>
      <c r="M511" s="2339"/>
      <c r="N511" s="2618"/>
      <c r="O511" s="2619">
        <v>1</v>
      </c>
      <c r="P511" s="2620" t="s">
        <v>19</v>
      </c>
      <c r="Q511" s="2573" t="s">
        <v>22</v>
      </c>
      <c r="R511" s="2573" t="s">
        <v>22</v>
      </c>
      <c r="S511" s="2573" t="s">
        <v>22</v>
      </c>
      <c r="T511" s="2573" t="s">
        <v>22</v>
      </c>
      <c r="U511" s="2573" t="s">
        <v>22</v>
      </c>
      <c r="V511" s="2573" t="s">
        <v>22</v>
      </c>
      <c r="W511" s="2573" t="s">
        <v>22</v>
      </c>
      <c r="X511" s="2573" t="s">
        <v>22</v>
      </c>
      <c r="Y511" s="2573"/>
      <c r="Z511" s="1093"/>
      <c r="AA511" s="1094"/>
      <c r="AB511" s="1094"/>
      <c r="AC511" s="1098"/>
      <c r="AD511" s="1098"/>
      <c r="AE511" s="1099"/>
      <c r="AF511" s="2616"/>
      <c r="AG511" s="2617"/>
      <c r="AH511" s="2617"/>
      <c r="AI511" s="2616"/>
      <c r="AJ511" s="2617"/>
      <c r="AK511" s="2617"/>
      <c r="AL511" s="1900"/>
      <c r="AM511" s="1738"/>
      <c r="AN511" s="1738"/>
      <c r="AO511" s="1738"/>
      <c r="AP511" s="1738"/>
      <c r="AQ511" s="1738"/>
      <c r="AR511" s="1738"/>
      <c r="AS511" s="1738"/>
      <c r="AT511" s="1738"/>
      <c r="AU511" s="1738"/>
      <c r="AV511" s="1738"/>
      <c r="AW511" s="1738"/>
      <c r="AX511" s="1738"/>
      <c r="AY511" s="1738"/>
      <c r="AZ511" s="1738"/>
      <c r="BA511" s="1738"/>
      <c r="BB511" s="1738"/>
      <c r="BC511" s="1738"/>
      <c r="BD511" s="1738"/>
      <c r="BE511" s="1738"/>
      <c r="BF511" s="1738"/>
    </row>
    <row r="512" spans="1:58" ht="11.25" customHeight="1">
      <c r="A512" s="1084" t="s">
        <v>992</v>
      </c>
      <c r="B512" s="1084"/>
      <c r="C512" s="1084"/>
      <c r="D512" s="1078"/>
      <c r="E512" s="1088"/>
      <c r="F512" s="2605"/>
      <c r="G512" s="2606"/>
      <c r="H512" s="2601" t="s">
        <v>92</v>
      </c>
      <c r="I512" s="2613"/>
      <c r="J512" s="2624"/>
      <c r="K512" s="2615"/>
      <c r="L512" s="2338"/>
      <c r="M512" s="2339"/>
      <c r="N512" s="2618"/>
      <c r="O512" s="2619"/>
      <c r="P512" s="2621"/>
      <c r="Q512" s="2573"/>
      <c r="R512" s="2573"/>
      <c r="S512" s="2623"/>
      <c r="T512" s="2573"/>
      <c r="U512" s="2573"/>
      <c r="V512" s="2573"/>
      <c r="W512" s="2573"/>
      <c r="X512" s="2573"/>
      <c r="Y512" s="2573"/>
      <c r="Z512" s="1743"/>
      <c r="AA512" s="1711">
        <v>1</v>
      </c>
      <c r="AB512" s="1097" t="s">
        <v>1036</v>
      </c>
      <c r="AC512" s="1087">
        <v>129204.821256529</v>
      </c>
      <c r="AD512" s="1097" t="str">
        <f>AB512</f>
        <v xml:space="preserve">      Прочие амортизационные отчисления</v>
      </c>
      <c r="AE512" s="1087"/>
      <c r="AF512" s="2616"/>
      <c r="AG512" s="2617"/>
      <c r="AH512" s="2617"/>
      <c r="AI512" s="2616"/>
      <c r="AJ512" s="2617"/>
      <c r="AK512" s="2617"/>
      <c r="AL512" s="1900"/>
      <c r="AM512" s="1738"/>
      <c r="AN512" s="1738"/>
      <c r="AO512" s="1738"/>
      <c r="AP512" s="1738"/>
      <c r="AQ512" s="1738"/>
      <c r="AR512" s="1738"/>
      <c r="AS512" s="1738"/>
      <c r="AT512" s="1738"/>
      <c r="AU512" s="1738"/>
      <c r="AV512" s="1738"/>
      <c r="AW512" s="1738"/>
      <c r="AX512" s="1738"/>
      <c r="AY512" s="1738"/>
      <c r="AZ512" s="1738"/>
      <c r="BA512" s="1738"/>
      <c r="BB512" s="1738"/>
      <c r="BC512" s="1738"/>
      <c r="BD512" s="1738"/>
      <c r="BE512" s="1738"/>
      <c r="BF512" s="1738"/>
    </row>
    <row r="513" spans="1:58" ht="11.25" customHeight="1">
      <c r="A513" s="1084" t="s">
        <v>992</v>
      </c>
      <c r="B513" s="1084"/>
      <c r="C513" s="1084"/>
      <c r="D513" s="1078"/>
      <c r="E513" s="1088"/>
      <c r="F513" s="2606"/>
      <c r="G513" s="2606"/>
      <c r="H513" s="2606"/>
      <c r="I513" s="2606"/>
      <c r="J513" s="2606"/>
      <c r="K513" s="2606"/>
      <c r="L513" s="2606"/>
      <c r="M513" s="2606"/>
      <c r="N513" s="2606"/>
      <c r="O513" s="2606"/>
      <c r="P513" s="2606"/>
      <c r="Q513" s="2606"/>
      <c r="R513" s="2606"/>
      <c r="S513" s="2606"/>
      <c r="T513" s="2606"/>
      <c r="U513" s="2606"/>
      <c r="V513" s="2606"/>
      <c r="W513" s="2606"/>
      <c r="X513" s="2606"/>
      <c r="Y513" s="2606"/>
      <c r="Z513" s="2054" t="s">
        <v>686</v>
      </c>
      <c r="AA513" s="1731" t="s">
        <v>109</v>
      </c>
      <c r="AB513" s="1097" t="s">
        <v>1028</v>
      </c>
      <c r="AC513" s="1087">
        <v>38045.802276647999</v>
      </c>
      <c r="AD513" s="1097" t="str">
        <f>AB513</f>
        <v xml:space="preserve">  Прочие</v>
      </c>
      <c r="AE513" s="1087"/>
      <c r="AF513" s="2625"/>
      <c r="AG513" s="2626"/>
      <c r="AH513" s="2626"/>
      <c r="AI513" s="2625"/>
      <c r="AJ513" s="2626"/>
      <c r="AK513" s="2627"/>
      <c r="AL513" s="1900"/>
      <c r="AM513" s="1738"/>
      <c r="AN513" s="1738"/>
      <c r="AO513" s="1738"/>
      <c r="AP513" s="1738"/>
      <c r="AQ513" s="1738"/>
      <c r="AR513" s="1738"/>
      <c r="AS513" s="1738"/>
      <c r="AT513" s="1738"/>
      <c r="AU513" s="1738"/>
      <c r="AV513" s="1738"/>
      <c r="AW513" s="1738"/>
      <c r="AX513" s="1738"/>
      <c r="AY513" s="1738"/>
      <c r="AZ513" s="1738"/>
      <c r="BA513" s="1738"/>
      <c r="BB513" s="1738"/>
      <c r="BC513" s="1738"/>
      <c r="BD513" s="1738"/>
      <c r="BE513" s="1738"/>
      <c r="BF513" s="1738"/>
    </row>
    <row r="514" spans="1:58" ht="11.25" customHeight="1">
      <c r="A514" s="1084" t="s">
        <v>992</v>
      </c>
      <c r="B514" s="1084"/>
      <c r="C514" s="1084"/>
      <c r="D514" s="1078"/>
      <c r="E514" s="1088"/>
      <c r="F514" s="2605"/>
      <c r="G514" s="2606"/>
      <c r="H514" s="2601" t="s">
        <v>92</v>
      </c>
      <c r="I514" s="2613"/>
      <c r="J514" s="2624"/>
      <c r="K514" s="2615"/>
      <c r="L514" s="2338"/>
      <c r="M514" s="2339"/>
      <c r="N514" s="2618"/>
      <c r="O514" s="2619"/>
      <c r="P514" s="2622"/>
      <c r="Q514" s="2573"/>
      <c r="R514" s="2573"/>
      <c r="S514" s="2623"/>
      <c r="T514" s="2573"/>
      <c r="U514" s="2573"/>
      <c r="V514" s="2573"/>
      <c r="W514" s="2573"/>
      <c r="X514" s="2573"/>
      <c r="Y514" s="2573"/>
      <c r="Z514" s="1093"/>
      <c r="AA514" s="1094"/>
      <c r="AB514" s="1159" t="s">
        <v>1029</v>
      </c>
      <c r="AC514" s="1098"/>
      <c r="AD514" s="1098"/>
      <c r="AE514" s="1100"/>
      <c r="AF514" s="2616"/>
      <c r="AG514" s="2617"/>
      <c r="AH514" s="2617"/>
      <c r="AI514" s="2616"/>
      <c r="AJ514" s="2617"/>
      <c r="AK514" s="2617"/>
      <c r="AL514" s="1900"/>
      <c r="AM514" s="1738"/>
      <c r="AN514" s="1738"/>
      <c r="AO514" s="1738"/>
      <c r="AP514" s="1738"/>
      <c r="AQ514" s="1738"/>
      <c r="AR514" s="1738"/>
      <c r="AS514" s="1738"/>
      <c r="AT514" s="1738"/>
      <c r="AU514" s="1738"/>
      <c r="AV514" s="1738"/>
      <c r="AW514" s="1738"/>
      <c r="AX514" s="1738"/>
      <c r="AY514" s="1738"/>
      <c r="AZ514" s="1738"/>
      <c r="BA514" s="1738"/>
      <c r="BB514" s="1738"/>
      <c r="BC514" s="1738"/>
      <c r="BD514" s="1738"/>
      <c r="BE514" s="1738"/>
      <c r="BF514" s="1738"/>
    </row>
    <row r="515" spans="1:58" ht="45.75" customHeight="1">
      <c r="A515" s="1084" t="s">
        <v>992</v>
      </c>
      <c r="B515" s="1084"/>
      <c r="C515" s="1084"/>
      <c r="D515" s="1078"/>
      <c r="E515" s="1088"/>
      <c r="F515" s="2605"/>
      <c r="G515" s="2606"/>
      <c r="H515" s="2601" t="s">
        <v>92</v>
      </c>
      <c r="I515" s="2613"/>
      <c r="J515" s="2624"/>
      <c r="K515" s="2615"/>
      <c r="L515" s="2338"/>
      <c r="M515" s="2339"/>
      <c r="N515" s="1093"/>
      <c r="O515" s="1094"/>
      <c r="P515" s="1086" t="s">
        <v>1030</v>
      </c>
      <c r="Q515" s="1094"/>
      <c r="R515" s="1094"/>
      <c r="S515" s="1094"/>
      <c r="T515" s="1094"/>
      <c r="U515" s="1094"/>
      <c r="V515" s="1094"/>
      <c r="W515" s="1094"/>
      <c r="X515" s="1094"/>
      <c r="Y515" s="1094"/>
      <c r="Z515" s="1094"/>
      <c r="AA515" s="1094"/>
      <c r="AB515" s="1094"/>
      <c r="AC515" s="1094"/>
      <c r="AD515" s="1094"/>
      <c r="AE515" s="1101"/>
      <c r="AF515" s="2616"/>
      <c r="AG515" s="2617"/>
      <c r="AH515" s="2617"/>
      <c r="AI515" s="2616"/>
      <c r="AJ515" s="2617"/>
      <c r="AK515" s="2617"/>
      <c r="AL515" s="1900"/>
      <c r="AM515" s="1738"/>
      <c r="AN515" s="1738"/>
      <c r="AO515" s="1738"/>
      <c r="AP515" s="1738"/>
      <c r="AQ515" s="1738"/>
      <c r="AR515" s="1738"/>
      <c r="AS515" s="1738"/>
      <c r="AT515" s="1738"/>
      <c r="AU515" s="1738"/>
      <c r="AV515" s="1738"/>
      <c r="AW515" s="1738"/>
      <c r="AX515" s="1738"/>
      <c r="AY515" s="1738"/>
      <c r="AZ515" s="1738"/>
      <c r="BA515" s="1738"/>
      <c r="BB515" s="1738"/>
      <c r="BC515" s="1738"/>
      <c r="BD515" s="1738"/>
      <c r="BE515" s="1738"/>
      <c r="BF515" s="1738"/>
    </row>
    <row r="516" spans="1:58" ht="11.25" customHeight="1">
      <c r="A516" s="1084" t="s">
        <v>992</v>
      </c>
      <c r="B516" s="1084" t="s">
        <v>1031</v>
      </c>
      <c r="C516" s="1084"/>
      <c r="D516" s="1078"/>
      <c r="E516" s="1088"/>
      <c r="F516" s="2605"/>
      <c r="G516" s="2590" t="s">
        <v>686</v>
      </c>
      <c r="H516" s="2601" t="s">
        <v>110</v>
      </c>
      <c r="I516" s="2613" t="s">
        <v>1032</v>
      </c>
      <c r="J516" s="2624" t="s">
        <v>1033</v>
      </c>
      <c r="K516" s="2615" t="s">
        <v>1074</v>
      </c>
      <c r="L516" s="2338" t="s">
        <v>19</v>
      </c>
      <c r="M516" s="2339"/>
      <c r="N516" s="1898"/>
      <c r="O516" s="1095" t="s">
        <v>373</v>
      </c>
      <c r="P516" s="1096"/>
      <c r="Q516" s="1096"/>
      <c r="R516" s="1096"/>
      <c r="S516" s="1096"/>
      <c r="T516" s="1096"/>
      <c r="U516" s="1096"/>
      <c r="V516" s="1096"/>
      <c r="W516" s="1096"/>
      <c r="X516" s="1096"/>
      <c r="Y516" s="1096"/>
      <c r="Z516" s="1096"/>
      <c r="AA516" s="1096"/>
      <c r="AB516" s="1096"/>
      <c r="AC516" s="1096"/>
      <c r="AD516" s="1096"/>
      <c r="AE516" s="1096"/>
      <c r="AF516" s="2616">
        <v>3</v>
      </c>
      <c r="AG516" s="2617" t="s">
        <v>1026</v>
      </c>
      <c r="AH516" s="2617" t="s">
        <v>1035</v>
      </c>
      <c r="AI516" s="2616"/>
      <c r="AJ516" s="2617"/>
      <c r="AK516" s="2617"/>
      <c r="AL516" s="1900"/>
      <c r="AM516" s="1738"/>
      <c r="AN516" s="1738"/>
      <c r="AO516" s="1738"/>
      <c r="AP516" s="1738"/>
      <c r="AQ516" s="1738"/>
      <c r="AR516" s="1738"/>
      <c r="AS516" s="1738"/>
      <c r="AT516" s="1738"/>
      <c r="AU516" s="1738"/>
      <c r="AV516" s="1738"/>
      <c r="AW516" s="1738"/>
      <c r="AX516" s="1738"/>
      <c r="AY516" s="1738"/>
      <c r="AZ516" s="1738"/>
      <c r="BA516" s="1738"/>
      <c r="BB516" s="1738"/>
      <c r="BC516" s="1738"/>
      <c r="BD516" s="1738"/>
      <c r="BE516" s="1738"/>
      <c r="BF516" s="1738"/>
    </row>
    <row r="517" spans="1:58" ht="11.25" customHeight="1">
      <c r="A517" s="1084" t="s">
        <v>992</v>
      </c>
      <c r="B517" s="1084"/>
      <c r="C517" s="1084"/>
      <c r="D517" s="1078"/>
      <c r="E517" s="1088"/>
      <c r="F517" s="2605"/>
      <c r="G517" s="2606"/>
      <c r="H517" s="2601" t="s">
        <v>93</v>
      </c>
      <c r="I517" s="2613"/>
      <c r="J517" s="2624"/>
      <c r="K517" s="2615"/>
      <c r="L517" s="2338"/>
      <c r="M517" s="2339"/>
      <c r="N517" s="2618"/>
      <c r="O517" s="2619">
        <v>1</v>
      </c>
      <c r="P517" s="2620" t="s">
        <v>19</v>
      </c>
      <c r="Q517" s="2573" t="s">
        <v>22</v>
      </c>
      <c r="R517" s="2573" t="s">
        <v>22</v>
      </c>
      <c r="S517" s="2573" t="s">
        <v>22</v>
      </c>
      <c r="T517" s="2573" t="s">
        <v>22</v>
      </c>
      <c r="U517" s="2573" t="s">
        <v>22</v>
      </c>
      <c r="V517" s="2573" t="s">
        <v>22</v>
      </c>
      <c r="W517" s="2573" t="s">
        <v>22</v>
      </c>
      <c r="X517" s="2573" t="s">
        <v>22</v>
      </c>
      <c r="Y517" s="2573"/>
      <c r="Z517" s="1093"/>
      <c r="AA517" s="1094"/>
      <c r="AB517" s="1094"/>
      <c r="AC517" s="1098"/>
      <c r="AD517" s="1098"/>
      <c r="AE517" s="1099"/>
      <c r="AF517" s="2616"/>
      <c r="AG517" s="2617"/>
      <c r="AH517" s="2617"/>
      <c r="AI517" s="2616"/>
      <c r="AJ517" s="2617"/>
      <c r="AK517" s="2617"/>
      <c r="AL517" s="1900"/>
      <c r="AM517" s="1738"/>
      <c r="AN517" s="1738"/>
      <c r="AO517" s="1738"/>
      <c r="AP517" s="1738"/>
      <c r="AQ517" s="1738"/>
      <c r="AR517" s="1738"/>
      <c r="AS517" s="1738"/>
      <c r="AT517" s="1738"/>
      <c r="AU517" s="1738"/>
      <c r="AV517" s="1738"/>
      <c r="AW517" s="1738"/>
      <c r="AX517" s="1738"/>
      <c r="AY517" s="1738"/>
      <c r="AZ517" s="1738"/>
      <c r="BA517" s="1738"/>
      <c r="BB517" s="1738"/>
      <c r="BC517" s="1738"/>
      <c r="BD517" s="1738"/>
      <c r="BE517" s="1738"/>
      <c r="BF517" s="1738"/>
    </row>
    <row r="518" spans="1:58" ht="11.25" customHeight="1">
      <c r="A518" s="1084" t="s">
        <v>992</v>
      </c>
      <c r="B518" s="1084"/>
      <c r="C518" s="1084"/>
      <c r="D518" s="1078"/>
      <c r="E518" s="1088"/>
      <c r="F518" s="2605"/>
      <c r="G518" s="2606"/>
      <c r="H518" s="2601" t="s">
        <v>93</v>
      </c>
      <c r="I518" s="2613"/>
      <c r="J518" s="2624"/>
      <c r="K518" s="2615"/>
      <c r="L518" s="2338"/>
      <c r="M518" s="2339"/>
      <c r="N518" s="2618"/>
      <c r="O518" s="2619"/>
      <c r="P518" s="2621"/>
      <c r="Q518" s="2573"/>
      <c r="R518" s="2573"/>
      <c r="S518" s="2623"/>
      <c r="T518" s="2573"/>
      <c r="U518" s="2573"/>
      <c r="V518" s="2573"/>
      <c r="W518" s="2573"/>
      <c r="X518" s="2573"/>
      <c r="Y518" s="2573"/>
      <c r="Z518" s="1743"/>
      <c r="AA518" s="1711">
        <v>1</v>
      </c>
      <c r="AB518" s="1097" t="s">
        <v>1036</v>
      </c>
      <c r="AC518" s="1087">
        <v>322728.173277847</v>
      </c>
      <c r="AD518" s="1097" t="str">
        <f>AB518</f>
        <v xml:space="preserve">      Прочие амортизационные отчисления</v>
      </c>
      <c r="AE518" s="1087"/>
      <c r="AF518" s="2616"/>
      <c r="AG518" s="2617"/>
      <c r="AH518" s="2617"/>
      <c r="AI518" s="2616"/>
      <c r="AJ518" s="2617"/>
      <c r="AK518" s="2617"/>
      <c r="AL518" s="1900"/>
      <c r="AM518" s="1738"/>
      <c r="AN518" s="1738"/>
      <c r="AO518" s="1738"/>
      <c r="AP518" s="1738"/>
      <c r="AQ518" s="1738"/>
      <c r="AR518" s="1738"/>
      <c r="AS518" s="1738"/>
      <c r="AT518" s="1738"/>
      <c r="AU518" s="1738"/>
      <c r="AV518" s="1738"/>
      <c r="AW518" s="1738"/>
      <c r="AX518" s="1738"/>
      <c r="AY518" s="1738"/>
      <c r="AZ518" s="1738"/>
      <c r="BA518" s="1738"/>
      <c r="BB518" s="1738"/>
      <c r="BC518" s="1738"/>
      <c r="BD518" s="1738"/>
      <c r="BE518" s="1738"/>
      <c r="BF518" s="1738"/>
    </row>
    <row r="519" spans="1:58" ht="11.25" customHeight="1">
      <c r="A519" s="1084" t="s">
        <v>992</v>
      </c>
      <c r="B519" s="1084"/>
      <c r="C519" s="1084"/>
      <c r="D519" s="1078"/>
      <c r="E519" s="1088"/>
      <c r="F519" s="2606"/>
      <c r="G519" s="2606"/>
      <c r="H519" s="2606"/>
      <c r="I519" s="2606"/>
      <c r="J519" s="2606"/>
      <c r="K519" s="2606"/>
      <c r="L519" s="2606"/>
      <c r="M519" s="2606"/>
      <c r="N519" s="2606"/>
      <c r="O519" s="2606"/>
      <c r="P519" s="2606"/>
      <c r="Q519" s="2606"/>
      <c r="R519" s="2606"/>
      <c r="S519" s="2606"/>
      <c r="T519" s="2606"/>
      <c r="U519" s="2606"/>
      <c r="V519" s="2606"/>
      <c r="W519" s="2606"/>
      <c r="X519" s="2606"/>
      <c r="Y519" s="2606"/>
      <c r="Z519" s="2054" t="s">
        <v>686</v>
      </c>
      <c r="AA519" s="1731" t="s">
        <v>109</v>
      </c>
      <c r="AB519" s="1097" t="s">
        <v>1028</v>
      </c>
      <c r="AC519" s="1087">
        <v>1162570.1972217499</v>
      </c>
      <c r="AD519" s="1097" t="str">
        <f>AB519</f>
        <v xml:space="preserve">  Прочие</v>
      </c>
      <c r="AE519" s="1087"/>
      <c r="AF519" s="2625"/>
      <c r="AG519" s="2626"/>
      <c r="AH519" s="2626"/>
      <c r="AI519" s="2625"/>
      <c r="AJ519" s="2626"/>
      <c r="AK519" s="2627"/>
      <c r="AL519" s="1900"/>
      <c r="AM519" s="1738"/>
      <c r="AN519" s="1738"/>
      <c r="AO519" s="1738"/>
      <c r="AP519" s="1738"/>
      <c r="AQ519" s="1738"/>
      <c r="AR519" s="1738"/>
      <c r="AS519" s="1738"/>
      <c r="AT519" s="1738"/>
      <c r="AU519" s="1738"/>
      <c r="AV519" s="1738"/>
      <c r="AW519" s="1738"/>
      <c r="AX519" s="1738"/>
      <c r="AY519" s="1738"/>
      <c r="AZ519" s="1738"/>
      <c r="BA519" s="1738"/>
      <c r="BB519" s="1738"/>
      <c r="BC519" s="1738"/>
      <c r="BD519" s="1738"/>
      <c r="BE519" s="1738"/>
      <c r="BF519" s="1738"/>
    </row>
    <row r="520" spans="1:58" ht="11.25" customHeight="1">
      <c r="A520" s="1084" t="s">
        <v>992</v>
      </c>
      <c r="B520" s="1084"/>
      <c r="C520" s="1084"/>
      <c r="D520" s="1078"/>
      <c r="E520" s="1088"/>
      <c r="F520" s="2605"/>
      <c r="G520" s="2606"/>
      <c r="H520" s="2601" t="s">
        <v>93</v>
      </c>
      <c r="I520" s="2613"/>
      <c r="J520" s="2624"/>
      <c r="K520" s="2615"/>
      <c r="L520" s="2338"/>
      <c r="M520" s="2339"/>
      <c r="N520" s="2618"/>
      <c r="O520" s="2619"/>
      <c r="P520" s="2622"/>
      <c r="Q520" s="2573"/>
      <c r="R520" s="2573"/>
      <c r="S520" s="2623"/>
      <c r="T520" s="2573"/>
      <c r="U520" s="2573"/>
      <c r="V520" s="2573"/>
      <c r="W520" s="2573"/>
      <c r="X520" s="2573"/>
      <c r="Y520" s="2573"/>
      <c r="Z520" s="1093"/>
      <c r="AA520" s="1094"/>
      <c r="AB520" s="1159" t="s">
        <v>1029</v>
      </c>
      <c r="AC520" s="1098"/>
      <c r="AD520" s="1098"/>
      <c r="AE520" s="1100"/>
      <c r="AF520" s="2616"/>
      <c r="AG520" s="2617"/>
      <c r="AH520" s="2617"/>
      <c r="AI520" s="2616"/>
      <c r="AJ520" s="2617"/>
      <c r="AK520" s="2617"/>
      <c r="AL520" s="1900"/>
      <c r="AM520" s="1738"/>
      <c r="AN520" s="1738"/>
      <c r="AO520" s="1738"/>
      <c r="AP520" s="1738"/>
      <c r="AQ520" s="1738"/>
      <c r="AR520" s="1738"/>
      <c r="AS520" s="1738"/>
      <c r="AT520" s="1738"/>
      <c r="AU520" s="1738"/>
      <c r="AV520" s="1738"/>
      <c r="AW520" s="1738"/>
      <c r="AX520" s="1738"/>
      <c r="AY520" s="1738"/>
      <c r="AZ520" s="1738"/>
      <c r="BA520" s="1738"/>
      <c r="BB520" s="1738"/>
      <c r="BC520" s="1738"/>
      <c r="BD520" s="1738"/>
      <c r="BE520" s="1738"/>
      <c r="BF520" s="1738"/>
    </row>
    <row r="521" spans="1:58" ht="23.25" customHeight="1">
      <c r="A521" s="1084" t="s">
        <v>992</v>
      </c>
      <c r="B521" s="1084"/>
      <c r="C521" s="1084"/>
      <c r="D521" s="1078"/>
      <c r="E521" s="1088"/>
      <c r="F521" s="2605"/>
      <c r="G521" s="2606"/>
      <c r="H521" s="2601" t="s">
        <v>93</v>
      </c>
      <c r="I521" s="2613"/>
      <c r="J521" s="2624"/>
      <c r="K521" s="2615"/>
      <c r="L521" s="2338"/>
      <c r="M521" s="2339"/>
      <c r="N521" s="1093"/>
      <c r="O521" s="1094"/>
      <c r="P521" s="1086" t="s">
        <v>1030</v>
      </c>
      <c r="Q521" s="1094"/>
      <c r="R521" s="1094"/>
      <c r="S521" s="1094"/>
      <c r="T521" s="1094"/>
      <c r="U521" s="1094"/>
      <c r="V521" s="1094"/>
      <c r="W521" s="1094"/>
      <c r="X521" s="1094"/>
      <c r="Y521" s="1094"/>
      <c r="Z521" s="1094"/>
      <c r="AA521" s="1094"/>
      <c r="AB521" s="1094"/>
      <c r="AC521" s="1094"/>
      <c r="AD521" s="1094"/>
      <c r="AE521" s="1101"/>
      <c r="AF521" s="2616"/>
      <c r="AG521" s="2617"/>
      <c r="AH521" s="2617"/>
      <c r="AI521" s="2616"/>
      <c r="AJ521" s="2617"/>
      <c r="AK521" s="2617"/>
      <c r="AL521" s="1900"/>
      <c r="AM521" s="1738"/>
      <c r="AN521" s="1738"/>
      <c r="AO521" s="1738"/>
      <c r="AP521" s="1738"/>
      <c r="AQ521" s="1738"/>
      <c r="AR521" s="1738"/>
      <c r="AS521" s="1738"/>
      <c r="AT521" s="1738"/>
      <c r="AU521" s="1738"/>
      <c r="AV521" s="1738"/>
      <c r="AW521" s="1738"/>
      <c r="AX521" s="1738"/>
      <c r="AY521" s="1738"/>
      <c r="AZ521" s="1738"/>
      <c r="BA521" s="1738"/>
      <c r="BB521" s="1738"/>
      <c r="BC521" s="1738"/>
      <c r="BD521" s="1738"/>
      <c r="BE521" s="1738"/>
      <c r="BF521" s="1738"/>
    </row>
    <row r="522" spans="1:58" ht="11.25" customHeight="1">
      <c r="A522" s="1084" t="s">
        <v>992</v>
      </c>
      <c r="B522" s="1084" t="s">
        <v>1031</v>
      </c>
      <c r="C522" s="1084"/>
      <c r="D522" s="1078"/>
      <c r="E522" s="1088"/>
      <c r="F522" s="2605"/>
      <c r="G522" s="2590" t="s">
        <v>686</v>
      </c>
      <c r="H522" s="2601" t="s">
        <v>94</v>
      </c>
      <c r="I522" s="2613" t="s">
        <v>1032</v>
      </c>
      <c r="J522" s="2624" t="s">
        <v>1033</v>
      </c>
      <c r="K522" s="2615" t="s">
        <v>1067</v>
      </c>
      <c r="L522" s="2338" t="s">
        <v>19</v>
      </c>
      <c r="M522" s="2339"/>
      <c r="N522" s="1898"/>
      <c r="O522" s="1095" t="s">
        <v>373</v>
      </c>
      <c r="P522" s="1096"/>
      <c r="Q522" s="1096"/>
      <c r="R522" s="1096"/>
      <c r="S522" s="1096"/>
      <c r="T522" s="1096"/>
      <c r="U522" s="1096"/>
      <c r="V522" s="1096"/>
      <c r="W522" s="1096"/>
      <c r="X522" s="1096"/>
      <c r="Y522" s="1096"/>
      <c r="Z522" s="1096"/>
      <c r="AA522" s="1096"/>
      <c r="AB522" s="1096"/>
      <c r="AC522" s="1096"/>
      <c r="AD522" s="1096"/>
      <c r="AE522" s="1096"/>
      <c r="AF522" s="2616">
        <v>4</v>
      </c>
      <c r="AG522" s="2617" t="s">
        <v>1026</v>
      </c>
      <c r="AH522" s="2617" t="s">
        <v>1035</v>
      </c>
      <c r="AI522" s="2616"/>
      <c r="AJ522" s="2617"/>
      <c r="AK522" s="2617"/>
      <c r="AL522" s="1900"/>
      <c r="AM522" s="1738"/>
      <c r="AN522" s="1738"/>
      <c r="AO522" s="1738"/>
      <c r="AP522" s="1738"/>
      <c r="AQ522" s="1738"/>
      <c r="AR522" s="1738"/>
      <c r="AS522" s="1738"/>
      <c r="AT522" s="1738"/>
      <c r="AU522" s="1738"/>
      <c r="AV522" s="1738"/>
      <c r="AW522" s="1738"/>
      <c r="AX522" s="1738"/>
      <c r="AY522" s="1738"/>
      <c r="AZ522" s="1738"/>
      <c r="BA522" s="1738"/>
      <c r="BB522" s="1738"/>
      <c r="BC522" s="1738"/>
      <c r="BD522" s="1738"/>
      <c r="BE522" s="1738"/>
      <c r="BF522" s="1738"/>
    </row>
    <row r="523" spans="1:58" ht="11.25" customHeight="1">
      <c r="A523" s="1084" t="s">
        <v>992</v>
      </c>
      <c r="B523" s="1084"/>
      <c r="C523" s="1084"/>
      <c r="D523" s="1078"/>
      <c r="E523" s="1088"/>
      <c r="F523" s="2605"/>
      <c r="G523" s="2606"/>
      <c r="H523" s="2601" t="s">
        <v>110</v>
      </c>
      <c r="I523" s="2613"/>
      <c r="J523" s="2624"/>
      <c r="K523" s="2615"/>
      <c r="L523" s="2338"/>
      <c r="M523" s="2339"/>
      <c r="N523" s="2618"/>
      <c r="O523" s="2619">
        <v>1</v>
      </c>
      <c r="P523" s="2620" t="s">
        <v>19</v>
      </c>
      <c r="Q523" s="2573" t="s">
        <v>22</v>
      </c>
      <c r="R523" s="2573" t="s">
        <v>22</v>
      </c>
      <c r="S523" s="2573" t="s">
        <v>22</v>
      </c>
      <c r="T523" s="2573" t="s">
        <v>22</v>
      </c>
      <c r="U523" s="2573" t="s">
        <v>22</v>
      </c>
      <c r="V523" s="2573" t="s">
        <v>22</v>
      </c>
      <c r="W523" s="2573" t="s">
        <v>22</v>
      </c>
      <c r="X523" s="2573" t="s">
        <v>22</v>
      </c>
      <c r="Y523" s="2573"/>
      <c r="Z523" s="1093"/>
      <c r="AA523" s="1094"/>
      <c r="AB523" s="1094"/>
      <c r="AC523" s="1098"/>
      <c r="AD523" s="1098"/>
      <c r="AE523" s="1099"/>
      <c r="AF523" s="2616"/>
      <c r="AG523" s="2617"/>
      <c r="AH523" s="2617"/>
      <c r="AI523" s="2616"/>
      <c r="AJ523" s="2617"/>
      <c r="AK523" s="2617"/>
      <c r="AL523" s="1900"/>
      <c r="AM523" s="1738"/>
      <c r="AN523" s="1738"/>
      <c r="AO523" s="1738"/>
      <c r="AP523" s="1738"/>
      <c r="AQ523" s="1738"/>
      <c r="AR523" s="1738"/>
      <c r="AS523" s="1738"/>
      <c r="AT523" s="1738"/>
      <c r="AU523" s="1738"/>
      <c r="AV523" s="1738"/>
      <c r="AW523" s="1738"/>
      <c r="AX523" s="1738"/>
      <c r="AY523" s="1738"/>
      <c r="AZ523" s="1738"/>
      <c r="BA523" s="1738"/>
      <c r="BB523" s="1738"/>
      <c r="BC523" s="1738"/>
      <c r="BD523" s="1738"/>
      <c r="BE523" s="1738"/>
      <c r="BF523" s="1738"/>
    </row>
    <row r="524" spans="1:58" ht="11.25" customHeight="1">
      <c r="A524" s="1084" t="s">
        <v>992</v>
      </c>
      <c r="B524" s="1084"/>
      <c r="C524" s="1084"/>
      <c r="D524" s="1078"/>
      <c r="E524" s="1088"/>
      <c r="F524" s="2605"/>
      <c r="G524" s="2606"/>
      <c r="H524" s="2601" t="s">
        <v>110</v>
      </c>
      <c r="I524" s="2613"/>
      <c r="J524" s="2624"/>
      <c r="K524" s="2615"/>
      <c r="L524" s="2338"/>
      <c r="M524" s="2339"/>
      <c r="N524" s="2618"/>
      <c r="O524" s="2619"/>
      <c r="P524" s="2621"/>
      <c r="Q524" s="2573"/>
      <c r="R524" s="2573"/>
      <c r="S524" s="2623"/>
      <c r="T524" s="2573"/>
      <c r="U524" s="2573"/>
      <c r="V524" s="2573"/>
      <c r="W524" s="2573"/>
      <c r="X524" s="2573"/>
      <c r="Y524" s="2573"/>
      <c r="Z524" s="1743"/>
      <c r="AA524" s="1711">
        <v>1</v>
      </c>
      <c r="AB524" s="1097" t="s">
        <v>1036</v>
      </c>
      <c r="AC524" s="1087">
        <v>137699.07472215299</v>
      </c>
      <c r="AD524" s="1097" t="str">
        <f>AB524</f>
        <v xml:space="preserve">      Прочие амортизационные отчисления</v>
      </c>
      <c r="AE524" s="1087"/>
      <c r="AF524" s="2616"/>
      <c r="AG524" s="2617"/>
      <c r="AH524" s="2617"/>
      <c r="AI524" s="2616"/>
      <c r="AJ524" s="2617"/>
      <c r="AK524" s="2617"/>
      <c r="AL524" s="1900"/>
      <c r="AM524" s="1738"/>
      <c r="AN524" s="1738"/>
      <c r="AO524" s="1738"/>
      <c r="AP524" s="1738"/>
      <c r="AQ524" s="1738"/>
      <c r="AR524" s="1738"/>
      <c r="AS524" s="1738"/>
      <c r="AT524" s="1738"/>
      <c r="AU524" s="1738"/>
      <c r="AV524" s="1738"/>
      <c r="AW524" s="1738"/>
      <c r="AX524" s="1738"/>
      <c r="AY524" s="1738"/>
      <c r="AZ524" s="1738"/>
      <c r="BA524" s="1738"/>
      <c r="BB524" s="1738"/>
      <c r="BC524" s="1738"/>
      <c r="BD524" s="1738"/>
      <c r="BE524" s="1738"/>
      <c r="BF524" s="1738"/>
    </row>
    <row r="525" spans="1:58" ht="11.25" customHeight="1">
      <c r="A525" s="1084" t="s">
        <v>992</v>
      </c>
      <c r="B525" s="1084"/>
      <c r="C525" s="1084"/>
      <c r="D525" s="1078"/>
      <c r="E525" s="1088"/>
      <c r="F525" s="2606"/>
      <c r="G525" s="2606"/>
      <c r="H525" s="2606"/>
      <c r="I525" s="2606"/>
      <c r="J525" s="2606"/>
      <c r="K525" s="2606"/>
      <c r="L525" s="2606"/>
      <c r="M525" s="2606"/>
      <c r="N525" s="2606"/>
      <c r="O525" s="2606"/>
      <c r="P525" s="2606"/>
      <c r="Q525" s="2606"/>
      <c r="R525" s="2606"/>
      <c r="S525" s="2606"/>
      <c r="T525" s="2606"/>
      <c r="U525" s="2606"/>
      <c r="V525" s="2606"/>
      <c r="W525" s="2606"/>
      <c r="X525" s="2606"/>
      <c r="Y525" s="2606"/>
      <c r="Z525" s="2054" t="s">
        <v>686</v>
      </c>
      <c r="AA525" s="1731" t="s">
        <v>109</v>
      </c>
      <c r="AB525" s="1097" t="s">
        <v>1028</v>
      </c>
      <c r="AC525" s="1087">
        <v>1182688.22827785</v>
      </c>
      <c r="AD525" s="1097" t="str">
        <f>AB525</f>
        <v xml:space="preserve">  Прочие</v>
      </c>
      <c r="AE525" s="1087"/>
      <c r="AF525" s="2625"/>
      <c r="AG525" s="2626"/>
      <c r="AH525" s="2626"/>
      <c r="AI525" s="2625"/>
      <c r="AJ525" s="2626"/>
      <c r="AK525" s="2627"/>
      <c r="AL525" s="1900"/>
      <c r="AM525" s="1738"/>
      <c r="AN525" s="1738"/>
      <c r="AO525" s="1738"/>
      <c r="AP525" s="1738"/>
      <c r="AQ525" s="1738"/>
      <c r="AR525" s="1738"/>
      <c r="AS525" s="1738"/>
      <c r="AT525" s="1738"/>
      <c r="AU525" s="1738"/>
      <c r="AV525" s="1738"/>
      <c r="AW525" s="1738"/>
      <c r="AX525" s="1738"/>
      <c r="AY525" s="1738"/>
      <c r="AZ525" s="1738"/>
      <c r="BA525" s="1738"/>
      <c r="BB525" s="1738"/>
      <c r="BC525" s="1738"/>
      <c r="BD525" s="1738"/>
      <c r="BE525" s="1738"/>
      <c r="BF525" s="1738"/>
    </row>
    <row r="526" spans="1:58" ht="11.25" customHeight="1">
      <c r="A526" s="1084" t="s">
        <v>992</v>
      </c>
      <c r="B526" s="1084"/>
      <c r="C526" s="1084"/>
      <c r="D526" s="1078"/>
      <c r="E526" s="1088"/>
      <c r="F526" s="2605"/>
      <c r="G526" s="2606"/>
      <c r="H526" s="2601" t="s">
        <v>110</v>
      </c>
      <c r="I526" s="2613"/>
      <c r="J526" s="2624"/>
      <c r="K526" s="2615"/>
      <c r="L526" s="2338"/>
      <c r="M526" s="2339"/>
      <c r="N526" s="2618"/>
      <c r="O526" s="2619"/>
      <c r="P526" s="2622"/>
      <c r="Q526" s="2573"/>
      <c r="R526" s="2573"/>
      <c r="S526" s="2623"/>
      <c r="T526" s="2573"/>
      <c r="U526" s="2573"/>
      <c r="V526" s="2573"/>
      <c r="W526" s="2573"/>
      <c r="X526" s="2573"/>
      <c r="Y526" s="2573"/>
      <c r="Z526" s="1093"/>
      <c r="AA526" s="1094"/>
      <c r="AB526" s="1159" t="s">
        <v>1029</v>
      </c>
      <c r="AC526" s="1098"/>
      <c r="AD526" s="1098"/>
      <c r="AE526" s="1100"/>
      <c r="AF526" s="2616"/>
      <c r="AG526" s="2617"/>
      <c r="AH526" s="2617"/>
      <c r="AI526" s="2616"/>
      <c r="AJ526" s="2617"/>
      <c r="AK526" s="2617"/>
      <c r="AL526" s="1900"/>
      <c r="AM526" s="1738"/>
      <c r="AN526" s="1738"/>
      <c r="AO526" s="1738"/>
      <c r="AP526" s="1738"/>
      <c r="AQ526" s="1738"/>
      <c r="AR526" s="1738"/>
      <c r="AS526" s="1738"/>
      <c r="AT526" s="1738"/>
      <c r="AU526" s="1738"/>
      <c r="AV526" s="1738"/>
      <c r="AW526" s="1738"/>
      <c r="AX526" s="1738"/>
      <c r="AY526" s="1738"/>
      <c r="AZ526" s="1738"/>
      <c r="BA526" s="1738"/>
      <c r="BB526" s="1738"/>
      <c r="BC526" s="1738"/>
      <c r="BD526" s="1738"/>
      <c r="BE526" s="1738"/>
      <c r="BF526" s="1738"/>
    </row>
    <row r="527" spans="1:58" ht="27" customHeight="1">
      <c r="A527" s="1084" t="s">
        <v>992</v>
      </c>
      <c r="B527" s="1084"/>
      <c r="C527" s="1084"/>
      <c r="D527" s="1078"/>
      <c r="E527" s="1088"/>
      <c r="F527" s="2605"/>
      <c r="G527" s="2606"/>
      <c r="H527" s="2601" t="s">
        <v>110</v>
      </c>
      <c r="I527" s="2613"/>
      <c r="J527" s="2624"/>
      <c r="K527" s="2615"/>
      <c r="L527" s="2338"/>
      <c r="M527" s="2339"/>
      <c r="N527" s="1093"/>
      <c r="O527" s="1094"/>
      <c r="P527" s="1086" t="s">
        <v>1030</v>
      </c>
      <c r="Q527" s="1094"/>
      <c r="R527" s="1094"/>
      <c r="S527" s="1094"/>
      <c r="T527" s="1094"/>
      <c r="U527" s="1094"/>
      <c r="V527" s="1094"/>
      <c r="W527" s="1094"/>
      <c r="X527" s="1094"/>
      <c r="Y527" s="1094"/>
      <c r="Z527" s="1094"/>
      <c r="AA527" s="1094"/>
      <c r="AB527" s="1094"/>
      <c r="AC527" s="1094"/>
      <c r="AD527" s="1094"/>
      <c r="AE527" s="1101"/>
      <c r="AF527" s="2616"/>
      <c r="AG527" s="2617"/>
      <c r="AH527" s="2617"/>
      <c r="AI527" s="2616"/>
      <c r="AJ527" s="2617"/>
      <c r="AK527" s="2617"/>
      <c r="AL527" s="1900"/>
      <c r="AM527" s="1738"/>
      <c r="AN527" s="1738"/>
      <c r="AO527" s="1738"/>
      <c r="AP527" s="1738"/>
      <c r="AQ527" s="1738"/>
      <c r="AR527" s="1738"/>
      <c r="AS527" s="1738"/>
      <c r="AT527" s="1738"/>
      <c r="AU527" s="1738"/>
      <c r="AV527" s="1738"/>
      <c r="AW527" s="1738"/>
      <c r="AX527" s="1738"/>
      <c r="AY527" s="1738"/>
      <c r="AZ527" s="1738"/>
      <c r="BA527" s="1738"/>
      <c r="BB527" s="1738"/>
      <c r="BC527" s="1738"/>
      <c r="BD527" s="1738"/>
      <c r="BE527" s="1738"/>
      <c r="BF527" s="1738"/>
    </row>
    <row r="528" spans="1:58" ht="11.25" customHeight="1">
      <c r="A528" s="1084" t="s">
        <v>992</v>
      </c>
      <c r="B528" s="1084" t="s">
        <v>1031</v>
      </c>
      <c r="C528" s="1084"/>
      <c r="D528" s="1078"/>
      <c r="E528" s="1088"/>
      <c r="F528" s="2605"/>
      <c r="G528" s="2590" t="s">
        <v>686</v>
      </c>
      <c r="H528" s="2601" t="s">
        <v>95</v>
      </c>
      <c r="I528" s="2613" t="s">
        <v>1032</v>
      </c>
      <c r="J528" s="2624" t="s">
        <v>1033</v>
      </c>
      <c r="K528" s="2615" t="s">
        <v>1068</v>
      </c>
      <c r="L528" s="2338" t="s">
        <v>19</v>
      </c>
      <c r="M528" s="2339"/>
      <c r="N528" s="1898"/>
      <c r="O528" s="1095" t="s">
        <v>373</v>
      </c>
      <c r="P528" s="1096"/>
      <c r="Q528" s="1096"/>
      <c r="R528" s="1096"/>
      <c r="S528" s="1096"/>
      <c r="T528" s="1096"/>
      <c r="U528" s="1096"/>
      <c r="V528" s="1096"/>
      <c r="W528" s="1096"/>
      <c r="X528" s="1096"/>
      <c r="Y528" s="1096"/>
      <c r="Z528" s="1096"/>
      <c r="AA528" s="1096"/>
      <c r="AB528" s="1096"/>
      <c r="AC528" s="1096"/>
      <c r="AD528" s="1096"/>
      <c r="AE528" s="1096"/>
      <c r="AF528" s="2616">
        <v>4</v>
      </c>
      <c r="AG528" s="2617" t="s">
        <v>1026</v>
      </c>
      <c r="AH528" s="2617" t="s">
        <v>1035</v>
      </c>
      <c r="AI528" s="2616"/>
      <c r="AJ528" s="2617"/>
      <c r="AK528" s="2617"/>
      <c r="AL528" s="1900"/>
      <c r="AM528" s="1738"/>
      <c r="AN528" s="1738"/>
      <c r="AO528" s="1738"/>
      <c r="AP528" s="1738"/>
      <c r="AQ528" s="1738"/>
      <c r="AR528" s="1738"/>
      <c r="AS528" s="1738"/>
      <c r="AT528" s="1738"/>
      <c r="AU528" s="1738"/>
      <c r="AV528" s="1738"/>
      <c r="AW528" s="1738"/>
      <c r="AX528" s="1738"/>
      <c r="AY528" s="1738"/>
      <c r="AZ528" s="1738"/>
      <c r="BA528" s="1738"/>
      <c r="BB528" s="1738"/>
      <c r="BC528" s="1738"/>
      <c r="BD528" s="1738"/>
      <c r="BE528" s="1738"/>
      <c r="BF528" s="1738"/>
    </row>
    <row r="529" spans="1:58" ht="11.25" customHeight="1">
      <c r="A529" s="1084" t="s">
        <v>992</v>
      </c>
      <c r="B529" s="1084"/>
      <c r="C529" s="1084"/>
      <c r="D529" s="1078"/>
      <c r="E529" s="1088"/>
      <c r="F529" s="2605"/>
      <c r="G529" s="2606"/>
      <c r="H529" s="2601" t="s">
        <v>95</v>
      </c>
      <c r="I529" s="2613"/>
      <c r="J529" s="2624"/>
      <c r="K529" s="2615"/>
      <c r="L529" s="2338"/>
      <c r="M529" s="2339"/>
      <c r="N529" s="2618"/>
      <c r="O529" s="2619">
        <v>1</v>
      </c>
      <c r="P529" s="2620" t="s">
        <v>19</v>
      </c>
      <c r="Q529" s="2573" t="s">
        <v>22</v>
      </c>
      <c r="R529" s="2573" t="s">
        <v>22</v>
      </c>
      <c r="S529" s="2573" t="s">
        <v>22</v>
      </c>
      <c r="T529" s="2573" t="s">
        <v>22</v>
      </c>
      <c r="U529" s="2573" t="s">
        <v>22</v>
      </c>
      <c r="V529" s="2573" t="s">
        <v>22</v>
      </c>
      <c r="W529" s="2573" t="s">
        <v>22</v>
      </c>
      <c r="X529" s="2573" t="s">
        <v>22</v>
      </c>
      <c r="Y529" s="2573"/>
      <c r="Z529" s="1093"/>
      <c r="AA529" s="1094"/>
      <c r="AB529" s="1094"/>
      <c r="AC529" s="1098"/>
      <c r="AD529" s="1098"/>
      <c r="AE529" s="1099"/>
      <c r="AF529" s="2616"/>
      <c r="AG529" s="2617"/>
      <c r="AH529" s="2617"/>
      <c r="AI529" s="2616"/>
      <c r="AJ529" s="2617"/>
      <c r="AK529" s="2617"/>
      <c r="AL529" s="1900"/>
      <c r="AM529" s="1738"/>
      <c r="AN529" s="1738"/>
      <c r="AO529" s="1738"/>
      <c r="AP529" s="1738"/>
      <c r="AQ529" s="1738"/>
      <c r="AR529" s="1738"/>
      <c r="AS529" s="1738"/>
      <c r="AT529" s="1738"/>
      <c r="AU529" s="1738"/>
      <c r="AV529" s="1738"/>
      <c r="AW529" s="1738"/>
      <c r="AX529" s="1738"/>
      <c r="AY529" s="1738"/>
      <c r="AZ529" s="1738"/>
      <c r="BA529" s="1738"/>
      <c r="BB529" s="1738"/>
      <c r="BC529" s="1738"/>
      <c r="BD529" s="1738"/>
      <c r="BE529" s="1738"/>
      <c r="BF529" s="1738"/>
    </row>
    <row r="530" spans="1:58" ht="39.75" customHeight="1">
      <c r="A530" s="1084" t="s">
        <v>992</v>
      </c>
      <c r="B530" s="1084"/>
      <c r="C530" s="1084"/>
      <c r="D530" s="1078"/>
      <c r="E530" s="1088"/>
      <c r="F530" s="2605"/>
      <c r="G530" s="2606"/>
      <c r="H530" s="2601" t="s">
        <v>95</v>
      </c>
      <c r="I530" s="2613"/>
      <c r="J530" s="2624"/>
      <c r="K530" s="2615"/>
      <c r="L530" s="2338"/>
      <c r="M530" s="2339"/>
      <c r="N530" s="2618"/>
      <c r="O530" s="2619"/>
      <c r="P530" s="2621"/>
      <c r="Q530" s="2573"/>
      <c r="R530" s="2573"/>
      <c r="S530" s="2623"/>
      <c r="T530" s="2573"/>
      <c r="U530" s="2573"/>
      <c r="V530" s="2573"/>
      <c r="W530" s="2573"/>
      <c r="X530" s="2573"/>
      <c r="Y530" s="2573"/>
      <c r="Z530" s="1743"/>
      <c r="AA530" s="1711">
        <v>1</v>
      </c>
      <c r="AB530" s="1097" t="s">
        <v>1036</v>
      </c>
      <c r="AC530" s="1087">
        <v>525443.90179993596</v>
      </c>
      <c r="AD530" s="1097" t="str">
        <f>AB530</f>
        <v xml:space="preserve">      Прочие амортизационные отчисления</v>
      </c>
      <c r="AE530" s="1087"/>
      <c r="AF530" s="2616"/>
      <c r="AG530" s="2617"/>
      <c r="AH530" s="2617"/>
      <c r="AI530" s="2616"/>
      <c r="AJ530" s="2617"/>
      <c r="AK530" s="2617"/>
      <c r="AL530" s="1900"/>
      <c r="AM530" s="1738"/>
      <c r="AN530" s="1738"/>
      <c r="AO530" s="1738"/>
      <c r="AP530" s="1738"/>
      <c r="AQ530" s="1738"/>
      <c r="AR530" s="1738"/>
      <c r="AS530" s="1738"/>
      <c r="AT530" s="1738"/>
      <c r="AU530" s="1738"/>
      <c r="AV530" s="1738"/>
      <c r="AW530" s="1738"/>
      <c r="AX530" s="1738"/>
      <c r="AY530" s="1738"/>
      <c r="AZ530" s="1738"/>
      <c r="BA530" s="1738"/>
      <c r="BB530" s="1738"/>
      <c r="BC530" s="1738"/>
      <c r="BD530" s="1738"/>
      <c r="BE530" s="1738"/>
      <c r="BF530" s="1738"/>
    </row>
    <row r="531" spans="1:58" ht="11.25" customHeight="1">
      <c r="A531" s="1084" t="s">
        <v>992</v>
      </c>
      <c r="B531" s="1084"/>
      <c r="C531" s="1084"/>
      <c r="D531" s="1078"/>
      <c r="E531" s="1088"/>
      <c r="F531" s="2606"/>
      <c r="G531" s="2606"/>
      <c r="H531" s="2606"/>
      <c r="I531" s="2606"/>
      <c r="J531" s="2606"/>
      <c r="K531" s="2606"/>
      <c r="L531" s="2606"/>
      <c r="M531" s="2606"/>
      <c r="N531" s="2606"/>
      <c r="O531" s="2606"/>
      <c r="P531" s="2606"/>
      <c r="Q531" s="2606"/>
      <c r="R531" s="2606"/>
      <c r="S531" s="2606"/>
      <c r="T531" s="2606"/>
      <c r="U531" s="2606"/>
      <c r="V531" s="2606"/>
      <c r="W531" s="2606"/>
      <c r="X531" s="2606"/>
      <c r="Y531" s="2606"/>
      <c r="Z531" s="2054" t="s">
        <v>686</v>
      </c>
      <c r="AA531" s="1731" t="s">
        <v>109</v>
      </c>
      <c r="AB531" s="1097" t="s">
        <v>1028</v>
      </c>
      <c r="AC531" s="1087">
        <v>229362.402301233</v>
      </c>
      <c r="AD531" s="1097" t="str">
        <f>AB531</f>
        <v xml:space="preserve">  Прочие</v>
      </c>
      <c r="AE531" s="1087"/>
      <c r="AF531" s="2625"/>
      <c r="AG531" s="2626"/>
      <c r="AH531" s="2626"/>
      <c r="AI531" s="2625"/>
      <c r="AJ531" s="2626"/>
      <c r="AK531" s="2627"/>
      <c r="AL531" s="1900"/>
      <c r="AM531" s="1738"/>
      <c r="AN531" s="1738"/>
      <c r="AO531" s="1738"/>
      <c r="AP531" s="1738"/>
      <c r="AQ531" s="1738"/>
      <c r="AR531" s="1738"/>
      <c r="AS531" s="1738"/>
      <c r="AT531" s="1738"/>
      <c r="AU531" s="1738"/>
      <c r="AV531" s="1738"/>
      <c r="AW531" s="1738"/>
      <c r="AX531" s="1738"/>
      <c r="AY531" s="1738"/>
      <c r="AZ531" s="1738"/>
      <c r="BA531" s="1738"/>
      <c r="BB531" s="1738"/>
      <c r="BC531" s="1738"/>
      <c r="BD531" s="1738"/>
      <c r="BE531" s="1738"/>
      <c r="BF531" s="1738"/>
    </row>
    <row r="532" spans="1:58" ht="11.25" customHeight="1">
      <c r="A532" s="1084" t="s">
        <v>992</v>
      </c>
      <c r="B532" s="1084"/>
      <c r="C532" s="1084"/>
      <c r="D532" s="1078"/>
      <c r="E532" s="1088"/>
      <c r="F532" s="2605"/>
      <c r="G532" s="2606"/>
      <c r="H532" s="2601" t="s">
        <v>95</v>
      </c>
      <c r="I532" s="2613"/>
      <c r="J532" s="2624"/>
      <c r="K532" s="2615"/>
      <c r="L532" s="2338"/>
      <c r="M532" s="2339"/>
      <c r="N532" s="2618"/>
      <c r="O532" s="2619"/>
      <c r="P532" s="2622"/>
      <c r="Q532" s="2573"/>
      <c r="R532" s="2573"/>
      <c r="S532" s="2623"/>
      <c r="T532" s="2573"/>
      <c r="U532" s="2573"/>
      <c r="V532" s="2573"/>
      <c r="W532" s="2573"/>
      <c r="X532" s="2573"/>
      <c r="Y532" s="2573"/>
      <c r="Z532" s="1093"/>
      <c r="AA532" s="1094"/>
      <c r="AB532" s="1159" t="s">
        <v>1029</v>
      </c>
      <c r="AC532" s="1098"/>
      <c r="AD532" s="1098"/>
      <c r="AE532" s="1100"/>
      <c r="AF532" s="2616"/>
      <c r="AG532" s="2617"/>
      <c r="AH532" s="2617"/>
      <c r="AI532" s="2616"/>
      <c r="AJ532" s="2617"/>
      <c r="AK532" s="2617"/>
      <c r="AL532" s="1900"/>
      <c r="AM532" s="1738"/>
      <c r="AN532" s="1738"/>
      <c r="AO532" s="1738"/>
      <c r="AP532" s="1738"/>
      <c r="AQ532" s="1738"/>
      <c r="AR532" s="1738"/>
      <c r="AS532" s="1738"/>
      <c r="AT532" s="1738"/>
      <c r="AU532" s="1738"/>
      <c r="AV532" s="1738"/>
      <c r="AW532" s="1738"/>
      <c r="AX532" s="1738"/>
      <c r="AY532" s="1738"/>
      <c r="AZ532" s="1738"/>
      <c r="BA532" s="1738"/>
      <c r="BB532" s="1738"/>
      <c r="BC532" s="1738"/>
      <c r="BD532" s="1738"/>
      <c r="BE532" s="1738"/>
      <c r="BF532" s="1738"/>
    </row>
    <row r="533" spans="1:58" ht="11.25" customHeight="1">
      <c r="A533" s="1084" t="s">
        <v>992</v>
      </c>
      <c r="B533" s="1084"/>
      <c r="C533" s="1084"/>
      <c r="D533" s="1078"/>
      <c r="E533" s="1088"/>
      <c r="F533" s="2605"/>
      <c r="G533" s="2606"/>
      <c r="H533" s="2601" t="s">
        <v>95</v>
      </c>
      <c r="I533" s="2613"/>
      <c r="J533" s="2624"/>
      <c r="K533" s="2615"/>
      <c r="L533" s="2338"/>
      <c r="M533" s="2339"/>
      <c r="N533" s="1093"/>
      <c r="O533" s="1094"/>
      <c r="P533" s="1086" t="s">
        <v>1030</v>
      </c>
      <c r="Q533" s="1094"/>
      <c r="R533" s="1094"/>
      <c r="S533" s="1094"/>
      <c r="T533" s="1094"/>
      <c r="U533" s="1094"/>
      <c r="V533" s="1094"/>
      <c r="W533" s="1094"/>
      <c r="X533" s="1094"/>
      <c r="Y533" s="1094"/>
      <c r="Z533" s="1094"/>
      <c r="AA533" s="1094"/>
      <c r="AB533" s="1094"/>
      <c r="AC533" s="1094"/>
      <c r="AD533" s="1094"/>
      <c r="AE533" s="1101"/>
      <c r="AF533" s="2616"/>
      <c r="AG533" s="2617"/>
      <c r="AH533" s="2617"/>
      <c r="AI533" s="2616"/>
      <c r="AJ533" s="2617"/>
      <c r="AK533" s="2617"/>
      <c r="AL533" s="1900"/>
      <c r="AM533" s="1738"/>
      <c r="AN533" s="1738"/>
      <c r="AO533" s="1738"/>
      <c r="AP533" s="1738"/>
      <c r="AQ533" s="1738"/>
      <c r="AR533" s="1738"/>
      <c r="AS533" s="1738"/>
      <c r="AT533" s="1738"/>
      <c r="AU533" s="1738"/>
      <c r="AV533" s="1738"/>
      <c r="AW533" s="1738"/>
      <c r="AX533" s="1738"/>
      <c r="AY533" s="1738"/>
      <c r="AZ533" s="1738"/>
      <c r="BA533" s="1738"/>
      <c r="BB533" s="1738"/>
      <c r="BC533" s="1738"/>
      <c r="BD533" s="1738"/>
      <c r="BE533" s="1738"/>
      <c r="BF533" s="1738"/>
    </row>
    <row r="534" spans="1:58" ht="11.25" customHeight="1">
      <c r="A534" s="1084" t="s">
        <v>992</v>
      </c>
      <c r="B534" s="1084" t="s">
        <v>1031</v>
      </c>
      <c r="C534" s="1084"/>
      <c r="D534" s="1078"/>
      <c r="E534" s="1088"/>
      <c r="F534" s="2605"/>
      <c r="G534" s="2590" t="s">
        <v>686</v>
      </c>
      <c r="H534" s="2601" t="s">
        <v>111</v>
      </c>
      <c r="I534" s="2613" t="s">
        <v>1032</v>
      </c>
      <c r="J534" s="2624" t="s">
        <v>1033</v>
      </c>
      <c r="K534" s="2615" t="s">
        <v>1077</v>
      </c>
      <c r="L534" s="2338" t="s">
        <v>19</v>
      </c>
      <c r="M534" s="2339"/>
      <c r="N534" s="1898"/>
      <c r="O534" s="1095" t="s">
        <v>373</v>
      </c>
      <c r="P534" s="1096"/>
      <c r="Q534" s="1096"/>
      <c r="R534" s="1096"/>
      <c r="S534" s="1096"/>
      <c r="T534" s="1096"/>
      <c r="U534" s="1096"/>
      <c r="V534" s="1096"/>
      <c r="W534" s="1096"/>
      <c r="X534" s="1096"/>
      <c r="Y534" s="1096"/>
      <c r="Z534" s="1096"/>
      <c r="AA534" s="1096"/>
      <c r="AB534" s="1096"/>
      <c r="AC534" s="1096"/>
      <c r="AD534" s="1096"/>
      <c r="AE534" s="1096"/>
      <c r="AF534" s="2616">
        <v>3</v>
      </c>
      <c r="AG534" s="2617" t="s">
        <v>1026</v>
      </c>
      <c r="AH534" s="2617" t="s">
        <v>1035</v>
      </c>
      <c r="AI534" s="2616"/>
      <c r="AJ534" s="2617"/>
      <c r="AK534" s="2617"/>
      <c r="AL534" s="1900"/>
      <c r="AM534" s="1738"/>
      <c r="AN534" s="1738"/>
      <c r="AO534" s="1738"/>
      <c r="AP534" s="1738"/>
      <c r="AQ534" s="1738"/>
      <c r="AR534" s="1738"/>
      <c r="AS534" s="1738"/>
      <c r="AT534" s="1738"/>
      <c r="AU534" s="1738"/>
      <c r="AV534" s="1738"/>
      <c r="AW534" s="1738"/>
      <c r="AX534" s="1738"/>
      <c r="AY534" s="1738"/>
      <c r="AZ534" s="1738"/>
      <c r="BA534" s="1738"/>
      <c r="BB534" s="1738"/>
      <c r="BC534" s="1738"/>
      <c r="BD534" s="1738"/>
      <c r="BE534" s="1738"/>
      <c r="BF534" s="1738"/>
    </row>
    <row r="535" spans="1:58" ht="11.25" customHeight="1">
      <c r="A535" s="1084" t="s">
        <v>992</v>
      </c>
      <c r="B535" s="1084"/>
      <c r="C535" s="1084"/>
      <c r="D535" s="1078"/>
      <c r="E535" s="1088"/>
      <c r="F535" s="2605"/>
      <c r="G535" s="2606"/>
      <c r="H535" s="2601" t="s">
        <v>111</v>
      </c>
      <c r="I535" s="2613"/>
      <c r="J535" s="2624"/>
      <c r="K535" s="2615"/>
      <c r="L535" s="2338"/>
      <c r="M535" s="2339"/>
      <c r="N535" s="2618"/>
      <c r="O535" s="2619">
        <v>1</v>
      </c>
      <c r="P535" s="2620" t="s">
        <v>19</v>
      </c>
      <c r="Q535" s="2573" t="s">
        <v>22</v>
      </c>
      <c r="R535" s="2573" t="s">
        <v>22</v>
      </c>
      <c r="S535" s="2573" t="s">
        <v>22</v>
      </c>
      <c r="T535" s="2573" t="s">
        <v>22</v>
      </c>
      <c r="U535" s="2573" t="s">
        <v>22</v>
      </c>
      <c r="V535" s="2573" t="s">
        <v>22</v>
      </c>
      <c r="W535" s="2573" t="s">
        <v>22</v>
      </c>
      <c r="X535" s="2573" t="s">
        <v>22</v>
      </c>
      <c r="Y535" s="2573"/>
      <c r="Z535" s="1093"/>
      <c r="AA535" s="1094"/>
      <c r="AB535" s="1094"/>
      <c r="AC535" s="1098"/>
      <c r="AD535" s="1098"/>
      <c r="AE535" s="1099"/>
      <c r="AF535" s="2616"/>
      <c r="AG535" s="2617"/>
      <c r="AH535" s="2617"/>
      <c r="AI535" s="2616"/>
      <c r="AJ535" s="2617"/>
      <c r="AK535" s="2617"/>
      <c r="AL535" s="1900"/>
      <c r="AM535" s="1738"/>
      <c r="AN535" s="1738"/>
      <c r="AO535" s="1738"/>
      <c r="AP535" s="1738"/>
      <c r="AQ535" s="1738"/>
      <c r="AR535" s="1738"/>
      <c r="AS535" s="1738"/>
      <c r="AT535" s="1738"/>
      <c r="AU535" s="1738"/>
      <c r="AV535" s="1738"/>
      <c r="AW535" s="1738"/>
      <c r="AX535" s="1738"/>
      <c r="AY535" s="1738"/>
      <c r="AZ535" s="1738"/>
      <c r="BA535" s="1738"/>
      <c r="BB535" s="1738"/>
      <c r="BC535" s="1738"/>
      <c r="BD535" s="1738"/>
      <c r="BE535" s="1738"/>
      <c r="BF535" s="1738"/>
    </row>
    <row r="536" spans="1:58" ht="11.25" customHeight="1">
      <c r="A536" s="1084" t="s">
        <v>992</v>
      </c>
      <c r="B536" s="1084"/>
      <c r="C536" s="1084"/>
      <c r="D536" s="1078"/>
      <c r="E536" s="1088"/>
      <c r="F536" s="2605"/>
      <c r="G536" s="2606"/>
      <c r="H536" s="2601" t="s">
        <v>111</v>
      </c>
      <c r="I536" s="2613"/>
      <c r="J536" s="2624"/>
      <c r="K536" s="2615"/>
      <c r="L536" s="2338"/>
      <c r="M536" s="2339"/>
      <c r="N536" s="2618"/>
      <c r="O536" s="2619"/>
      <c r="P536" s="2621"/>
      <c r="Q536" s="2573"/>
      <c r="R536" s="2573"/>
      <c r="S536" s="2623"/>
      <c r="T536" s="2573"/>
      <c r="U536" s="2573"/>
      <c r="V536" s="2573"/>
      <c r="W536" s="2573"/>
      <c r="X536" s="2573"/>
      <c r="Y536" s="2573"/>
      <c r="Z536" s="1743"/>
      <c r="AA536" s="1711">
        <v>1</v>
      </c>
      <c r="AB536" s="1097" t="s">
        <v>1036</v>
      </c>
      <c r="AC536" s="1087">
        <v>334000</v>
      </c>
      <c r="AD536" s="1097" t="str">
        <f>AB536</f>
        <v xml:space="preserve">      Прочие амортизационные отчисления</v>
      </c>
      <c r="AE536" s="1087"/>
      <c r="AF536" s="2616"/>
      <c r="AG536" s="2617"/>
      <c r="AH536" s="2617"/>
      <c r="AI536" s="2616"/>
      <c r="AJ536" s="2617"/>
      <c r="AK536" s="2617"/>
      <c r="AL536" s="1900"/>
      <c r="AM536" s="1738"/>
      <c r="AN536" s="1738"/>
      <c r="AO536" s="1738"/>
      <c r="AP536" s="1738"/>
      <c r="AQ536" s="1738"/>
      <c r="AR536" s="1738"/>
      <c r="AS536" s="1738"/>
      <c r="AT536" s="1738"/>
      <c r="AU536" s="1738"/>
      <c r="AV536" s="1738"/>
      <c r="AW536" s="1738"/>
      <c r="AX536" s="1738"/>
      <c r="AY536" s="1738"/>
      <c r="AZ536" s="1738"/>
      <c r="BA536" s="1738"/>
      <c r="BB536" s="1738"/>
      <c r="BC536" s="1738"/>
      <c r="BD536" s="1738"/>
      <c r="BE536" s="1738"/>
      <c r="BF536" s="1738"/>
    </row>
    <row r="537" spans="1:58" ht="11.25" customHeight="1">
      <c r="A537" s="1084" t="s">
        <v>992</v>
      </c>
      <c r="B537" s="1084"/>
      <c r="C537" s="1084"/>
      <c r="D537" s="1078"/>
      <c r="E537" s="1088"/>
      <c r="F537" s="2605"/>
      <c r="G537" s="2606"/>
      <c r="H537" s="2601" t="s">
        <v>111</v>
      </c>
      <c r="I537" s="2613"/>
      <c r="J537" s="2624"/>
      <c r="K537" s="2615"/>
      <c r="L537" s="2338"/>
      <c r="M537" s="2339"/>
      <c r="N537" s="2618"/>
      <c r="O537" s="2619"/>
      <c r="P537" s="2622"/>
      <c r="Q537" s="2573"/>
      <c r="R537" s="2573"/>
      <c r="S537" s="2623"/>
      <c r="T537" s="2573"/>
      <c r="U537" s="2573"/>
      <c r="V537" s="2573"/>
      <c r="W537" s="2573"/>
      <c r="X537" s="2573"/>
      <c r="Y537" s="2573"/>
      <c r="Z537" s="1093"/>
      <c r="AA537" s="1094"/>
      <c r="AB537" s="1159" t="s">
        <v>1029</v>
      </c>
      <c r="AC537" s="1098"/>
      <c r="AD537" s="1098"/>
      <c r="AE537" s="1100"/>
      <c r="AF537" s="2616"/>
      <c r="AG537" s="2617"/>
      <c r="AH537" s="2617"/>
      <c r="AI537" s="2616"/>
      <c r="AJ537" s="2617"/>
      <c r="AK537" s="2617"/>
      <c r="AL537" s="1900"/>
      <c r="AM537" s="1738"/>
      <c r="AN537" s="1738"/>
      <c r="AO537" s="1738"/>
      <c r="AP537" s="1738"/>
      <c r="AQ537" s="1738"/>
      <c r="AR537" s="1738"/>
      <c r="AS537" s="1738"/>
      <c r="AT537" s="1738"/>
      <c r="AU537" s="1738"/>
      <c r="AV537" s="1738"/>
      <c r="AW537" s="1738"/>
      <c r="AX537" s="1738"/>
      <c r="AY537" s="1738"/>
      <c r="AZ537" s="1738"/>
      <c r="BA537" s="1738"/>
      <c r="BB537" s="1738"/>
      <c r="BC537" s="1738"/>
      <c r="BD537" s="1738"/>
      <c r="BE537" s="1738"/>
      <c r="BF537" s="1738"/>
    </row>
    <row r="538" spans="1:58" ht="11.25" customHeight="1">
      <c r="A538" s="1084" t="s">
        <v>992</v>
      </c>
      <c r="B538" s="1084"/>
      <c r="C538" s="1084"/>
      <c r="D538" s="1078"/>
      <c r="E538" s="1088"/>
      <c r="F538" s="2605"/>
      <c r="G538" s="2606"/>
      <c r="H538" s="2601" t="s">
        <v>111</v>
      </c>
      <c r="I538" s="2613"/>
      <c r="J538" s="2624"/>
      <c r="K538" s="2615"/>
      <c r="L538" s="2338"/>
      <c r="M538" s="2339"/>
      <c r="N538" s="1093"/>
      <c r="O538" s="1094"/>
      <c r="P538" s="1086" t="s">
        <v>1030</v>
      </c>
      <c r="Q538" s="1094"/>
      <c r="R538" s="1094"/>
      <c r="S538" s="1094"/>
      <c r="T538" s="1094"/>
      <c r="U538" s="1094"/>
      <c r="V538" s="1094"/>
      <c r="W538" s="1094"/>
      <c r="X538" s="1094"/>
      <c r="Y538" s="1094"/>
      <c r="Z538" s="1094"/>
      <c r="AA538" s="1094"/>
      <c r="AB538" s="1094"/>
      <c r="AC538" s="1094"/>
      <c r="AD538" s="1094"/>
      <c r="AE538" s="1101"/>
      <c r="AF538" s="2616"/>
      <c r="AG538" s="2617"/>
      <c r="AH538" s="2617"/>
      <c r="AI538" s="2616"/>
      <c r="AJ538" s="2617"/>
      <c r="AK538" s="2617"/>
      <c r="AL538" s="1900"/>
      <c r="AM538" s="1738"/>
      <c r="AN538" s="1738"/>
      <c r="AO538" s="1738"/>
      <c r="AP538" s="1738"/>
      <c r="AQ538" s="1738"/>
      <c r="AR538" s="1738"/>
      <c r="AS538" s="1738"/>
      <c r="AT538" s="1738"/>
      <c r="AU538" s="1738"/>
      <c r="AV538" s="1738"/>
      <c r="AW538" s="1738"/>
      <c r="AX538" s="1738"/>
      <c r="AY538" s="1738"/>
      <c r="AZ538" s="1738"/>
      <c r="BA538" s="1738"/>
      <c r="BB538" s="1738"/>
      <c r="BC538" s="1738"/>
      <c r="BD538" s="1738"/>
      <c r="BE538" s="1738"/>
      <c r="BF538" s="1738"/>
    </row>
    <row r="539" spans="1:58" ht="11.25" customHeight="1">
      <c r="A539" s="1084" t="s">
        <v>992</v>
      </c>
      <c r="B539" s="1084" t="s">
        <v>22</v>
      </c>
      <c r="C539" s="1084"/>
      <c r="D539" s="1078"/>
      <c r="E539" s="1088"/>
      <c r="F539" s="2605"/>
      <c r="G539" s="2590" t="s">
        <v>686</v>
      </c>
      <c r="H539" s="2601" t="s">
        <v>147</v>
      </c>
      <c r="I539" s="2613" t="s">
        <v>1050</v>
      </c>
      <c r="J539" s="2614" t="s">
        <v>22</v>
      </c>
      <c r="K539" s="2615" t="s">
        <v>1051</v>
      </c>
      <c r="L539" s="2338" t="s">
        <v>19</v>
      </c>
      <c r="M539" s="2339"/>
      <c r="N539" s="1898"/>
      <c r="O539" s="1095" t="s">
        <v>373</v>
      </c>
      <c r="P539" s="1096"/>
      <c r="Q539" s="1096"/>
      <c r="R539" s="1096"/>
      <c r="S539" s="1096"/>
      <c r="T539" s="1096"/>
      <c r="U539" s="1096"/>
      <c r="V539" s="1096"/>
      <c r="W539" s="1096"/>
      <c r="X539" s="1096"/>
      <c r="Y539" s="1096"/>
      <c r="Z539" s="1096"/>
      <c r="AA539" s="1096"/>
      <c r="AB539" s="1096"/>
      <c r="AC539" s="1096"/>
      <c r="AD539" s="1096"/>
      <c r="AE539" s="1096"/>
      <c r="AF539" s="2616">
        <v>14</v>
      </c>
      <c r="AG539" s="2617" t="s">
        <v>1026</v>
      </c>
      <c r="AH539" s="2617" t="s">
        <v>1035</v>
      </c>
      <c r="AI539" s="2616"/>
      <c r="AJ539" s="2617"/>
      <c r="AK539" s="2617"/>
      <c r="AL539" s="1900"/>
      <c r="AM539" s="1738"/>
      <c r="AN539" s="1738"/>
      <c r="AO539" s="1738"/>
      <c r="AP539" s="1738"/>
      <c r="AQ539" s="1738"/>
      <c r="AR539" s="1738"/>
      <c r="AS539" s="1738"/>
      <c r="AT539" s="1738"/>
      <c r="AU539" s="1738"/>
      <c r="AV539" s="1738"/>
      <c r="AW539" s="1738"/>
      <c r="AX539" s="1738"/>
      <c r="AY539" s="1738"/>
      <c r="AZ539" s="1738"/>
      <c r="BA539" s="1738"/>
      <c r="BB539" s="1738"/>
      <c r="BC539" s="1738"/>
      <c r="BD539" s="1738"/>
      <c r="BE539" s="1738"/>
      <c r="BF539" s="1738"/>
    </row>
    <row r="540" spans="1:58" ht="11.25" customHeight="1">
      <c r="A540" s="1084" t="s">
        <v>992</v>
      </c>
      <c r="B540" s="1084"/>
      <c r="C540" s="1084"/>
      <c r="D540" s="1078"/>
      <c r="E540" s="1088"/>
      <c r="F540" s="2605"/>
      <c r="G540" s="2606"/>
      <c r="H540" s="2601" t="s">
        <v>147</v>
      </c>
      <c r="I540" s="2613"/>
      <c r="J540" s="2614"/>
      <c r="K540" s="2615"/>
      <c r="L540" s="2338"/>
      <c r="M540" s="2339"/>
      <c r="N540" s="2618"/>
      <c r="O540" s="2619">
        <v>1</v>
      </c>
      <c r="P540" s="2620" t="s">
        <v>19</v>
      </c>
      <c r="Q540" s="2573" t="s">
        <v>22</v>
      </c>
      <c r="R540" s="2573" t="s">
        <v>22</v>
      </c>
      <c r="S540" s="2573" t="s">
        <v>22</v>
      </c>
      <c r="T540" s="2573" t="s">
        <v>22</v>
      </c>
      <c r="U540" s="2573" t="s">
        <v>22</v>
      </c>
      <c r="V540" s="2573" t="s">
        <v>22</v>
      </c>
      <c r="W540" s="2573" t="s">
        <v>22</v>
      </c>
      <c r="X540" s="2573" t="s">
        <v>22</v>
      </c>
      <c r="Y540" s="2573"/>
      <c r="Z540" s="1093"/>
      <c r="AA540" s="1094"/>
      <c r="AB540" s="1094"/>
      <c r="AC540" s="1098"/>
      <c r="AD540" s="1098"/>
      <c r="AE540" s="1099"/>
      <c r="AF540" s="2616"/>
      <c r="AG540" s="2617"/>
      <c r="AH540" s="2617"/>
      <c r="AI540" s="2616"/>
      <c r="AJ540" s="2617"/>
      <c r="AK540" s="2617"/>
      <c r="AL540" s="1900"/>
      <c r="AM540" s="1738"/>
      <c r="AN540" s="1738"/>
      <c r="AO540" s="1738"/>
      <c r="AP540" s="1738"/>
      <c r="AQ540" s="1738"/>
      <c r="AR540" s="1738"/>
      <c r="AS540" s="1738"/>
      <c r="AT540" s="1738"/>
      <c r="AU540" s="1738"/>
      <c r="AV540" s="1738"/>
      <c r="AW540" s="1738"/>
      <c r="AX540" s="1738"/>
      <c r="AY540" s="1738"/>
      <c r="AZ540" s="1738"/>
      <c r="BA540" s="1738"/>
      <c r="BB540" s="1738"/>
      <c r="BC540" s="1738"/>
      <c r="BD540" s="1738"/>
      <c r="BE540" s="1738"/>
      <c r="BF540" s="1738"/>
    </row>
    <row r="541" spans="1:58" ht="11.25" customHeight="1">
      <c r="A541" s="1084" t="s">
        <v>992</v>
      </c>
      <c r="B541" s="1084"/>
      <c r="C541" s="1084"/>
      <c r="D541" s="1078"/>
      <c r="E541" s="1088"/>
      <c r="F541" s="2605"/>
      <c r="G541" s="2606"/>
      <c r="H541" s="2601" t="s">
        <v>147</v>
      </c>
      <c r="I541" s="2613"/>
      <c r="J541" s="2614"/>
      <c r="K541" s="2615"/>
      <c r="L541" s="2338"/>
      <c r="M541" s="2339"/>
      <c r="N541" s="2618"/>
      <c r="O541" s="2619"/>
      <c r="P541" s="2621"/>
      <c r="Q541" s="2573"/>
      <c r="R541" s="2573"/>
      <c r="S541" s="2623"/>
      <c r="T541" s="2573"/>
      <c r="U541" s="2573"/>
      <c r="V541" s="2573"/>
      <c r="W541" s="2573"/>
      <c r="X541" s="2573"/>
      <c r="Y541" s="2573"/>
      <c r="Z541" s="1743"/>
      <c r="AA541" s="1711">
        <v>1</v>
      </c>
      <c r="AB541" s="1097" t="s">
        <v>1036</v>
      </c>
      <c r="AC541" s="1087">
        <v>67432.411736253503</v>
      </c>
      <c r="AD541" s="1097" t="str">
        <f>AB541</f>
        <v xml:space="preserve">      Прочие амортизационные отчисления</v>
      </c>
      <c r="AE541" s="1087"/>
      <c r="AF541" s="2616"/>
      <c r="AG541" s="2617"/>
      <c r="AH541" s="2617"/>
      <c r="AI541" s="2616"/>
      <c r="AJ541" s="2617"/>
      <c r="AK541" s="2617"/>
      <c r="AL541" s="1900"/>
      <c r="AM541" s="1738"/>
      <c r="AN541" s="1738"/>
      <c r="AO541" s="1738"/>
      <c r="AP541" s="1738"/>
      <c r="AQ541" s="1738"/>
      <c r="AR541" s="1738"/>
      <c r="AS541" s="1738"/>
      <c r="AT541" s="1738"/>
      <c r="AU541" s="1738"/>
      <c r="AV541" s="1738"/>
      <c r="AW541" s="1738"/>
      <c r="AX541" s="1738"/>
      <c r="AY541" s="1738"/>
      <c r="AZ541" s="1738"/>
      <c r="BA541" s="1738"/>
      <c r="BB541" s="1738"/>
      <c r="BC541" s="1738"/>
      <c r="BD541" s="1738"/>
      <c r="BE541" s="1738"/>
      <c r="BF541" s="1738"/>
    </row>
    <row r="542" spans="1:58" ht="11.25" customHeight="1">
      <c r="A542" s="1084" t="s">
        <v>992</v>
      </c>
      <c r="B542" s="1084"/>
      <c r="C542" s="1084"/>
      <c r="D542" s="1078"/>
      <c r="E542" s="1088"/>
      <c r="F542" s="2606"/>
      <c r="G542" s="2606"/>
      <c r="H542" s="2606"/>
      <c r="I542" s="2606"/>
      <c r="J542" s="2606"/>
      <c r="K542" s="2606"/>
      <c r="L542" s="2606"/>
      <c r="M542" s="2606"/>
      <c r="N542" s="2606"/>
      <c r="O542" s="2606"/>
      <c r="P542" s="2606"/>
      <c r="Q542" s="2606"/>
      <c r="R542" s="2606"/>
      <c r="S542" s="2606"/>
      <c r="T542" s="2606"/>
      <c r="U542" s="2606"/>
      <c r="V542" s="2606"/>
      <c r="W542" s="2606"/>
      <c r="X542" s="2606"/>
      <c r="Y542" s="2606"/>
      <c r="Z542" s="2054" t="s">
        <v>686</v>
      </c>
      <c r="AA542" s="1731" t="s">
        <v>109</v>
      </c>
      <c r="AB542" s="1097" t="s">
        <v>1028</v>
      </c>
      <c r="AC542" s="1087">
        <v>50344.341728546497</v>
      </c>
      <c r="AD542" s="1097" t="str">
        <f>AB542</f>
        <v xml:space="preserve">  Прочие</v>
      </c>
      <c r="AE542" s="1087"/>
      <c r="AF542" s="2625"/>
      <c r="AG542" s="2626"/>
      <c r="AH542" s="2626"/>
      <c r="AI542" s="2625"/>
      <c r="AJ542" s="2626"/>
      <c r="AK542" s="2627"/>
      <c r="AL542" s="1900"/>
      <c r="AM542" s="1738"/>
      <c r="AN542" s="1738"/>
      <c r="AO542" s="1738"/>
      <c r="AP542" s="1738"/>
      <c r="AQ542" s="1738"/>
      <c r="AR542" s="1738"/>
      <c r="AS542" s="1738"/>
      <c r="AT542" s="1738"/>
      <c r="AU542" s="1738"/>
      <c r="AV542" s="1738"/>
      <c r="AW542" s="1738"/>
      <c r="AX542" s="1738"/>
      <c r="AY542" s="1738"/>
      <c r="AZ542" s="1738"/>
      <c r="BA542" s="1738"/>
      <c r="BB542" s="1738"/>
      <c r="BC542" s="1738"/>
      <c r="BD542" s="1738"/>
      <c r="BE542" s="1738"/>
      <c r="BF542" s="1738"/>
    </row>
    <row r="543" spans="1:58" ht="11.25" customHeight="1">
      <c r="A543" s="1084" t="s">
        <v>992</v>
      </c>
      <c r="B543" s="1084"/>
      <c r="C543" s="1084"/>
      <c r="D543" s="1078"/>
      <c r="E543" s="1088"/>
      <c r="F543" s="2605"/>
      <c r="G543" s="2606"/>
      <c r="H543" s="2601" t="s">
        <v>147</v>
      </c>
      <c r="I543" s="2613"/>
      <c r="J543" s="2614"/>
      <c r="K543" s="2615"/>
      <c r="L543" s="2338"/>
      <c r="M543" s="2339"/>
      <c r="N543" s="2618"/>
      <c r="O543" s="2619"/>
      <c r="P543" s="2622"/>
      <c r="Q543" s="2573"/>
      <c r="R543" s="2573"/>
      <c r="S543" s="2623"/>
      <c r="T543" s="2573"/>
      <c r="U543" s="2573"/>
      <c r="V543" s="2573"/>
      <c r="W543" s="2573"/>
      <c r="X543" s="2573"/>
      <c r="Y543" s="2573"/>
      <c r="Z543" s="1093"/>
      <c r="AA543" s="1094"/>
      <c r="AB543" s="1159" t="s">
        <v>1029</v>
      </c>
      <c r="AC543" s="1098"/>
      <c r="AD543" s="1098"/>
      <c r="AE543" s="1100"/>
      <c r="AF543" s="2616"/>
      <c r="AG543" s="2617"/>
      <c r="AH543" s="2617"/>
      <c r="AI543" s="2616"/>
      <c r="AJ543" s="2617"/>
      <c r="AK543" s="2617"/>
      <c r="AL543" s="1900"/>
      <c r="AM543" s="1738"/>
      <c r="AN543" s="1738"/>
      <c r="AO543" s="1738"/>
      <c r="AP543" s="1738"/>
      <c r="AQ543" s="1738"/>
      <c r="AR543" s="1738"/>
      <c r="AS543" s="1738"/>
      <c r="AT543" s="1738"/>
      <c r="AU543" s="1738"/>
      <c r="AV543" s="1738"/>
      <c r="AW543" s="1738"/>
      <c r="AX543" s="1738"/>
      <c r="AY543" s="1738"/>
      <c r="AZ543" s="1738"/>
      <c r="BA543" s="1738"/>
      <c r="BB543" s="1738"/>
      <c r="BC543" s="1738"/>
      <c r="BD543" s="1738"/>
      <c r="BE543" s="1738"/>
      <c r="BF543" s="1738"/>
    </row>
    <row r="544" spans="1:58" ht="11.25" customHeight="1">
      <c r="A544" s="1084" t="s">
        <v>992</v>
      </c>
      <c r="B544" s="1084"/>
      <c r="C544" s="1084"/>
      <c r="D544" s="1078"/>
      <c r="E544" s="1088"/>
      <c r="F544" s="2605"/>
      <c r="G544" s="2606"/>
      <c r="H544" s="2601" t="s">
        <v>147</v>
      </c>
      <c r="I544" s="2613"/>
      <c r="J544" s="2614"/>
      <c r="K544" s="2615"/>
      <c r="L544" s="2338"/>
      <c r="M544" s="2339"/>
      <c r="N544" s="1093"/>
      <c r="O544" s="1094"/>
      <c r="P544" s="1086" t="s">
        <v>1030</v>
      </c>
      <c r="Q544" s="1094"/>
      <c r="R544" s="1094"/>
      <c r="S544" s="1094"/>
      <c r="T544" s="1094"/>
      <c r="U544" s="1094"/>
      <c r="V544" s="1094"/>
      <c r="W544" s="1094"/>
      <c r="X544" s="1094"/>
      <c r="Y544" s="1094"/>
      <c r="Z544" s="1094"/>
      <c r="AA544" s="1094"/>
      <c r="AB544" s="1094"/>
      <c r="AC544" s="1094"/>
      <c r="AD544" s="1094"/>
      <c r="AE544" s="1101"/>
      <c r="AF544" s="2616"/>
      <c r="AG544" s="2617"/>
      <c r="AH544" s="2617"/>
      <c r="AI544" s="2616"/>
      <c r="AJ544" s="2617"/>
      <c r="AK544" s="2617"/>
      <c r="AL544" s="1900"/>
      <c r="AM544" s="1738"/>
      <c r="AN544" s="1738"/>
      <c r="AO544" s="1738"/>
      <c r="AP544" s="1738"/>
      <c r="AQ544" s="1738"/>
      <c r="AR544" s="1738"/>
      <c r="AS544" s="1738"/>
      <c r="AT544" s="1738"/>
      <c r="AU544" s="1738"/>
      <c r="AV544" s="1738"/>
      <c r="AW544" s="1738"/>
      <c r="AX544" s="1738"/>
      <c r="AY544" s="1738"/>
      <c r="AZ544" s="1738"/>
      <c r="BA544" s="1738"/>
      <c r="BB544" s="1738"/>
      <c r="BC544" s="1738"/>
      <c r="BD544" s="1738"/>
      <c r="BE544" s="1738"/>
      <c r="BF544" s="1738"/>
    </row>
    <row r="545" spans="1:58" ht="62.25" customHeight="1">
      <c r="A545" s="1084" t="s">
        <v>992</v>
      </c>
      <c r="B545" s="1084" t="s">
        <v>22</v>
      </c>
      <c r="C545" s="1084"/>
      <c r="D545" s="1078"/>
      <c r="E545" s="1088"/>
      <c r="F545" s="2605"/>
      <c r="G545" s="2590" t="s">
        <v>686</v>
      </c>
      <c r="H545" s="2601" t="s">
        <v>148</v>
      </c>
      <c r="I545" s="2613" t="s">
        <v>1024</v>
      </c>
      <c r="J545" s="2614" t="s">
        <v>22</v>
      </c>
      <c r="K545" s="2615" t="s">
        <v>1025</v>
      </c>
      <c r="L545" s="2338" t="s">
        <v>19</v>
      </c>
      <c r="M545" s="2339"/>
      <c r="N545" s="1898"/>
      <c r="O545" s="1095" t="s">
        <v>373</v>
      </c>
      <c r="P545" s="1096"/>
      <c r="Q545" s="1096"/>
      <c r="R545" s="1096"/>
      <c r="S545" s="1096"/>
      <c r="T545" s="1096"/>
      <c r="U545" s="1096"/>
      <c r="V545" s="1096"/>
      <c r="W545" s="1096"/>
      <c r="X545" s="1096"/>
      <c r="Y545" s="1096"/>
      <c r="Z545" s="1096"/>
      <c r="AA545" s="1096"/>
      <c r="AB545" s="1096"/>
      <c r="AC545" s="1096"/>
      <c r="AD545" s="1096"/>
      <c r="AE545" s="1096"/>
      <c r="AF545" s="2616">
        <v>6</v>
      </c>
      <c r="AG545" s="2617" t="s">
        <v>1026</v>
      </c>
      <c r="AH545" s="2617" t="s">
        <v>1035</v>
      </c>
      <c r="AI545" s="2616"/>
      <c r="AJ545" s="2617"/>
      <c r="AK545" s="2617"/>
      <c r="AL545" s="1900"/>
      <c r="AM545" s="1738"/>
      <c r="AN545" s="1738"/>
      <c r="AO545" s="1738"/>
      <c r="AP545" s="1738"/>
      <c r="AQ545" s="1738"/>
      <c r="AR545" s="1738"/>
      <c r="AS545" s="1738"/>
      <c r="AT545" s="1738"/>
      <c r="AU545" s="1738"/>
      <c r="AV545" s="1738"/>
      <c r="AW545" s="1738"/>
      <c r="AX545" s="1738"/>
      <c r="AY545" s="1738"/>
      <c r="AZ545" s="1738"/>
      <c r="BA545" s="1738"/>
      <c r="BB545" s="1738"/>
      <c r="BC545" s="1738"/>
      <c r="BD545" s="1738"/>
      <c r="BE545" s="1738"/>
      <c r="BF545" s="1738"/>
    </row>
    <row r="546" spans="1:58" ht="11.25" customHeight="1">
      <c r="A546" s="1084" t="s">
        <v>992</v>
      </c>
      <c r="B546" s="1084"/>
      <c r="C546" s="1084"/>
      <c r="D546" s="1078"/>
      <c r="E546" s="1088"/>
      <c r="F546" s="2605"/>
      <c r="G546" s="2606"/>
      <c r="H546" s="2601" t="s">
        <v>147</v>
      </c>
      <c r="I546" s="2613"/>
      <c r="J546" s="2614"/>
      <c r="K546" s="2615"/>
      <c r="L546" s="2338"/>
      <c r="M546" s="2339"/>
      <c r="N546" s="2618"/>
      <c r="O546" s="2619">
        <v>1</v>
      </c>
      <c r="P546" s="2620" t="s">
        <v>19</v>
      </c>
      <c r="Q546" s="2573" t="s">
        <v>22</v>
      </c>
      <c r="R546" s="2573" t="s">
        <v>22</v>
      </c>
      <c r="S546" s="2573" t="s">
        <v>22</v>
      </c>
      <c r="T546" s="2573" t="s">
        <v>22</v>
      </c>
      <c r="U546" s="2573" t="s">
        <v>22</v>
      </c>
      <c r="V546" s="2573" t="s">
        <v>22</v>
      </c>
      <c r="W546" s="2573" t="s">
        <v>22</v>
      </c>
      <c r="X546" s="2573" t="s">
        <v>22</v>
      </c>
      <c r="Y546" s="2573"/>
      <c r="Z546" s="1093"/>
      <c r="AA546" s="1094"/>
      <c r="AB546" s="1094"/>
      <c r="AC546" s="1098"/>
      <c r="AD546" s="1098"/>
      <c r="AE546" s="1099"/>
      <c r="AF546" s="2616"/>
      <c r="AG546" s="2617"/>
      <c r="AH546" s="2617"/>
      <c r="AI546" s="2616"/>
      <c r="AJ546" s="2617"/>
      <c r="AK546" s="2617"/>
      <c r="AL546" s="1900"/>
      <c r="AM546" s="1738"/>
      <c r="AN546" s="1738"/>
      <c r="AO546" s="1738"/>
      <c r="AP546" s="1738"/>
      <c r="AQ546" s="1738"/>
      <c r="AR546" s="1738"/>
      <c r="AS546" s="1738"/>
      <c r="AT546" s="1738"/>
      <c r="AU546" s="1738"/>
      <c r="AV546" s="1738"/>
      <c r="AW546" s="1738"/>
      <c r="AX546" s="1738"/>
      <c r="AY546" s="1738"/>
      <c r="AZ546" s="1738"/>
      <c r="BA546" s="1738"/>
      <c r="BB546" s="1738"/>
      <c r="BC546" s="1738"/>
      <c r="BD546" s="1738"/>
      <c r="BE546" s="1738"/>
      <c r="BF546" s="1738"/>
    </row>
    <row r="547" spans="1:58" ht="11.25" customHeight="1">
      <c r="A547" s="1084" t="s">
        <v>992</v>
      </c>
      <c r="B547" s="1084"/>
      <c r="C547" s="1084"/>
      <c r="D547" s="1078"/>
      <c r="E547" s="1088"/>
      <c r="F547" s="2605"/>
      <c r="G547" s="2606"/>
      <c r="H547" s="2601" t="s">
        <v>147</v>
      </c>
      <c r="I547" s="2613"/>
      <c r="J547" s="2614"/>
      <c r="K547" s="2615"/>
      <c r="L547" s="2338"/>
      <c r="M547" s="2339"/>
      <c r="N547" s="2618"/>
      <c r="O547" s="2619"/>
      <c r="P547" s="2621"/>
      <c r="Q547" s="2573"/>
      <c r="R547" s="2573"/>
      <c r="S547" s="2623"/>
      <c r="T547" s="2573"/>
      <c r="U547" s="2573"/>
      <c r="V547" s="2573"/>
      <c r="W547" s="2573"/>
      <c r="X547" s="2573"/>
      <c r="Y547" s="2573"/>
      <c r="Z547" s="1743"/>
      <c r="AA547" s="1711">
        <v>1</v>
      </c>
      <c r="AB547" s="1097" t="s">
        <v>1028</v>
      </c>
      <c r="AC547" s="1087">
        <v>1623631.1120782101</v>
      </c>
      <c r="AD547" s="1097" t="str">
        <f>AB547</f>
        <v xml:space="preserve">  Прочие</v>
      </c>
      <c r="AE547" s="1087"/>
      <c r="AF547" s="2616"/>
      <c r="AG547" s="2617"/>
      <c r="AH547" s="2617"/>
      <c r="AI547" s="2616"/>
      <c r="AJ547" s="2617"/>
      <c r="AK547" s="2617"/>
      <c r="AL547" s="1900"/>
      <c r="AM547" s="1738"/>
      <c r="AN547" s="1738"/>
      <c r="AO547" s="1738"/>
      <c r="AP547" s="1738"/>
      <c r="AQ547" s="1738"/>
      <c r="AR547" s="1738"/>
      <c r="AS547" s="1738"/>
      <c r="AT547" s="1738"/>
      <c r="AU547" s="1738"/>
      <c r="AV547" s="1738"/>
      <c r="AW547" s="1738"/>
      <c r="AX547" s="1738"/>
      <c r="AY547" s="1738"/>
      <c r="AZ547" s="1738"/>
      <c r="BA547" s="1738"/>
      <c r="BB547" s="1738"/>
      <c r="BC547" s="1738"/>
      <c r="BD547" s="1738"/>
      <c r="BE547" s="1738"/>
      <c r="BF547" s="1738"/>
    </row>
    <row r="548" spans="1:58" ht="11.25" customHeight="1">
      <c r="A548" s="1084" t="s">
        <v>992</v>
      </c>
      <c r="B548" s="1084"/>
      <c r="C548" s="1084"/>
      <c r="D548" s="1078"/>
      <c r="E548" s="1088"/>
      <c r="F548" s="2605"/>
      <c r="G548" s="2606"/>
      <c r="H548" s="2601" t="s">
        <v>147</v>
      </c>
      <c r="I548" s="2613"/>
      <c r="J548" s="2614"/>
      <c r="K548" s="2615"/>
      <c r="L548" s="2338"/>
      <c r="M548" s="2339"/>
      <c r="N548" s="2618"/>
      <c r="O548" s="2619"/>
      <c r="P548" s="2622"/>
      <c r="Q548" s="2573"/>
      <c r="R548" s="2573"/>
      <c r="S548" s="2623"/>
      <c r="T548" s="2573"/>
      <c r="U548" s="2573"/>
      <c r="V548" s="2573"/>
      <c r="W548" s="2573"/>
      <c r="X548" s="2573"/>
      <c r="Y548" s="2573"/>
      <c r="Z548" s="1093"/>
      <c r="AA548" s="1094"/>
      <c r="AB548" s="1159" t="s">
        <v>1029</v>
      </c>
      <c r="AC548" s="1098"/>
      <c r="AD548" s="1098"/>
      <c r="AE548" s="1100"/>
      <c r="AF548" s="2616"/>
      <c r="AG548" s="2617"/>
      <c r="AH548" s="2617"/>
      <c r="AI548" s="2616"/>
      <c r="AJ548" s="2617"/>
      <c r="AK548" s="2617"/>
      <c r="AL548" s="1900"/>
      <c r="AM548" s="1738"/>
      <c r="AN548" s="1738"/>
      <c r="AO548" s="1738"/>
      <c r="AP548" s="1738"/>
      <c r="AQ548" s="1738"/>
      <c r="AR548" s="1738"/>
      <c r="AS548" s="1738"/>
      <c r="AT548" s="1738"/>
      <c r="AU548" s="1738"/>
      <c r="AV548" s="1738"/>
      <c r="AW548" s="1738"/>
      <c r="AX548" s="1738"/>
      <c r="AY548" s="1738"/>
      <c r="AZ548" s="1738"/>
      <c r="BA548" s="1738"/>
      <c r="BB548" s="1738"/>
      <c r="BC548" s="1738"/>
      <c r="BD548" s="1738"/>
      <c r="BE548" s="1738"/>
      <c r="BF548" s="1738"/>
    </row>
    <row r="549" spans="1:58" ht="11.25" customHeight="1">
      <c r="A549" s="1084" t="s">
        <v>992</v>
      </c>
      <c r="B549" s="1084"/>
      <c r="C549" s="1084"/>
      <c r="D549" s="1078"/>
      <c r="E549" s="1088"/>
      <c r="F549" s="2605"/>
      <c r="G549" s="2606"/>
      <c r="H549" s="2601" t="s">
        <v>147</v>
      </c>
      <c r="I549" s="2613"/>
      <c r="J549" s="2614"/>
      <c r="K549" s="2615"/>
      <c r="L549" s="2338"/>
      <c r="M549" s="2339"/>
      <c r="N549" s="1093"/>
      <c r="O549" s="1094"/>
      <c r="P549" s="1086" t="s">
        <v>1030</v>
      </c>
      <c r="Q549" s="1094"/>
      <c r="R549" s="1094"/>
      <c r="S549" s="1094"/>
      <c r="T549" s="1094"/>
      <c r="U549" s="1094"/>
      <c r="V549" s="1094"/>
      <c r="W549" s="1094"/>
      <c r="X549" s="1094"/>
      <c r="Y549" s="1094"/>
      <c r="Z549" s="1094"/>
      <c r="AA549" s="1094"/>
      <c r="AB549" s="1094"/>
      <c r="AC549" s="1094"/>
      <c r="AD549" s="1094"/>
      <c r="AE549" s="1101"/>
      <c r="AF549" s="2616"/>
      <c r="AG549" s="2617"/>
      <c r="AH549" s="2617"/>
      <c r="AI549" s="2616"/>
      <c r="AJ549" s="2617"/>
      <c r="AK549" s="2617"/>
      <c r="AL549" s="1900"/>
      <c r="AM549" s="1738"/>
      <c r="AN549" s="1738"/>
      <c r="AO549" s="1738"/>
      <c r="AP549" s="1738"/>
      <c r="AQ549" s="1738"/>
      <c r="AR549" s="1738"/>
      <c r="AS549" s="1738"/>
      <c r="AT549" s="1738"/>
      <c r="AU549" s="1738"/>
      <c r="AV549" s="1738"/>
      <c r="AW549" s="1738"/>
      <c r="AX549" s="1738"/>
      <c r="AY549" s="1738"/>
      <c r="AZ549" s="1738"/>
      <c r="BA549" s="1738"/>
      <c r="BB549" s="1738"/>
      <c r="BC549" s="1738"/>
      <c r="BD549" s="1738"/>
      <c r="BE549" s="1738"/>
      <c r="BF549" s="1738"/>
    </row>
    <row r="550" spans="1:58" ht="11.25" customHeight="1">
      <c r="A550" s="1084" t="s">
        <v>992</v>
      </c>
      <c r="B550" s="1084" t="s">
        <v>1031</v>
      </c>
      <c r="C550" s="1084"/>
      <c r="D550" s="1078"/>
      <c r="E550" s="1088"/>
      <c r="F550" s="2605"/>
      <c r="G550" s="2590" t="s">
        <v>686</v>
      </c>
      <c r="H550" s="2601" t="s">
        <v>149</v>
      </c>
      <c r="I550" s="2613" t="s">
        <v>1032</v>
      </c>
      <c r="J550" s="2624" t="s">
        <v>1033</v>
      </c>
      <c r="K550" s="2615" t="s">
        <v>1037</v>
      </c>
      <c r="L550" s="2338" t="s">
        <v>19</v>
      </c>
      <c r="M550" s="2339"/>
      <c r="N550" s="1898"/>
      <c r="O550" s="1095" t="s">
        <v>373</v>
      </c>
      <c r="P550" s="1096"/>
      <c r="Q550" s="1096"/>
      <c r="R550" s="1096"/>
      <c r="S550" s="1096"/>
      <c r="T550" s="1096"/>
      <c r="U550" s="1096"/>
      <c r="V550" s="1096"/>
      <c r="W550" s="1096"/>
      <c r="X550" s="1096"/>
      <c r="Y550" s="1096"/>
      <c r="Z550" s="1096"/>
      <c r="AA550" s="1096"/>
      <c r="AB550" s="1096"/>
      <c r="AC550" s="1096"/>
      <c r="AD550" s="1096"/>
      <c r="AE550" s="1096"/>
      <c r="AF550" s="2616">
        <v>14</v>
      </c>
      <c r="AG550" s="2617" t="s">
        <v>1026</v>
      </c>
      <c r="AH550" s="2617" t="s">
        <v>1035</v>
      </c>
      <c r="AI550" s="2616"/>
      <c r="AJ550" s="2617"/>
      <c r="AK550" s="2617"/>
      <c r="AL550" s="1900"/>
      <c r="AM550" s="1738"/>
      <c r="AN550" s="1738"/>
      <c r="AO550" s="1738"/>
      <c r="AP550" s="1738"/>
      <c r="AQ550" s="1738"/>
      <c r="AR550" s="1738"/>
      <c r="AS550" s="1738"/>
      <c r="AT550" s="1738"/>
      <c r="AU550" s="1738"/>
      <c r="AV550" s="1738"/>
      <c r="AW550" s="1738"/>
      <c r="AX550" s="1738"/>
      <c r="AY550" s="1738"/>
      <c r="AZ550" s="1738"/>
      <c r="BA550" s="1738"/>
      <c r="BB550" s="1738"/>
      <c r="BC550" s="1738"/>
      <c r="BD550" s="1738"/>
      <c r="BE550" s="1738"/>
      <c r="BF550" s="1738"/>
    </row>
    <row r="551" spans="1:58" ht="11.25" customHeight="1">
      <c r="A551" s="1084" t="s">
        <v>992</v>
      </c>
      <c r="B551" s="1084"/>
      <c r="C551" s="1084"/>
      <c r="D551" s="1078"/>
      <c r="E551" s="1088"/>
      <c r="F551" s="2605"/>
      <c r="G551" s="2606"/>
      <c r="H551" s="2601" t="s">
        <v>148</v>
      </c>
      <c r="I551" s="2613"/>
      <c r="J551" s="2624"/>
      <c r="K551" s="2615"/>
      <c r="L551" s="2338"/>
      <c r="M551" s="2339"/>
      <c r="N551" s="2618"/>
      <c r="O551" s="2619">
        <v>1</v>
      </c>
      <c r="P551" s="2620" t="s">
        <v>19</v>
      </c>
      <c r="Q551" s="2573" t="s">
        <v>22</v>
      </c>
      <c r="R551" s="2573" t="s">
        <v>22</v>
      </c>
      <c r="S551" s="2573" t="s">
        <v>22</v>
      </c>
      <c r="T551" s="2573" t="s">
        <v>22</v>
      </c>
      <c r="U551" s="2573" t="s">
        <v>22</v>
      </c>
      <c r="V551" s="2573" t="s">
        <v>22</v>
      </c>
      <c r="W551" s="2573" t="s">
        <v>22</v>
      </c>
      <c r="X551" s="2573" t="s">
        <v>22</v>
      </c>
      <c r="Y551" s="2573"/>
      <c r="Z551" s="1093"/>
      <c r="AA551" s="1094"/>
      <c r="AB551" s="1094"/>
      <c r="AC551" s="1098"/>
      <c r="AD551" s="1098"/>
      <c r="AE551" s="1099"/>
      <c r="AF551" s="2616"/>
      <c r="AG551" s="2617"/>
      <c r="AH551" s="2617"/>
      <c r="AI551" s="2616"/>
      <c r="AJ551" s="2617"/>
      <c r="AK551" s="2617"/>
      <c r="AL551" s="1900"/>
      <c r="AM551" s="1738"/>
      <c r="AN551" s="1738"/>
      <c r="AO551" s="1738"/>
      <c r="AP551" s="1738"/>
      <c r="AQ551" s="1738"/>
      <c r="AR551" s="1738"/>
      <c r="AS551" s="1738"/>
      <c r="AT551" s="1738"/>
      <c r="AU551" s="1738"/>
      <c r="AV551" s="1738"/>
      <c r="AW551" s="1738"/>
      <c r="AX551" s="1738"/>
      <c r="AY551" s="1738"/>
      <c r="AZ551" s="1738"/>
      <c r="BA551" s="1738"/>
      <c r="BB551" s="1738"/>
      <c r="BC551" s="1738"/>
      <c r="BD551" s="1738"/>
      <c r="BE551" s="1738"/>
      <c r="BF551" s="1738"/>
    </row>
    <row r="552" spans="1:58" ht="11.25" customHeight="1">
      <c r="A552" s="1084" t="s">
        <v>992</v>
      </c>
      <c r="B552" s="1084"/>
      <c r="C552" s="1084"/>
      <c r="D552" s="1078"/>
      <c r="E552" s="1088"/>
      <c r="F552" s="2605"/>
      <c r="G552" s="2606"/>
      <c r="H552" s="2601" t="s">
        <v>148</v>
      </c>
      <c r="I552" s="2613"/>
      <c r="J552" s="2624"/>
      <c r="K552" s="2615"/>
      <c r="L552" s="2338"/>
      <c r="M552" s="2339"/>
      <c r="N552" s="2618"/>
      <c r="O552" s="2619"/>
      <c r="P552" s="2621"/>
      <c r="Q552" s="2573"/>
      <c r="R552" s="2573"/>
      <c r="S552" s="2623"/>
      <c r="T552" s="2573"/>
      <c r="U552" s="2573"/>
      <c r="V552" s="2573"/>
      <c r="W552" s="2573"/>
      <c r="X552" s="2573"/>
      <c r="Y552" s="2573"/>
      <c r="Z552" s="1743"/>
      <c r="AA552" s="1711">
        <v>1</v>
      </c>
      <c r="AB552" s="1097" t="s">
        <v>1036</v>
      </c>
      <c r="AC552" s="1087">
        <v>32248.791695771</v>
      </c>
      <c r="AD552" s="1097" t="str">
        <f>AB552</f>
        <v xml:space="preserve">      Прочие амортизационные отчисления</v>
      </c>
      <c r="AE552" s="1087"/>
      <c r="AF552" s="2616"/>
      <c r="AG552" s="2617"/>
      <c r="AH552" s="2617"/>
      <c r="AI552" s="2616"/>
      <c r="AJ552" s="2617"/>
      <c r="AK552" s="2617"/>
      <c r="AL552" s="1900"/>
      <c r="AM552" s="1738"/>
      <c r="AN552" s="1738"/>
      <c r="AO552" s="1738"/>
      <c r="AP552" s="1738"/>
      <c r="AQ552" s="1738"/>
      <c r="AR552" s="1738"/>
      <c r="AS552" s="1738"/>
      <c r="AT552" s="1738"/>
      <c r="AU552" s="1738"/>
      <c r="AV552" s="1738"/>
      <c r="AW552" s="1738"/>
      <c r="AX552" s="1738"/>
      <c r="AY552" s="1738"/>
      <c r="AZ552" s="1738"/>
      <c r="BA552" s="1738"/>
      <c r="BB552" s="1738"/>
      <c r="BC552" s="1738"/>
      <c r="BD552" s="1738"/>
      <c r="BE552" s="1738"/>
      <c r="BF552" s="1738"/>
    </row>
    <row r="553" spans="1:58" ht="11.25" customHeight="1">
      <c r="A553" s="1084" t="s">
        <v>992</v>
      </c>
      <c r="B553" s="1084"/>
      <c r="C553" s="1084"/>
      <c r="D553" s="1078"/>
      <c r="E553" s="1088"/>
      <c r="F553" s="2605"/>
      <c r="G553" s="2606"/>
      <c r="H553" s="2601" t="s">
        <v>148</v>
      </c>
      <c r="I553" s="2613"/>
      <c r="J553" s="2624"/>
      <c r="K553" s="2615"/>
      <c r="L553" s="2338"/>
      <c r="M553" s="2339"/>
      <c r="N553" s="2618"/>
      <c r="O553" s="2619"/>
      <c r="P553" s="2622"/>
      <c r="Q553" s="2573"/>
      <c r="R553" s="2573"/>
      <c r="S553" s="2623"/>
      <c r="T553" s="2573"/>
      <c r="U553" s="2573"/>
      <c r="V553" s="2573"/>
      <c r="W553" s="2573"/>
      <c r="X553" s="2573"/>
      <c r="Y553" s="2573"/>
      <c r="Z553" s="1093"/>
      <c r="AA553" s="1094"/>
      <c r="AB553" s="1159" t="s">
        <v>1029</v>
      </c>
      <c r="AC553" s="1098"/>
      <c r="AD553" s="1098"/>
      <c r="AE553" s="1100"/>
      <c r="AF553" s="2616"/>
      <c r="AG553" s="2617"/>
      <c r="AH553" s="2617"/>
      <c r="AI553" s="2616"/>
      <c r="AJ553" s="2617"/>
      <c r="AK553" s="2617"/>
      <c r="AL553" s="1900"/>
      <c r="AM553" s="1738"/>
      <c r="AN553" s="1738"/>
      <c r="AO553" s="1738"/>
      <c r="AP553" s="1738"/>
      <c r="AQ553" s="1738"/>
      <c r="AR553" s="1738"/>
      <c r="AS553" s="1738"/>
      <c r="AT553" s="1738"/>
      <c r="AU553" s="1738"/>
      <c r="AV553" s="1738"/>
      <c r="AW553" s="1738"/>
      <c r="AX553" s="1738"/>
      <c r="AY553" s="1738"/>
      <c r="AZ553" s="1738"/>
      <c r="BA553" s="1738"/>
      <c r="BB553" s="1738"/>
      <c r="BC553" s="1738"/>
      <c r="BD553" s="1738"/>
      <c r="BE553" s="1738"/>
      <c r="BF553" s="1738"/>
    </row>
    <row r="554" spans="1:58" ht="11.25" customHeight="1">
      <c r="A554" s="1084" t="s">
        <v>992</v>
      </c>
      <c r="B554" s="1084"/>
      <c r="C554" s="1084"/>
      <c r="D554" s="1078"/>
      <c r="E554" s="1088"/>
      <c r="F554" s="2605"/>
      <c r="G554" s="2606"/>
      <c r="H554" s="2601" t="s">
        <v>148</v>
      </c>
      <c r="I554" s="2613"/>
      <c r="J554" s="2624"/>
      <c r="K554" s="2615"/>
      <c r="L554" s="2338"/>
      <c r="M554" s="2339"/>
      <c r="N554" s="1093"/>
      <c r="O554" s="1094"/>
      <c r="P554" s="1086" t="s">
        <v>1030</v>
      </c>
      <c r="Q554" s="1094"/>
      <c r="R554" s="1094"/>
      <c r="S554" s="1094"/>
      <c r="T554" s="1094"/>
      <c r="U554" s="1094"/>
      <c r="V554" s="1094"/>
      <c r="W554" s="1094"/>
      <c r="X554" s="1094"/>
      <c r="Y554" s="1094"/>
      <c r="Z554" s="1094"/>
      <c r="AA554" s="1094"/>
      <c r="AB554" s="1094"/>
      <c r="AC554" s="1094"/>
      <c r="AD554" s="1094"/>
      <c r="AE554" s="1101"/>
      <c r="AF554" s="2616"/>
      <c r="AG554" s="2617"/>
      <c r="AH554" s="2617"/>
      <c r="AI554" s="2616"/>
      <c r="AJ554" s="2617"/>
      <c r="AK554" s="2617"/>
      <c r="AL554" s="1900"/>
      <c r="AM554" s="1738"/>
      <c r="AN554" s="1738"/>
      <c r="AO554" s="1738"/>
      <c r="AP554" s="1738"/>
      <c r="AQ554" s="1738"/>
      <c r="AR554" s="1738"/>
      <c r="AS554" s="1738"/>
      <c r="AT554" s="1738"/>
      <c r="AU554" s="1738"/>
      <c r="AV554" s="1738"/>
      <c r="AW554" s="1738"/>
      <c r="AX554" s="1738"/>
      <c r="AY554" s="1738"/>
      <c r="AZ554" s="1738"/>
      <c r="BA554" s="1738"/>
      <c r="BB554" s="1738"/>
      <c r="BC554" s="1738"/>
      <c r="BD554" s="1738"/>
      <c r="BE554" s="1738"/>
      <c r="BF554" s="1738"/>
    </row>
    <row r="555" spans="1:58" ht="43.5" customHeight="1">
      <c r="A555" s="1084" t="s">
        <v>992</v>
      </c>
      <c r="B555" s="1084" t="s">
        <v>1031</v>
      </c>
      <c r="C555" s="1084"/>
      <c r="D555" s="1078"/>
      <c r="E555" s="1088"/>
      <c r="F555" s="2605"/>
      <c r="G555" s="2590" t="s">
        <v>686</v>
      </c>
      <c r="H555" s="2601" t="s">
        <v>150</v>
      </c>
      <c r="I555" s="2613" t="s">
        <v>1032</v>
      </c>
      <c r="J555" s="2624" t="s">
        <v>1033</v>
      </c>
      <c r="K555" s="2615" t="s">
        <v>1042</v>
      </c>
      <c r="L555" s="2338" t="s">
        <v>19</v>
      </c>
      <c r="M555" s="2339"/>
      <c r="N555" s="1898"/>
      <c r="O555" s="1095" t="s">
        <v>373</v>
      </c>
      <c r="P555" s="1096"/>
      <c r="Q555" s="1096"/>
      <c r="R555" s="1096"/>
      <c r="S555" s="1096"/>
      <c r="T555" s="1096"/>
      <c r="U555" s="1096"/>
      <c r="V555" s="1096"/>
      <c r="W555" s="1096"/>
      <c r="X555" s="1096"/>
      <c r="Y555" s="1096"/>
      <c r="Z555" s="1096"/>
      <c r="AA555" s="1096"/>
      <c r="AB555" s="1096"/>
      <c r="AC555" s="1096"/>
      <c r="AD555" s="1096"/>
      <c r="AE555" s="1096"/>
      <c r="AF555" s="2616">
        <v>6</v>
      </c>
      <c r="AG555" s="2617" t="s">
        <v>1026</v>
      </c>
      <c r="AH555" s="2617" t="s">
        <v>1035</v>
      </c>
      <c r="AI555" s="2616"/>
      <c r="AJ555" s="2617"/>
      <c r="AK555" s="2617"/>
      <c r="AL555" s="1900"/>
      <c r="AM555" s="1738"/>
      <c r="AN555" s="1738"/>
      <c r="AO555" s="1738"/>
      <c r="AP555" s="1738"/>
      <c r="AQ555" s="1738"/>
      <c r="AR555" s="1738"/>
      <c r="AS555" s="1738"/>
      <c r="AT555" s="1738"/>
      <c r="AU555" s="1738"/>
      <c r="AV555" s="1738"/>
      <c r="AW555" s="1738"/>
      <c r="AX555" s="1738"/>
      <c r="AY555" s="1738"/>
      <c r="AZ555" s="1738"/>
      <c r="BA555" s="1738"/>
      <c r="BB555" s="1738"/>
      <c r="BC555" s="1738"/>
      <c r="BD555" s="1738"/>
      <c r="BE555" s="1738"/>
      <c r="BF555" s="1738"/>
    </row>
    <row r="556" spans="1:58" ht="11.25" customHeight="1">
      <c r="A556" s="1084" t="s">
        <v>992</v>
      </c>
      <c r="B556" s="1084"/>
      <c r="C556" s="1084"/>
      <c r="D556" s="1078"/>
      <c r="E556" s="1088"/>
      <c r="F556" s="2605"/>
      <c r="G556" s="2606"/>
      <c r="H556" s="2601" t="s">
        <v>149</v>
      </c>
      <c r="I556" s="2613"/>
      <c r="J556" s="2624"/>
      <c r="K556" s="2615"/>
      <c r="L556" s="2338"/>
      <c r="M556" s="2339"/>
      <c r="N556" s="2618"/>
      <c r="O556" s="2619">
        <v>1</v>
      </c>
      <c r="P556" s="2620" t="s">
        <v>19</v>
      </c>
      <c r="Q556" s="2573" t="s">
        <v>22</v>
      </c>
      <c r="R556" s="2573" t="s">
        <v>22</v>
      </c>
      <c r="S556" s="2573" t="s">
        <v>22</v>
      </c>
      <c r="T556" s="2573" t="s">
        <v>22</v>
      </c>
      <c r="U556" s="2573" t="s">
        <v>22</v>
      </c>
      <c r="V556" s="2573" t="s">
        <v>22</v>
      </c>
      <c r="W556" s="2573" t="s">
        <v>22</v>
      </c>
      <c r="X556" s="2573" t="s">
        <v>22</v>
      </c>
      <c r="Y556" s="2573"/>
      <c r="Z556" s="1093"/>
      <c r="AA556" s="1094"/>
      <c r="AB556" s="1094"/>
      <c r="AC556" s="1098"/>
      <c r="AD556" s="1098"/>
      <c r="AE556" s="1099"/>
      <c r="AF556" s="2616"/>
      <c r="AG556" s="2617"/>
      <c r="AH556" s="2617"/>
      <c r="AI556" s="2616"/>
      <c r="AJ556" s="2617"/>
      <c r="AK556" s="2617"/>
      <c r="AL556" s="1900"/>
      <c r="AM556" s="1738"/>
      <c r="AN556" s="1738"/>
      <c r="AO556" s="1738"/>
      <c r="AP556" s="1738"/>
      <c r="AQ556" s="1738"/>
      <c r="AR556" s="1738"/>
      <c r="AS556" s="1738"/>
      <c r="AT556" s="1738"/>
      <c r="AU556" s="1738"/>
      <c r="AV556" s="1738"/>
      <c r="AW556" s="1738"/>
      <c r="AX556" s="1738"/>
      <c r="AY556" s="1738"/>
      <c r="AZ556" s="1738"/>
      <c r="BA556" s="1738"/>
      <c r="BB556" s="1738"/>
      <c r="BC556" s="1738"/>
      <c r="BD556" s="1738"/>
      <c r="BE556" s="1738"/>
      <c r="BF556" s="1738"/>
    </row>
    <row r="557" spans="1:58" ht="11.25" customHeight="1">
      <c r="A557" s="1084" t="s">
        <v>992</v>
      </c>
      <c r="B557" s="1084"/>
      <c r="C557" s="1084"/>
      <c r="D557" s="1078"/>
      <c r="E557" s="1088"/>
      <c r="F557" s="2605"/>
      <c r="G557" s="2606"/>
      <c r="H557" s="2601" t="s">
        <v>149</v>
      </c>
      <c r="I557" s="2613"/>
      <c r="J557" s="2624"/>
      <c r="K557" s="2615"/>
      <c r="L557" s="2338"/>
      <c r="M557" s="2339"/>
      <c r="N557" s="2618"/>
      <c r="O557" s="2619"/>
      <c r="P557" s="2621"/>
      <c r="Q557" s="2573"/>
      <c r="R557" s="2573"/>
      <c r="S557" s="2623"/>
      <c r="T557" s="2573"/>
      <c r="U557" s="2573"/>
      <c r="V557" s="2573"/>
      <c r="W557" s="2573"/>
      <c r="X557" s="2573"/>
      <c r="Y557" s="2573"/>
      <c r="Z557" s="1743"/>
      <c r="AA557" s="1711">
        <v>1</v>
      </c>
      <c r="AB557" s="1097" t="s">
        <v>1036</v>
      </c>
      <c r="AC557" s="1087">
        <v>22774.352004292799</v>
      </c>
      <c r="AD557" s="1097" t="str">
        <f>AB557</f>
        <v xml:space="preserve">      Прочие амортизационные отчисления</v>
      </c>
      <c r="AE557" s="1087"/>
      <c r="AF557" s="2616"/>
      <c r="AG557" s="2617"/>
      <c r="AH557" s="2617"/>
      <c r="AI557" s="2616"/>
      <c r="AJ557" s="2617"/>
      <c r="AK557" s="2617"/>
      <c r="AL557" s="1900"/>
      <c r="AM557" s="1738"/>
      <c r="AN557" s="1738"/>
      <c r="AO557" s="1738"/>
      <c r="AP557" s="1738"/>
      <c r="AQ557" s="1738"/>
      <c r="AR557" s="1738"/>
      <c r="AS557" s="1738"/>
      <c r="AT557" s="1738"/>
      <c r="AU557" s="1738"/>
      <c r="AV557" s="1738"/>
      <c r="AW557" s="1738"/>
      <c r="AX557" s="1738"/>
      <c r="AY557" s="1738"/>
      <c r="AZ557" s="1738"/>
      <c r="BA557" s="1738"/>
      <c r="BB557" s="1738"/>
      <c r="BC557" s="1738"/>
      <c r="BD557" s="1738"/>
      <c r="BE557" s="1738"/>
      <c r="BF557" s="1738"/>
    </row>
    <row r="558" spans="1:58" ht="11.25" customHeight="1">
      <c r="A558" s="1084" t="s">
        <v>992</v>
      </c>
      <c r="B558" s="1084"/>
      <c r="C558" s="1084"/>
      <c r="D558" s="1078"/>
      <c r="E558" s="1088"/>
      <c r="F558" s="2606"/>
      <c r="G558" s="2606"/>
      <c r="H558" s="2606"/>
      <c r="I558" s="2606"/>
      <c r="J558" s="2606"/>
      <c r="K558" s="2606"/>
      <c r="L558" s="2606"/>
      <c r="M558" s="2606"/>
      <c r="N558" s="2606"/>
      <c r="O558" s="2606"/>
      <c r="P558" s="2606"/>
      <c r="Q558" s="2606"/>
      <c r="R558" s="2606"/>
      <c r="S558" s="2606"/>
      <c r="T558" s="2606"/>
      <c r="U558" s="2606"/>
      <c r="V558" s="2606"/>
      <c r="W558" s="2606"/>
      <c r="X558" s="2606"/>
      <c r="Y558" s="2606"/>
      <c r="Z558" s="2054" t="s">
        <v>686</v>
      </c>
      <c r="AA558" s="1731" t="s">
        <v>109</v>
      </c>
      <c r="AB558" s="1097" t="s">
        <v>1028</v>
      </c>
      <c r="AC558" s="1087">
        <v>175437.64063670699</v>
      </c>
      <c r="AD558" s="1097" t="str">
        <f>AB558</f>
        <v xml:space="preserve">  Прочие</v>
      </c>
      <c r="AE558" s="1087"/>
      <c r="AF558" s="2625"/>
      <c r="AG558" s="2626"/>
      <c r="AH558" s="2626"/>
      <c r="AI558" s="2625"/>
      <c r="AJ558" s="2626"/>
      <c r="AK558" s="2627"/>
      <c r="AL558" s="1900"/>
      <c r="AM558" s="1738"/>
      <c r="AN558" s="1738"/>
      <c r="AO558" s="1738"/>
      <c r="AP558" s="1738"/>
      <c r="AQ558" s="1738"/>
      <c r="AR558" s="1738"/>
      <c r="AS558" s="1738"/>
      <c r="AT558" s="1738"/>
      <c r="AU558" s="1738"/>
      <c r="AV558" s="1738"/>
      <c r="AW558" s="1738"/>
      <c r="AX558" s="1738"/>
      <c r="AY558" s="1738"/>
      <c r="AZ558" s="1738"/>
      <c r="BA558" s="1738"/>
      <c r="BB558" s="1738"/>
      <c r="BC558" s="1738"/>
      <c r="BD558" s="1738"/>
      <c r="BE558" s="1738"/>
      <c r="BF558" s="1738"/>
    </row>
    <row r="559" spans="1:58" ht="11.25" customHeight="1">
      <c r="A559" s="1084" t="s">
        <v>992</v>
      </c>
      <c r="B559" s="1084"/>
      <c r="C559" s="1084"/>
      <c r="D559" s="1078"/>
      <c r="E559" s="1088"/>
      <c r="F559" s="2605"/>
      <c r="G559" s="2606"/>
      <c r="H559" s="2601" t="s">
        <v>149</v>
      </c>
      <c r="I559" s="2613"/>
      <c r="J559" s="2624"/>
      <c r="K559" s="2615"/>
      <c r="L559" s="2338"/>
      <c r="M559" s="2339"/>
      <c r="N559" s="2618"/>
      <c r="O559" s="2619"/>
      <c r="P559" s="2622"/>
      <c r="Q559" s="2573"/>
      <c r="R559" s="2573"/>
      <c r="S559" s="2623"/>
      <c r="T559" s="2573"/>
      <c r="U559" s="2573"/>
      <c r="V559" s="2573"/>
      <c r="W559" s="2573"/>
      <c r="X559" s="2573"/>
      <c r="Y559" s="2573"/>
      <c r="Z559" s="1093"/>
      <c r="AA559" s="1094"/>
      <c r="AB559" s="1159" t="s">
        <v>1029</v>
      </c>
      <c r="AC559" s="1098"/>
      <c r="AD559" s="1098"/>
      <c r="AE559" s="1100"/>
      <c r="AF559" s="2616"/>
      <c r="AG559" s="2617"/>
      <c r="AH559" s="2617"/>
      <c r="AI559" s="2616"/>
      <c r="AJ559" s="2617"/>
      <c r="AK559" s="2617"/>
      <c r="AL559" s="1900"/>
      <c r="AM559" s="1738"/>
      <c r="AN559" s="1738"/>
      <c r="AO559" s="1738"/>
      <c r="AP559" s="1738"/>
      <c r="AQ559" s="1738"/>
      <c r="AR559" s="1738"/>
      <c r="AS559" s="1738"/>
      <c r="AT559" s="1738"/>
      <c r="AU559" s="1738"/>
      <c r="AV559" s="1738"/>
      <c r="AW559" s="1738"/>
      <c r="AX559" s="1738"/>
      <c r="AY559" s="1738"/>
      <c r="AZ559" s="1738"/>
      <c r="BA559" s="1738"/>
      <c r="BB559" s="1738"/>
      <c r="BC559" s="1738"/>
      <c r="BD559" s="1738"/>
      <c r="BE559" s="1738"/>
      <c r="BF559" s="1738"/>
    </row>
    <row r="560" spans="1:58" ht="11.25" customHeight="1">
      <c r="A560" s="1084" t="s">
        <v>992</v>
      </c>
      <c r="B560" s="1084"/>
      <c r="C560" s="1084"/>
      <c r="D560" s="1078"/>
      <c r="E560" s="1088"/>
      <c r="F560" s="2605"/>
      <c r="G560" s="2606"/>
      <c r="H560" s="2601" t="s">
        <v>149</v>
      </c>
      <c r="I560" s="2613"/>
      <c r="J560" s="2624"/>
      <c r="K560" s="2615"/>
      <c r="L560" s="2338"/>
      <c r="M560" s="2339"/>
      <c r="N560" s="1093"/>
      <c r="O560" s="1094"/>
      <c r="P560" s="1086" t="s">
        <v>1030</v>
      </c>
      <c r="Q560" s="1094"/>
      <c r="R560" s="1094"/>
      <c r="S560" s="1094"/>
      <c r="T560" s="1094"/>
      <c r="U560" s="1094"/>
      <c r="V560" s="1094"/>
      <c r="W560" s="1094"/>
      <c r="X560" s="1094"/>
      <c r="Y560" s="1094"/>
      <c r="Z560" s="1094"/>
      <c r="AA560" s="1094"/>
      <c r="AB560" s="1094"/>
      <c r="AC560" s="1094"/>
      <c r="AD560" s="1094"/>
      <c r="AE560" s="1101"/>
      <c r="AF560" s="2616"/>
      <c r="AG560" s="2617"/>
      <c r="AH560" s="2617"/>
      <c r="AI560" s="2616"/>
      <c r="AJ560" s="2617"/>
      <c r="AK560" s="2617"/>
      <c r="AL560" s="1900"/>
      <c r="AM560" s="1738"/>
      <c r="AN560" s="1738"/>
      <c r="AO560" s="1738"/>
      <c r="AP560" s="1738"/>
      <c r="AQ560" s="1738"/>
      <c r="AR560" s="1738"/>
      <c r="AS560" s="1738"/>
      <c r="AT560" s="1738"/>
      <c r="AU560" s="1738"/>
      <c r="AV560" s="1738"/>
      <c r="AW560" s="1738"/>
      <c r="AX560" s="1738"/>
      <c r="AY560" s="1738"/>
      <c r="AZ560" s="1738"/>
      <c r="BA560" s="1738"/>
      <c r="BB560" s="1738"/>
      <c r="BC560" s="1738"/>
      <c r="BD560" s="1738"/>
      <c r="BE560" s="1738"/>
      <c r="BF560" s="1738"/>
    </row>
    <row r="561" spans="1:58" ht="23.25" customHeight="1">
      <c r="A561" s="1084" t="s">
        <v>992</v>
      </c>
      <c r="B561" s="1084" t="s">
        <v>1031</v>
      </c>
      <c r="C561" s="1084"/>
      <c r="D561" s="1078"/>
      <c r="E561" s="1088"/>
      <c r="F561" s="2605"/>
      <c r="G561" s="2590" t="s">
        <v>686</v>
      </c>
      <c r="H561" s="2601" t="s">
        <v>151</v>
      </c>
      <c r="I561" s="2613" t="s">
        <v>1032</v>
      </c>
      <c r="J561" s="2624" t="s">
        <v>1033</v>
      </c>
      <c r="K561" s="2615" t="s">
        <v>1066</v>
      </c>
      <c r="L561" s="2338" t="s">
        <v>19</v>
      </c>
      <c r="M561" s="2339"/>
      <c r="N561" s="1898"/>
      <c r="O561" s="1095" t="s">
        <v>373</v>
      </c>
      <c r="P561" s="1096"/>
      <c r="Q561" s="1096"/>
      <c r="R561" s="1096"/>
      <c r="S561" s="1096"/>
      <c r="T561" s="1096"/>
      <c r="U561" s="1096"/>
      <c r="V561" s="1096"/>
      <c r="W561" s="1096"/>
      <c r="X561" s="1096"/>
      <c r="Y561" s="1096"/>
      <c r="Z561" s="1096"/>
      <c r="AA561" s="1096"/>
      <c r="AB561" s="1096"/>
      <c r="AC561" s="1096"/>
      <c r="AD561" s="1096"/>
      <c r="AE561" s="1096"/>
      <c r="AF561" s="2616">
        <v>6</v>
      </c>
      <c r="AG561" s="2617" t="s">
        <v>1026</v>
      </c>
      <c r="AH561" s="2617" t="s">
        <v>1035</v>
      </c>
      <c r="AI561" s="2616"/>
      <c r="AJ561" s="2617"/>
      <c r="AK561" s="2617"/>
      <c r="AL561" s="1900"/>
      <c r="AM561" s="1738"/>
      <c r="AN561" s="1738"/>
      <c r="AO561" s="1738"/>
      <c r="AP561" s="1738"/>
      <c r="AQ561" s="1738"/>
      <c r="AR561" s="1738"/>
      <c r="AS561" s="1738"/>
      <c r="AT561" s="1738"/>
      <c r="AU561" s="1738"/>
      <c r="AV561" s="1738"/>
      <c r="AW561" s="1738"/>
      <c r="AX561" s="1738"/>
      <c r="AY561" s="1738"/>
      <c r="AZ561" s="1738"/>
      <c r="BA561" s="1738"/>
      <c r="BB561" s="1738"/>
      <c r="BC561" s="1738"/>
      <c r="BD561" s="1738"/>
      <c r="BE561" s="1738"/>
      <c r="BF561" s="1738"/>
    </row>
    <row r="562" spans="1:58" ht="11.25" customHeight="1">
      <c r="A562" s="1084" t="s">
        <v>992</v>
      </c>
      <c r="B562" s="1084"/>
      <c r="C562" s="1084"/>
      <c r="D562" s="1078"/>
      <c r="E562" s="1088"/>
      <c r="F562" s="2605"/>
      <c r="G562" s="2606"/>
      <c r="H562" s="2601" t="s">
        <v>150</v>
      </c>
      <c r="I562" s="2613"/>
      <c r="J562" s="2624"/>
      <c r="K562" s="2615"/>
      <c r="L562" s="2338"/>
      <c r="M562" s="2339"/>
      <c r="N562" s="2618"/>
      <c r="O562" s="2619">
        <v>1</v>
      </c>
      <c r="P562" s="2620" t="s">
        <v>19</v>
      </c>
      <c r="Q562" s="2573" t="s">
        <v>22</v>
      </c>
      <c r="R562" s="2573" t="s">
        <v>22</v>
      </c>
      <c r="S562" s="2573" t="s">
        <v>22</v>
      </c>
      <c r="T562" s="2573" t="s">
        <v>22</v>
      </c>
      <c r="U562" s="2573" t="s">
        <v>22</v>
      </c>
      <c r="V562" s="2573" t="s">
        <v>22</v>
      </c>
      <c r="W562" s="2573" t="s">
        <v>22</v>
      </c>
      <c r="X562" s="2573" t="s">
        <v>22</v>
      </c>
      <c r="Y562" s="2573"/>
      <c r="Z562" s="1093"/>
      <c r="AA562" s="1094"/>
      <c r="AB562" s="1094"/>
      <c r="AC562" s="1098"/>
      <c r="AD562" s="1098"/>
      <c r="AE562" s="1099"/>
      <c r="AF562" s="2616"/>
      <c r="AG562" s="2617"/>
      <c r="AH562" s="2617"/>
      <c r="AI562" s="2616"/>
      <c r="AJ562" s="2617"/>
      <c r="AK562" s="2617"/>
      <c r="AL562" s="1900"/>
      <c r="AM562" s="1738"/>
      <c r="AN562" s="1738"/>
      <c r="AO562" s="1738"/>
      <c r="AP562" s="1738"/>
      <c r="AQ562" s="1738"/>
      <c r="AR562" s="1738"/>
      <c r="AS562" s="1738"/>
      <c r="AT562" s="1738"/>
      <c r="AU562" s="1738"/>
      <c r="AV562" s="1738"/>
      <c r="AW562" s="1738"/>
      <c r="AX562" s="1738"/>
      <c r="AY562" s="1738"/>
      <c r="AZ562" s="1738"/>
      <c r="BA562" s="1738"/>
      <c r="BB562" s="1738"/>
      <c r="BC562" s="1738"/>
      <c r="BD562" s="1738"/>
      <c r="BE562" s="1738"/>
      <c r="BF562" s="1738"/>
    </row>
    <row r="563" spans="1:58" ht="11.25" customHeight="1">
      <c r="A563" s="1084" t="s">
        <v>992</v>
      </c>
      <c r="B563" s="1084"/>
      <c r="C563" s="1084"/>
      <c r="D563" s="1078"/>
      <c r="E563" s="1088"/>
      <c r="F563" s="2605"/>
      <c r="G563" s="2606"/>
      <c r="H563" s="2601" t="s">
        <v>150</v>
      </c>
      <c r="I563" s="2613"/>
      <c r="J563" s="2624"/>
      <c r="K563" s="2615"/>
      <c r="L563" s="2338"/>
      <c r="M563" s="2339"/>
      <c r="N563" s="2618"/>
      <c r="O563" s="2619"/>
      <c r="P563" s="2621"/>
      <c r="Q563" s="2573"/>
      <c r="R563" s="2573"/>
      <c r="S563" s="2623"/>
      <c r="T563" s="2573"/>
      <c r="U563" s="2573"/>
      <c r="V563" s="2573"/>
      <c r="W563" s="2573"/>
      <c r="X563" s="2573"/>
      <c r="Y563" s="2573"/>
      <c r="Z563" s="1743"/>
      <c r="AA563" s="1711">
        <v>1</v>
      </c>
      <c r="AB563" s="1097" t="s">
        <v>1028</v>
      </c>
      <c r="AC563" s="1087">
        <v>51494.080297197601</v>
      </c>
      <c r="AD563" s="1097" t="str">
        <f>AB563</f>
        <v xml:space="preserve">  Прочие</v>
      </c>
      <c r="AE563" s="1087"/>
      <c r="AF563" s="2616"/>
      <c r="AG563" s="2617"/>
      <c r="AH563" s="2617"/>
      <c r="AI563" s="2616"/>
      <c r="AJ563" s="2617"/>
      <c r="AK563" s="2617"/>
      <c r="AL563" s="1900"/>
      <c r="AM563" s="1738"/>
      <c r="AN563" s="1738"/>
      <c r="AO563" s="1738"/>
      <c r="AP563" s="1738"/>
      <c r="AQ563" s="1738"/>
      <c r="AR563" s="1738"/>
      <c r="AS563" s="1738"/>
      <c r="AT563" s="1738"/>
      <c r="AU563" s="1738"/>
      <c r="AV563" s="1738"/>
      <c r="AW563" s="1738"/>
      <c r="AX563" s="1738"/>
      <c r="AY563" s="1738"/>
      <c r="AZ563" s="1738"/>
      <c r="BA563" s="1738"/>
      <c r="BB563" s="1738"/>
      <c r="BC563" s="1738"/>
      <c r="BD563" s="1738"/>
      <c r="BE563" s="1738"/>
      <c r="BF563" s="1738"/>
    </row>
    <row r="564" spans="1:58" ht="11.25" customHeight="1">
      <c r="A564" s="1084" t="s">
        <v>992</v>
      </c>
      <c r="B564" s="1084"/>
      <c r="C564" s="1084"/>
      <c r="D564" s="1078"/>
      <c r="E564" s="1088"/>
      <c r="F564" s="2605"/>
      <c r="G564" s="2606"/>
      <c r="H564" s="2601" t="s">
        <v>150</v>
      </c>
      <c r="I564" s="2613"/>
      <c r="J564" s="2624"/>
      <c r="K564" s="2615"/>
      <c r="L564" s="2338"/>
      <c r="M564" s="2339"/>
      <c r="N564" s="2618"/>
      <c r="O564" s="2619"/>
      <c r="P564" s="2622"/>
      <c r="Q564" s="2573"/>
      <c r="R564" s="2573"/>
      <c r="S564" s="2623"/>
      <c r="T564" s="2573"/>
      <c r="U564" s="2573"/>
      <c r="V564" s="2573"/>
      <c r="W564" s="2573"/>
      <c r="X564" s="2573"/>
      <c r="Y564" s="2573"/>
      <c r="Z564" s="1093"/>
      <c r="AA564" s="1094"/>
      <c r="AB564" s="1159" t="s">
        <v>1029</v>
      </c>
      <c r="AC564" s="1098"/>
      <c r="AD564" s="1098"/>
      <c r="AE564" s="1100"/>
      <c r="AF564" s="2616"/>
      <c r="AG564" s="2617"/>
      <c r="AH564" s="2617"/>
      <c r="AI564" s="2616"/>
      <c r="AJ564" s="2617"/>
      <c r="AK564" s="2617"/>
      <c r="AL564" s="1900"/>
      <c r="AM564" s="1738"/>
      <c r="AN564" s="1738"/>
      <c r="AO564" s="1738"/>
      <c r="AP564" s="1738"/>
      <c r="AQ564" s="1738"/>
      <c r="AR564" s="1738"/>
      <c r="AS564" s="1738"/>
      <c r="AT564" s="1738"/>
      <c r="AU564" s="1738"/>
      <c r="AV564" s="1738"/>
      <c r="AW564" s="1738"/>
      <c r="AX564" s="1738"/>
      <c r="AY564" s="1738"/>
      <c r="AZ564" s="1738"/>
      <c r="BA564" s="1738"/>
      <c r="BB564" s="1738"/>
      <c r="BC564" s="1738"/>
      <c r="BD564" s="1738"/>
      <c r="BE564" s="1738"/>
      <c r="BF564" s="1738"/>
    </row>
    <row r="565" spans="1:58" ht="11.25" customHeight="1">
      <c r="A565" s="1084" t="s">
        <v>992</v>
      </c>
      <c r="B565" s="1084"/>
      <c r="C565" s="1084"/>
      <c r="D565" s="1078"/>
      <c r="E565" s="1088"/>
      <c r="F565" s="2605"/>
      <c r="G565" s="2606"/>
      <c r="H565" s="2601" t="s">
        <v>150</v>
      </c>
      <c r="I565" s="2613"/>
      <c r="J565" s="2624"/>
      <c r="K565" s="2615"/>
      <c r="L565" s="2338"/>
      <c r="M565" s="2339"/>
      <c r="N565" s="1093"/>
      <c r="O565" s="1094"/>
      <c r="P565" s="1086" t="s">
        <v>1030</v>
      </c>
      <c r="Q565" s="1094"/>
      <c r="R565" s="1094"/>
      <c r="S565" s="1094"/>
      <c r="T565" s="1094"/>
      <c r="U565" s="1094"/>
      <c r="V565" s="1094"/>
      <c r="W565" s="1094"/>
      <c r="X565" s="1094"/>
      <c r="Y565" s="1094"/>
      <c r="Z565" s="1094"/>
      <c r="AA565" s="1094"/>
      <c r="AB565" s="1094"/>
      <c r="AC565" s="1094"/>
      <c r="AD565" s="1094"/>
      <c r="AE565" s="1101"/>
      <c r="AF565" s="2616"/>
      <c r="AG565" s="2617"/>
      <c r="AH565" s="2617"/>
      <c r="AI565" s="2616"/>
      <c r="AJ565" s="2617"/>
      <c r="AK565" s="2617"/>
      <c r="AL565" s="1900"/>
      <c r="AM565" s="1738"/>
      <c r="AN565" s="1738"/>
      <c r="AO565" s="1738"/>
      <c r="AP565" s="1738"/>
      <c r="AQ565" s="1738"/>
      <c r="AR565" s="1738"/>
      <c r="AS565" s="1738"/>
      <c r="AT565" s="1738"/>
      <c r="AU565" s="1738"/>
      <c r="AV565" s="1738"/>
      <c r="AW565" s="1738"/>
      <c r="AX565" s="1738"/>
      <c r="AY565" s="1738"/>
      <c r="AZ565" s="1738"/>
      <c r="BA565" s="1738"/>
      <c r="BB565" s="1738"/>
      <c r="BC565" s="1738"/>
      <c r="BD565" s="1738"/>
      <c r="BE565" s="1738"/>
      <c r="BF565" s="1738"/>
    </row>
    <row r="566" spans="1:58" ht="35.25" customHeight="1">
      <c r="A566" s="1084" t="s">
        <v>992</v>
      </c>
      <c r="B566" s="1084" t="s">
        <v>1031</v>
      </c>
      <c r="C566" s="1084"/>
      <c r="D566" s="1078"/>
      <c r="E566" s="1088"/>
      <c r="F566" s="2605"/>
      <c r="G566" s="2590" t="s">
        <v>686</v>
      </c>
      <c r="H566" s="2601" t="s">
        <v>152</v>
      </c>
      <c r="I566" s="2613" t="s">
        <v>1032</v>
      </c>
      <c r="J566" s="2624" t="s">
        <v>1033</v>
      </c>
      <c r="K566" s="2615" t="s">
        <v>1043</v>
      </c>
      <c r="L566" s="2338" t="s">
        <v>19</v>
      </c>
      <c r="M566" s="2339"/>
      <c r="N566" s="1898"/>
      <c r="O566" s="1095" t="s">
        <v>373</v>
      </c>
      <c r="P566" s="1096"/>
      <c r="Q566" s="1096"/>
      <c r="R566" s="1096"/>
      <c r="S566" s="1096"/>
      <c r="T566" s="1096"/>
      <c r="U566" s="1096"/>
      <c r="V566" s="1096"/>
      <c r="W566" s="1096"/>
      <c r="X566" s="1096"/>
      <c r="Y566" s="1096"/>
      <c r="Z566" s="1096"/>
      <c r="AA566" s="1096"/>
      <c r="AB566" s="1096"/>
      <c r="AC566" s="1096"/>
      <c r="AD566" s="1096"/>
      <c r="AE566" s="1096"/>
      <c r="AF566" s="2616">
        <v>6</v>
      </c>
      <c r="AG566" s="2617" t="s">
        <v>1026</v>
      </c>
      <c r="AH566" s="2617" t="s">
        <v>1035</v>
      </c>
      <c r="AI566" s="2616"/>
      <c r="AJ566" s="2617"/>
      <c r="AK566" s="2617"/>
      <c r="AL566" s="1900"/>
      <c r="AM566" s="1738"/>
      <c r="AN566" s="1738"/>
      <c r="AO566" s="1738"/>
      <c r="AP566" s="1738"/>
      <c r="AQ566" s="1738"/>
      <c r="AR566" s="1738"/>
      <c r="AS566" s="1738"/>
      <c r="AT566" s="1738"/>
      <c r="AU566" s="1738"/>
      <c r="AV566" s="1738"/>
      <c r="AW566" s="1738"/>
      <c r="AX566" s="1738"/>
      <c r="AY566" s="1738"/>
      <c r="AZ566" s="1738"/>
      <c r="BA566" s="1738"/>
      <c r="BB566" s="1738"/>
      <c r="BC566" s="1738"/>
      <c r="BD566" s="1738"/>
      <c r="BE566" s="1738"/>
      <c r="BF566" s="1738"/>
    </row>
    <row r="567" spans="1:58" ht="21" customHeight="1">
      <c r="A567" s="1084" t="s">
        <v>992</v>
      </c>
      <c r="B567" s="1084"/>
      <c r="C567" s="1084"/>
      <c r="D567" s="1078"/>
      <c r="E567" s="1088"/>
      <c r="F567" s="2605"/>
      <c r="G567" s="2606"/>
      <c r="H567" s="2601" t="s">
        <v>151</v>
      </c>
      <c r="I567" s="2613"/>
      <c r="J567" s="2624"/>
      <c r="K567" s="2615"/>
      <c r="L567" s="2338"/>
      <c r="M567" s="2339"/>
      <c r="N567" s="2618"/>
      <c r="O567" s="2619">
        <v>1</v>
      </c>
      <c r="P567" s="2620" t="s">
        <v>19</v>
      </c>
      <c r="Q567" s="2573" t="s">
        <v>22</v>
      </c>
      <c r="R567" s="2573" t="s">
        <v>22</v>
      </c>
      <c r="S567" s="2573" t="s">
        <v>22</v>
      </c>
      <c r="T567" s="2573" t="s">
        <v>22</v>
      </c>
      <c r="U567" s="2573" t="s">
        <v>22</v>
      </c>
      <c r="V567" s="2573" t="s">
        <v>22</v>
      </c>
      <c r="W567" s="2573" t="s">
        <v>22</v>
      </c>
      <c r="X567" s="2573" t="s">
        <v>22</v>
      </c>
      <c r="Y567" s="2573"/>
      <c r="Z567" s="1093"/>
      <c r="AA567" s="1094"/>
      <c r="AB567" s="1094"/>
      <c r="AC567" s="1098"/>
      <c r="AD567" s="1098"/>
      <c r="AE567" s="1099"/>
      <c r="AF567" s="2616"/>
      <c r="AG567" s="2617"/>
      <c r="AH567" s="2617"/>
      <c r="AI567" s="2616"/>
      <c r="AJ567" s="2617"/>
      <c r="AK567" s="2617"/>
      <c r="AL567" s="1900"/>
      <c r="AM567" s="1738"/>
      <c r="AN567" s="1738"/>
      <c r="AO567" s="1738"/>
      <c r="AP567" s="1738"/>
      <c r="AQ567" s="1738"/>
      <c r="AR567" s="1738"/>
      <c r="AS567" s="1738"/>
      <c r="AT567" s="1738"/>
      <c r="AU567" s="1738"/>
      <c r="AV567" s="1738"/>
      <c r="AW567" s="1738"/>
      <c r="AX567" s="1738"/>
      <c r="AY567" s="1738"/>
      <c r="AZ567" s="1738"/>
      <c r="BA567" s="1738"/>
      <c r="BB567" s="1738"/>
      <c r="BC567" s="1738"/>
      <c r="BD567" s="1738"/>
      <c r="BE567" s="1738"/>
      <c r="BF567" s="1738"/>
    </row>
    <row r="568" spans="1:58" ht="11.25" customHeight="1">
      <c r="A568" s="1084" t="s">
        <v>992</v>
      </c>
      <c r="B568" s="1084"/>
      <c r="C568" s="1084"/>
      <c r="D568" s="1078"/>
      <c r="E568" s="1088"/>
      <c r="F568" s="2605"/>
      <c r="G568" s="2606"/>
      <c r="H568" s="2601" t="s">
        <v>151</v>
      </c>
      <c r="I568" s="2613"/>
      <c r="J568" s="2624"/>
      <c r="K568" s="2615"/>
      <c r="L568" s="2338"/>
      <c r="M568" s="2339"/>
      <c r="N568" s="2618"/>
      <c r="O568" s="2619"/>
      <c r="P568" s="2621"/>
      <c r="Q568" s="2573"/>
      <c r="R568" s="2573"/>
      <c r="S568" s="2623"/>
      <c r="T568" s="2573"/>
      <c r="U568" s="2573"/>
      <c r="V568" s="2573"/>
      <c r="W568" s="2573"/>
      <c r="X568" s="2573"/>
      <c r="Y568" s="2573"/>
      <c r="Z568" s="1743"/>
      <c r="AA568" s="1711">
        <v>1</v>
      </c>
      <c r="AB568" s="1097" t="s">
        <v>1028</v>
      </c>
      <c r="AC568" s="1087">
        <v>172445.59383304199</v>
      </c>
      <c r="AD568" s="1097" t="str">
        <f>AB568</f>
        <v xml:space="preserve">  Прочие</v>
      </c>
      <c r="AE568" s="1087"/>
      <c r="AF568" s="2616"/>
      <c r="AG568" s="2617"/>
      <c r="AH568" s="2617"/>
      <c r="AI568" s="2616"/>
      <c r="AJ568" s="2617"/>
      <c r="AK568" s="2617"/>
      <c r="AL568" s="1900"/>
      <c r="AM568" s="1738"/>
      <c r="AN568" s="1738"/>
      <c r="AO568" s="1738"/>
      <c r="AP568" s="1738"/>
      <c r="AQ568" s="1738"/>
      <c r="AR568" s="1738"/>
      <c r="AS568" s="1738"/>
      <c r="AT568" s="1738"/>
      <c r="AU568" s="1738"/>
      <c r="AV568" s="1738"/>
      <c r="AW568" s="1738"/>
      <c r="AX568" s="1738"/>
      <c r="AY568" s="1738"/>
      <c r="AZ568" s="1738"/>
      <c r="BA568" s="1738"/>
      <c r="BB568" s="1738"/>
      <c r="BC568" s="1738"/>
      <c r="BD568" s="1738"/>
      <c r="BE568" s="1738"/>
      <c r="BF568" s="1738"/>
    </row>
    <row r="569" spans="1:58" ht="11.25" customHeight="1">
      <c r="A569" s="1084" t="s">
        <v>992</v>
      </c>
      <c r="B569" s="1084"/>
      <c r="C569" s="1084"/>
      <c r="D569" s="1078"/>
      <c r="E569" s="1088"/>
      <c r="F569" s="2605"/>
      <c r="G569" s="2606"/>
      <c r="H569" s="2601" t="s">
        <v>151</v>
      </c>
      <c r="I569" s="2613"/>
      <c r="J569" s="2624"/>
      <c r="K569" s="2615"/>
      <c r="L569" s="2338"/>
      <c r="M569" s="2339"/>
      <c r="N569" s="2618"/>
      <c r="O569" s="2619"/>
      <c r="P569" s="2622"/>
      <c r="Q569" s="2573"/>
      <c r="R569" s="2573"/>
      <c r="S569" s="2623"/>
      <c r="T569" s="2573"/>
      <c r="U569" s="2573"/>
      <c r="V569" s="2573"/>
      <c r="W569" s="2573"/>
      <c r="X569" s="2573"/>
      <c r="Y569" s="2573"/>
      <c r="Z569" s="1093"/>
      <c r="AA569" s="1094"/>
      <c r="AB569" s="1159" t="s">
        <v>1029</v>
      </c>
      <c r="AC569" s="1098"/>
      <c r="AD569" s="1098"/>
      <c r="AE569" s="1100"/>
      <c r="AF569" s="2616"/>
      <c r="AG569" s="2617"/>
      <c r="AH569" s="2617"/>
      <c r="AI569" s="2616"/>
      <c r="AJ569" s="2617"/>
      <c r="AK569" s="2617"/>
      <c r="AL569" s="1900"/>
      <c r="AM569" s="1738"/>
      <c r="AN569" s="1738"/>
      <c r="AO569" s="1738"/>
      <c r="AP569" s="1738"/>
      <c r="AQ569" s="1738"/>
      <c r="AR569" s="1738"/>
      <c r="AS569" s="1738"/>
      <c r="AT569" s="1738"/>
      <c r="AU569" s="1738"/>
      <c r="AV569" s="1738"/>
      <c r="AW569" s="1738"/>
      <c r="AX569" s="1738"/>
      <c r="AY569" s="1738"/>
      <c r="AZ569" s="1738"/>
      <c r="BA569" s="1738"/>
      <c r="BB569" s="1738"/>
      <c r="BC569" s="1738"/>
      <c r="BD569" s="1738"/>
      <c r="BE569" s="1738"/>
      <c r="BF569" s="1738"/>
    </row>
    <row r="570" spans="1:58" ht="11.25" customHeight="1">
      <c r="A570" s="1084" t="s">
        <v>992</v>
      </c>
      <c r="B570" s="1084"/>
      <c r="C570" s="1084"/>
      <c r="D570" s="1078"/>
      <c r="E570" s="1088"/>
      <c r="F570" s="2605"/>
      <c r="G570" s="2606"/>
      <c r="H570" s="2601" t="s">
        <v>151</v>
      </c>
      <c r="I570" s="2613"/>
      <c r="J570" s="2624"/>
      <c r="K570" s="2615"/>
      <c r="L570" s="2338"/>
      <c r="M570" s="2339"/>
      <c r="N570" s="1093"/>
      <c r="O570" s="1094"/>
      <c r="P570" s="1086" t="s">
        <v>1030</v>
      </c>
      <c r="Q570" s="1094"/>
      <c r="R570" s="1094"/>
      <c r="S570" s="1094"/>
      <c r="T570" s="1094"/>
      <c r="U570" s="1094"/>
      <c r="V570" s="1094"/>
      <c r="W570" s="1094"/>
      <c r="X570" s="1094"/>
      <c r="Y570" s="1094"/>
      <c r="Z570" s="1094"/>
      <c r="AA570" s="1094"/>
      <c r="AB570" s="1094"/>
      <c r="AC570" s="1094"/>
      <c r="AD570" s="1094"/>
      <c r="AE570" s="1101"/>
      <c r="AF570" s="2616"/>
      <c r="AG570" s="2617"/>
      <c r="AH570" s="2617"/>
      <c r="AI570" s="2616"/>
      <c r="AJ570" s="2617"/>
      <c r="AK570" s="2617"/>
      <c r="AL570" s="1900"/>
      <c r="AM570" s="1738"/>
      <c r="AN570" s="1738"/>
      <c r="AO570" s="1738"/>
      <c r="AP570" s="1738"/>
      <c r="AQ570" s="1738"/>
      <c r="AR570" s="1738"/>
      <c r="AS570" s="1738"/>
      <c r="AT570" s="1738"/>
      <c r="AU570" s="1738"/>
      <c r="AV570" s="1738"/>
      <c r="AW570" s="1738"/>
      <c r="AX570" s="1738"/>
      <c r="AY570" s="1738"/>
      <c r="AZ570" s="1738"/>
      <c r="BA570" s="1738"/>
      <c r="BB570" s="1738"/>
      <c r="BC570" s="1738"/>
      <c r="BD570" s="1738"/>
      <c r="BE570" s="1738"/>
      <c r="BF570" s="1738"/>
    </row>
    <row r="571" spans="1:58" ht="11.25" customHeight="1">
      <c r="A571" s="1084" t="s">
        <v>992</v>
      </c>
      <c r="B571" s="1084" t="s">
        <v>1031</v>
      </c>
      <c r="C571" s="1084"/>
      <c r="D571" s="1078"/>
      <c r="E571" s="1088"/>
      <c r="F571" s="2605"/>
      <c r="G571" s="2590" t="s">
        <v>686</v>
      </c>
      <c r="H571" s="2601" t="s">
        <v>1054</v>
      </c>
      <c r="I571" s="2613" t="s">
        <v>1032</v>
      </c>
      <c r="J571" s="2624" t="s">
        <v>1033</v>
      </c>
      <c r="K571" s="2615" t="s">
        <v>1078</v>
      </c>
      <c r="L571" s="2338" t="s">
        <v>19</v>
      </c>
      <c r="M571" s="2339"/>
      <c r="N571" s="1898"/>
      <c r="O571" s="1095" t="s">
        <v>373</v>
      </c>
      <c r="P571" s="1096"/>
      <c r="Q571" s="1096"/>
      <c r="R571" s="1096"/>
      <c r="S571" s="1096"/>
      <c r="T571" s="1096"/>
      <c r="U571" s="1096"/>
      <c r="V571" s="1096"/>
      <c r="W571" s="1096"/>
      <c r="X571" s="1096"/>
      <c r="Y571" s="1096"/>
      <c r="Z571" s="1096"/>
      <c r="AA571" s="1096"/>
      <c r="AB571" s="1096"/>
      <c r="AC571" s="1096"/>
      <c r="AD571" s="1096"/>
      <c r="AE571" s="1096"/>
      <c r="AF571" s="2616">
        <v>3</v>
      </c>
      <c r="AG571" s="2617" t="s">
        <v>1026</v>
      </c>
      <c r="AH571" s="2617" t="s">
        <v>1035</v>
      </c>
      <c r="AI571" s="2616"/>
      <c r="AJ571" s="2617"/>
      <c r="AK571" s="2617"/>
      <c r="AL571" s="1900"/>
      <c r="AM571" s="1738"/>
      <c r="AN571" s="1738"/>
      <c r="AO571" s="1738"/>
      <c r="AP571" s="1738"/>
      <c r="AQ571" s="1738"/>
      <c r="AR571" s="1738"/>
      <c r="AS571" s="1738"/>
      <c r="AT571" s="1738"/>
      <c r="AU571" s="1738"/>
      <c r="AV571" s="1738"/>
      <c r="AW571" s="1738"/>
      <c r="AX571" s="1738"/>
      <c r="AY571" s="1738"/>
      <c r="AZ571" s="1738"/>
      <c r="BA571" s="1738"/>
      <c r="BB571" s="1738"/>
      <c r="BC571" s="1738"/>
      <c r="BD571" s="1738"/>
      <c r="BE571" s="1738"/>
      <c r="BF571" s="1738"/>
    </row>
    <row r="572" spans="1:58" ht="11.25" customHeight="1">
      <c r="A572" s="1084" t="s">
        <v>992</v>
      </c>
      <c r="B572" s="1084"/>
      <c r="C572" s="1084"/>
      <c r="D572" s="1078"/>
      <c r="E572" s="1088"/>
      <c r="F572" s="2605"/>
      <c r="G572" s="2606"/>
      <c r="H572" s="2601" t="s">
        <v>152</v>
      </c>
      <c r="I572" s="2613"/>
      <c r="J572" s="2624"/>
      <c r="K572" s="2615"/>
      <c r="L572" s="2338"/>
      <c r="M572" s="2339"/>
      <c r="N572" s="2618"/>
      <c r="O572" s="2619">
        <v>1</v>
      </c>
      <c r="P572" s="2620" t="s">
        <v>19</v>
      </c>
      <c r="Q572" s="2573" t="s">
        <v>22</v>
      </c>
      <c r="R572" s="2573" t="s">
        <v>22</v>
      </c>
      <c r="S572" s="2573" t="s">
        <v>22</v>
      </c>
      <c r="T572" s="2573" t="s">
        <v>22</v>
      </c>
      <c r="U572" s="2573" t="s">
        <v>22</v>
      </c>
      <c r="V572" s="2573" t="s">
        <v>22</v>
      </c>
      <c r="W572" s="2573" t="s">
        <v>22</v>
      </c>
      <c r="X572" s="2573" t="s">
        <v>22</v>
      </c>
      <c r="Y572" s="2573"/>
      <c r="Z572" s="1093"/>
      <c r="AA572" s="1094"/>
      <c r="AB572" s="1094"/>
      <c r="AC572" s="1098"/>
      <c r="AD572" s="1098"/>
      <c r="AE572" s="1099"/>
      <c r="AF572" s="2616"/>
      <c r="AG572" s="2617"/>
      <c r="AH572" s="2617"/>
      <c r="AI572" s="2616"/>
      <c r="AJ572" s="2617"/>
      <c r="AK572" s="2617"/>
      <c r="AL572" s="1900"/>
      <c r="AM572" s="1738"/>
      <c r="AN572" s="1738"/>
      <c r="AO572" s="1738"/>
      <c r="AP572" s="1738"/>
      <c r="AQ572" s="1738"/>
      <c r="AR572" s="1738"/>
      <c r="AS572" s="1738"/>
      <c r="AT572" s="1738"/>
      <c r="AU572" s="1738"/>
      <c r="AV572" s="1738"/>
      <c r="AW572" s="1738"/>
      <c r="AX572" s="1738"/>
      <c r="AY572" s="1738"/>
      <c r="AZ572" s="1738"/>
      <c r="BA572" s="1738"/>
      <c r="BB572" s="1738"/>
      <c r="BC572" s="1738"/>
      <c r="BD572" s="1738"/>
      <c r="BE572" s="1738"/>
      <c r="BF572" s="1738"/>
    </row>
    <row r="573" spans="1:58" ht="11.25" customHeight="1">
      <c r="A573" s="1084" t="s">
        <v>992</v>
      </c>
      <c r="B573" s="1084"/>
      <c r="C573" s="1084"/>
      <c r="D573" s="1078"/>
      <c r="E573" s="1088"/>
      <c r="F573" s="2605"/>
      <c r="G573" s="2606"/>
      <c r="H573" s="2601" t="s">
        <v>152</v>
      </c>
      <c r="I573" s="2613"/>
      <c r="J573" s="2624"/>
      <c r="K573" s="2615"/>
      <c r="L573" s="2338"/>
      <c r="M573" s="2339"/>
      <c r="N573" s="2618"/>
      <c r="O573" s="2619"/>
      <c r="P573" s="2621"/>
      <c r="Q573" s="2573"/>
      <c r="R573" s="2573"/>
      <c r="S573" s="2623"/>
      <c r="T573" s="2573"/>
      <c r="U573" s="2573"/>
      <c r="V573" s="2573"/>
      <c r="W573" s="2573"/>
      <c r="X573" s="2573"/>
      <c r="Y573" s="2573"/>
      <c r="Z573" s="1743"/>
      <c r="AA573" s="1711">
        <v>1</v>
      </c>
      <c r="AB573" s="1097" t="s">
        <v>1036</v>
      </c>
      <c r="AC573" s="1087">
        <v>130040.21966467801</v>
      </c>
      <c r="AD573" s="1097" t="str">
        <f>AB573</f>
        <v xml:space="preserve">      Прочие амортизационные отчисления</v>
      </c>
      <c r="AE573" s="1087"/>
      <c r="AF573" s="2616"/>
      <c r="AG573" s="2617"/>
      <c r="AH573" s="2617"/>
      <c r="AI573" s="2616"/>
      <c r="AJ573" s="2617"/>
      <c r="AK573" s="2617"/>
      <c r="AL573" s="1900"/>
      <c r="AM573" s="1738"/>
      <c r="AN573" s="1738"/>
      <c r="AO573" s="1738"/>
      <c r="AP573" s="1738"/>
      <c r="AQ573" s="1738"/>
      <c r="AR573" s="1738"/>
      <c r="AS573" s="1738"/>
      <c r="AT573" s="1738"/>
      <c r="AU573" s="1738"/>
      <c r="AV573" s="1738"/>
      <c r="AW573" s="1738"/>
      <c r="AX573" s="1738"/>
      <c r="AY573" s="1738"/>
      <c r="AZ573" s="1738"/>
      <c r="BA573" s="1738"/>
      <c r="BB573" s="1738"/>
      <c r="BC573" s="1738"/>
      <c r="BD573" s="1738"/>
      <c r="BE573" s="1738"/>
      <c r="BF573" s="1738"/>
    </row>
    <row r="574" spans="1:58" ht="11.25" customHeight="1">
      <c r="A574" s="1084" t="s">
        <v>992</v>
      </c>
      <c r="B574" s="1084"/>
      <c r="C574" s="1084"/>
      <c r="D574" s="1078"/>
      <c r="E574" s="1088"/>
      <c r="F574" s="2606"/>
      <c r="G574" s="2606"/>
      <c r="H574" s="2606"/>
      <c r="I574" s="2606"/>
      <c r="J574" s="2606"/>
      <c r="K574" s="2606"/>
      <c r="L574" s="2606"/>
      <c r="M574" s="2606"/>
      <c r="N574" s="2606"/>
      <c r="O574" s="2606"/>
      <c r="P574" s="2606"/>
      <c r="Q574" s="2606"/>
      <c r="R574" s="2606"/>
      <c r="S574" s="2606"/>
      <c r="T574" s="2606"/>
      <c r="U574" s="2606"/>
      <c r="V574" s="2606"/>
      <c r="W574" s="2606"/>
      <c r="X574" s="2606"/>
      <c r="Y574" s="2606"/>
      <c r="Z574" s="2054" t="s">
        <v>686</v>
      </c>
      <c r="AA574" s="1731" t="s">
        <v>109</v>
      </c>
      <c r="AB574" s="1097" t="s">
        <v>1028</v>
      </c>
      <c r="AC574" s="1087">
        <v>79859.693617139303</v>
      </c>
      <c r="AD574" s="1097" t="str">
        <f>AB574</f>
        <v xml:space="preserve">  Прочие</v>
      </c>
      <c r="AE574" s="1087"/>
      <c r="AF574" s="2625"/>
      <c r="AG574" s="2626"/>
      <c r="AH574" s="2626"/>
      <c r="AI574" s="2625"/>
      <c r="AJ574" s="2626"/>
      <c r="AK574" s="2627"/>
      <c r="AL574" s="1900"/>
      <c r="AM574" s="1738"/>
      <c r="AN574" s="1738"/>
      <c r="AO574" s="1738"/>
      <c r="AP574" s="1738"/>
      <c r="AQ574" s="1738"/>
      <c r="AR574" s="1738"/>
      <c r="AS574" s="1738"/>
      <c r="AT574" s="1738"/>
      <c r="AU574" s="1738"/>
      <c r="AV574" s="1738"/>
      <c r="AW574" s="1738"/>
      <c r="AX574" s="1738"/>
      <c r="AY574" s="1738"/>
      <c r="AZ574" s="1738"/>
      <c r="BA574" s="1738"/>
      <c r="BB574" s="1738"/>
      <c r="BC574" s="1738"/>
      <c r="BD574" s="1738"/>
      <c r="BE574" s="1738"/>
      <c r="BF574" s="1738"/>
    </row>
    <row r="575" spans="1:58" ht="11.25" customHeight="1">
      <c r="A575" s="1084" t="s">
        <v>992</v>
      </c>
      <c r="B575" s="1084"/>
      <c r="C575" s="1084"/>
      <c r="D575" s="1078"/>
      <c r="E575" s="1088"/>
      <c r="F575" s="2605"/>
      <c r="G575" s="2606"/>
      <c r="H575" s="2601" t="s">
        <v>152</v>
      </c>
      <c r="I575" s="2613"/>
      <c r="J575" s="2624"/>
      <c r="K575" s="2615"/>
      <c r="L575" s="2338"/>
      <c r="M575" s="2339"/>
      <c r="N575" s="2618"/>
      <c r="O575" s="2619"/>
      <c r="P575" s="2622"/>
      <c r="Q575" s="2573"/>
      <c r="R575" s="2573"/>
      <c r="S575" s="2623"/>
      <c r="T575" s="2573"/>
      <c r="U575" s="2573"/>
      <c r="V575" s="2573"/>
      <c r="W575" s="2573"/>
      <c r="X575" s="2573"/>
      <c r="Y575" s="2573"/>
      <c r="Z575" s="1093"/>
      <c r="AA575" s="1094"/>
      <c r="AB575" s="1159" t="s">
        <v>1029</v>
      </c>
      <c r="AC575" s="1098"/>
      <c r="AD575" s="1098"/>
      <c r="AE575" s="1100"/>
      <c r="AF575" s="2616"/>
      <c r="AG575" s="2617"/>
      <c r="AH575" s="2617"/>
      <c r="AI575" s="2616"/>
      <c r="AJ575" s="2617"/>
      <c r="AK575" s="2617"/>
      <c r="AL575" s="1900"/>
      <c r="AM575" s="1738"/>
      <c r="AN575" s="1738"/>
      <c r="AO575" s="1738"/>
      <c r="AP575" s="1738"/>
      <c r="AQ575" s="1738"/>
      <c r="AR575" s="1738"/>
      <c r="AS575" s="1738"/>
      <c r="AT575" s="1738"/>
      <c r="AU575" s="1738"/>
      <c r="AV575" s="1738"/>
      <c r="AW575" s="1738"/>
      <c r="AX575" s="1738"/>
      <c r="AY575" s="1738"/>
      <c r="AZ575" s="1738"/>
      <c r="BA575" s="1738"/>
      <c r="BB575" s="1738"/>
      <c r="BC575" s="1738"/>
      <c r="BD575" s="1738"/>
      <c r="BE575" s="1738"/>
      <c r="BF575" s="1738"/>
    </row>
    <row r="576" spans="1:58" ht="11.25" customHeight="1">
      <c r="A576" s="1084" t="s">
        <v>992</v>
      </c>
      <c r="B576" s="1084"/>
      <c r="C576" s="1084"/>
      <c r="D576" s="1078"/>
      <c r="E576" s="1088"/>
      <c r="F576" s="2605"/>
      <c r="G576" s="2606"/>
      <c r="H576" s="2601" t="s">
        <v>152</v>
      </c>
      <c r="I576" s="2613"/>
      <c r="J576" s="2624"/>
      <c r="K576" s="2615"/>
      <c r="L576" s="2338"/>
      <c r="M576" s="2339"/>
      <c r="N576" s="1093"/>
      <c r="O576" s="1094"/>
      <c r="P576" s="1086" t="s">
        <v>1030</v>
      </c>
      <c r="Q576" s="1094"/>
      <c r="R576" s="1094"/>
      <c r="S576" s="1094"/>
      <c r="T576" s="1094"/>
      <c r="U576" s="1094"/>
      <c r="V576" s="1094"/>
      <c r="W576" s="1094"/>
      <c r="X576" s="1094"/>
      <c r="Y576" s="1094"/>
      <c r="Z576" s="1094"/>
      <c r="AA576" s="1094"/>
      <c r="AB576" s="1094"/>
      <c r="AC576" s="1094"/>
      <c r="AD576" s="1094"/>
      <c r="AE576" s="1101"/>
      <c r="AF576" s="2616"/>
      <c r="AG576" s="2617"/>
      <c r="AH576" s="2617"/>
      <c r="AI576" s="2616"/>
      <c r="AJ576" s="2617"/>
      <c r="AK576" s="2617"/>
      <c r="AL576" s="1900"/>
      <c r="AM576" s="1738"/>
      <c r="AN576" s="1738"/>
      <c r="AO576" s="1738"/>
      <c r="AP576" s="1738"/>
      <c r="AQ576" s="1738"/>
      <c r="AR576" s="1738"/>
      <c r="AS576" s="1738"/>
      <c r="AT576" s="1738"/>
      <c r="AU576" s="1738"/>
      <c r="AV576" s="1738"/>
      <c r="AW576" s="1738"/>
      <c r="AX576" s="1738"/>
      <c r="AY576" s="1738"/>
      <c r="AZ576" s="1738"/>
      <c r="BA576" s="1738"/>
      <c r="BB576" s="1738"/>
      <c r="BC576" s="1738"/>
      <c r="BD576" s="1738"/>
      <c r="BE576" s="1738"/>
      <c r="BF576" s="1738"/>
    </row>
    <row r="577" spans="1:59" ht="11.25" customHeight="1">
      <c r="A577" s="1084" t="s">
        <v>992</v>
      </c>
      <c r="B577" s="1084" t="s">
        <v>1031</v>
      </c>
      <c r="C577" s="1084"/>
      <c r="D577" s="1078"/>
      <c r="E577" s="1088"/>
      <c r="F577" s="2605"/>
      <c r="G577" s="2590" t="s">
        <v>686</v>
      </c>
      <c r="H577" s="2601" t="s">
        <v>1056</v>
      </c>
      <c r="I577" s="2613" t="s">
        <v>1032</v>
      </c>
      <c r="J577" s="2624" t="s">
        <v>1033</v>
      </c>
      <c r="K577" s="2615" t="s">
        <v>1079</v>
      </c>
      <c r="L577" s="2338" t="s">
        <v>19</v>
      </c>
      <c r="M577" s="2339"/>
      <c r="N577" s="1898"/>
      <c r="O577" s="1095" t="s">
        <v>373</v>
      </c>
      <c r="P577" s="1096"/>
      <c r="Q577" s="1096"/>
      <c r="R577" s="1096"/>
      <c r="S577" s="1096"/>
      <c r="T577" s="1096"/>
      <c r="U577" s="1096"/>
      <c r="V577" s="1096"/>
      <c r="W577" s="1096"/>
      <c r="X577" s="1096"/>
      <c r="Y577" s="1096"/>
      <c r="Z577" s="1096"/>
      <c r="AA577" s="1096"/>
      <c r="AB577" s="1096"/>
      <c r="AC577" s="1096"/>
      <c r="AD577" s="1096"/>
      <c r="AE577" s="1096"/>
      <c r="AF577" s="2616">
        <v>3</v>
      </c>
      <c r="AG577" s="2617" t="s">
        <v>1026</v>
      </c>
      <c r="AH577" s="2617" t="s">
        <v>1035</v>
      </c>
      <c r="AI577" s="2616"/>
      <c r="AJ577" s="2617"/>
      <c r="AK577" s="2617"/>
      <c r="AL577" s="1900"/>
      <c r="AM577" s="1738"/>
      <c r="AN577" s="1738"/>
      <c r="AO577" s="1738"/>
      <c r="AP577" s="1738"/>
      <c r="AQ577" s="1738"/>
      <c r="AR577" s="1738"/>
      <c r="AS577" s="1738"/>
      <c r="AT577" s="1738"/>
      <c r="AU577" s="1738"/>
      <c r="AV577" s="1738"/>
      <c r="AW577" s="1738"/>
      <c r="AX577" s="1738"/>
      <c r="AY577" s="1738"/>
      <c r="AZ577" s="1738"/>
      <c r="BA577" s="1738"/>
      <c r="BB577" s="1738"/>
      <c r="BC577" s="1738"/>
      <c r="BD577" s="1738"/>
      <c r="BE577" s="1738"/>
      <c r="BF577" s="1738"/>
    </row>
    <row r="578" spans="1:59" ht="11.25" customHeight="1">
      <c r="A578" s="1084" t="s">
        <v>992</v>
      </c>
      <c r="B578" s="1084"/>
      <c r="C578" s="1084"/>
      <c r="D578" s="1078"/>
      <c r="E578" s="1088"/>
      <c r="F578" s="2605"/>
      <c r="G578" s="2606"/>
      <c r="H578" s="2601" t="s">
        <v>1054</v>
      </c>
      <c r="I578" s="2613"/>
      <c r="J578" s="2624"/>
      <c r="K578" s="2615"/>
      <c r="L578" s="2338"/>
      <c r="M578" s="2339"/>
      <c r="N578" s="2618"/>
      <c r="O578" s="2619">
        <v>1</v>
      </c>
      <c r="P578" s="2620" t="s">
        <v>19</v>
      </c>
      <c r="Q578" s="2573" t="s">
        <v>22</v>
      </c>
      <c r="R578" s="2573" t="s">
        <v>22</v>
      </c>
      <c r="S578" s="2573" t="s">
        <v>22</v>
      </c>
      <c r="T578" s="2573" t="s">
        <v>22</v>
      </c>
      <c r="U578" s="2573" t="s">
        <v>22</v>
      </c>
      <c r="V578" s="2573" t="s">
        <v>22</v>
      </c>
      <c r="W578" s="2573" t="s">
        <v>22</v>
      </c>
      <c r="X578" s="2573" t="s">
        <v>22</v>
      </c>
      <c r="Y578" s="2573"/>
      <c r="Z578" s="1093"/>
      <c r="AA578" s="1094"/>
      <c r="AB578" s="1094"/>
      <c r="AC578" s="1098"/>
      <c r="AD578" s="1098"/>
      <c r="AE578" s="1099"/>
      <c r="AF578" s="2616"/>
      <c r="AG578" s="2617"/>
      <c r="AH578" s="2617"/>
      <c r="AI578" s="2616"/>
      <c r="AJ578" s="2617"/>
      <c r="AK578" s="2617"/>
      <c r="AL578" s="1900"/>
      <c r="AM578" s="1738"/>
      <c r="AN578" s="1738"/>
      <c r="AO578" s="1738"/>
      <c r="AP578" s="1738"/>
      <c r="AQ578" s="1738"/>
      <c r="AR578" s="1738"/>
      <c r="AS578" s="1738"/>
      <c r="AT578" s="1738"/>
      <c r="AU578" s="1738"/>
      <c r="AV578" s="1738"/>
      <c r="AW578" s="1738"/>
      <c r="AX578" s="1738"/>
      <c r="AY578" s="1738"/>
      <c r="AZ578" s="1738"/>
      <c r="BA578" s="1738"/>
      <c r="BB578" s="1738"/>
      <c r="BC578" s="1738"/>
      <c r="BD578" s="1738"/>
      <c r="BE578" s="1738"/>
      <c r="BF578" s="1738"/>
    </row>
    <row r="579" spans="1:59" ht="11.25" customHeight="1">
      <c r="A579" s="1084" t="s">
        <v>992</v>
      </c>
      <c r="B579" s="1084"/>
      <c r="C579" s="1084"/>
      <c r="D579" s="1078"/>
      <c r="E579" s="1088"/>
      <c r="F579" s="2605"/>
      <c r="G579" s="2606"/>
      <c r="H579" s="2601" t="s">
        <v>1054</v>
      </c>
      <c r="I579" s="2613"/>
      <c r="J579" s="2624"/>
      <c r="K579" s="2615"/>
      <c r="L579" s="2338"/>
      <c r="M579" s="2339"/>
      <c r="N579" s="2618"/>
      <c r="O579" s="2619"/>
      <c r="P579" s="2621"/>
      <c r="Q579" s="2573"/>
      <c r="R579" s="2573"/>
      <c r="S579" s="2623"/>
      <c r="T579" s="2573"/>
      <c r="U579" s="2573"/>
      <c r="V579" s="2573"/>
      <c r="W579" s="2573"/>
      <c r="X579" s="2573"/>
      <c r="Y579" s="2573"/>
      <c r="Z579" s="1743"/>
      <c r="AA579" s="1711">
        <v>1</v>
      </c>
      <c r="AB579" s="1097" t="s">
        <v>1036</v>
      </c>
      <c r="AC579" s="1087">
        <v>130040.21966467801</v>
      </c>
      <c r="AD579" s="1097" t="str">
        <f>AB579</f>
        <v xml:space="preserve">      Прочие амортизационные отчисления</v>
      </c>
      <c r="AE579" s="1087"/>
      <c r="AF579" s="2616"/>
      <c r="AG579" s="2617"/>
      <c r="AH579" s="2617"/>
      <c r="AI579" s="2616"/>
      <c r="AJ579" s="2617"/>
      <c r="AK579" s="2617"/>
      <c r="AL579" s="1900"/>
      <c r="AM579" s="1738"/>
      <c r="AN579" s="1738"/>
      <c r="AO579" s="1738"/>
      <c r="AP579" s="1738"/>
      <c r="AQ579" s="1738"/>
      <c r="AR579" s="1738"/>
      <c r="AS579" s="1738"/>
      <c r="AT579" s="1738"/>
      <c r="AU579" s="1738"/>
      <c r="AV579" s="1738"/>
      <c r="AW579" s="1738"/>
      <c r="AX579" s="1738"/>
      <c r="AY579" s="1738"/>
      <c r="AZ579" s="1738"/>
      <c r="BA579" s="1738"/>
      <c r="BB579" s="1738"/>
      <c r="BC579" s="1738"/>
      <c r="BD579" s="1738"/>
      <c r="BE579" s="1738"/>
      <c r="BF579" s="1738"/>
    </row>
    <row r="580" spans="1:59" ht="11.25" customHeight="1">
      <c r="A580" s="1084" t="s">
        <v>992</v>
      </c>
      <c r="B580" s="1084"/>
      <c r="C580" s="1084"/>
      <c r="D580" s="1078"/>
      <c r="E580" s="1088"/>
      <c r="F580" s="2606"/>
      <c r="G580" s="2606"/>
      <c r="H580" s="2606"/>
      <c r="I580" s="2606"/>
      <c r="J580" s="2606"/>
      <c r="K580" s="2606"/>
      <c r="L580" s="2606"/>
      <c r="M580" s="2606"/>
      <c r="N580" s="2606"/>
      <c r="O580" s="2606"/>
      <c r="P580" s="2606"/>
      <c r="Q580" s="2606"/>
      <c r="R580" s="2606"/>
      <c r="S580" s="2606"/>
      <c r="T580" s="2606"/>
      <c r="U580" s="2606"/>
      <c r="V580" s="2606"/>
      <c r="W580" s="2606"/>
      <c r="X580" s="2606"/>
      <c r="Y580" s="2606"/>
      <c r="Z580" s="2054" t="s">
        <v>686</v>
      </c>
      <c r="AA580" s="1731" t="s">
        <v>109</v>
      </c>
      <c r="AB580" s="1097" t="s">
        <v>1028</v>
      </c>
      <c r="AC580" s="1087">
        <v>79859.693617139303</v>
      </c>
      <c r="AD580" s="1097" t="str">
        <f>AB580</f>
        <v xml:space="preserve">  Прочие</v>
      </c>
      <c r="AE580" s="1087"/>
      <c r="AF580" s="2625"/>
      <c r="AG580" s="2626"/>
      <c r="AH580" s="2626"/>
      <c r="AI580" s="2625"/>
      <c r="AJ580" s="2626"/>
      <c r="AK580" s="2627"/>
      <c r="AL580" s="1900"/>
      <c r="AM580" s="1738"/>
      <c r="AN580" s="1738"/>
      <c r="AO580" s="1738"/>
      <c r="AP580" s="1738"/>
      <c r="AQ580" s="1738"/>
      <c r="AR580" s="1738"/>
      <c r="AS580" s="1738"/>
      <c r="AT580" s="1738"/>
      <c r="AU580" s="1738"/>
      <c r="AV580" s="1738"/>
      <c r="AW580" s="1738"/>
      <c r="AX580" s="1738"/>
      <c r="AY580" s="1738"/>
      <c r="AZ580" s="1738"/>
      <c r="BA580" s="1738"/>
      <c r="BB580" s="1738"/>
      <c r="BC580" s="1738"/>
      <c r="BD580" s="1738"/>
      <c r="BE580" s="1738"/>
      <c r="BF580" s="1738"/>
    </row>
    <row r="581" spans="1:59" ht="11.25" customHeight="1">
      <c r="A581" s="1084" t="s">
        <v>992</v>
      </c>
      <c r="B581" s="1084"/>
      <c r="C581" s="1084"/>
      <c r="D581" s="1078"/>
      <c r="E581" s="1088"/>
      <c r="F581" s="2605"/>
      <c r="G581" s="2606"/>
      <c r="H581" s="2601" t="s">
        <v>1054</v>
      </c>
      <c r="I581" s="2613"/>
      <c r="J581" s="2624"/>
      <c r="K581" s="2615"/>
      <c r="L581" s="2338"/>
      <c r="M581" s="2339"/>
      <c r="N581" s="2618"/>
      <c r="O581" s="2619"/>
      <c r="P581" s="2622"/>
      <c r="Q581" s="2573"/>
      <c r="R581" s="2573"/>
      <c r="S581" s="2623"/>
      <c r="T581" s="2573"/>
      <c r="U581" s="2573"/>
      <c r="V581" s="2573"/>
      <c r="W581" s="2573"/>
      <c r="X581" s="2573"/>
      <c r="Y581" s="2573"/>
      <c r="Z581" s="1093"/>
      <c r="AA581" s="1094"/>
      <c r="AB581" s="1159" t="s">
        <v>1029</v>
      </c>
      <c r="AC581" s="1098"/>
      <c r="AD581" s="1098"/>
      <c r="AE581" s="1100"/>
      <c r="AF581" s="2616"/>
      <c r="AG581" s="2617"/>
      <c r="AH581" s="2617"/>
      <c r="AI581" s="2616"/>
      <c r="AJ581" s="2617"/>
      <c r="AK581" s="2617"/>
      <c r="AL581" s="1900"/>
      <c r="AM581" s="1738"/>
      <c r="AN581" s="1738"/>
      <c r="AO581" s="1738"/>
      <c r="AP581" s="1738"/>
      <c r="AQ581" s="1738"/>
      <c r="AR581" s="1738"/>
      <c r="AS581" s="1738"/>
      <c r="AT581" s="1738"/>
      <c r="AU581" s="1738"/>
      <c r="AV581" s="1738"/>
      <c r="AW581" s="1738"/>
      <c r="AX581" s="1738"/>
      <c r="AY581" s="1738"/>
      <c r="AZ581" s="1738"/>
      <c r="BA581" s="1738"/>
      <c r="BB581" s="1738"/>
      <c r="BC581" s="1738"/>
      <c r="BD581" s="1738"/>
      <c r="BE581" s="1738"/>
      <c r="BF581" s="1738"/>
    </row>
    <row r="582" spans="1:59" ht="11.25" customHeight="1">
      <c r="A582" s="1084" t="s">
        <v>992</v>
      </c>
      <c r="B582" s="1084"/>
      <c r="C582" s="1084"/>
      <c r="D582" s="1078"/>
      <c r="E582" s="1088"/>
      <c r="F582" s="2605"/>
      <c r="G582" s="2606"/>
      <c r="H582" s="2601" t="s">
        <v>1054</v>
      </c>
      <c r="I582" s="2613"/>
      <c r="J582" s="2624"/>
      <c r="K582" s="2615"/>
      <c r="L582" s="2338"/>
      <c r="M582" s="2339"/>
      <c r="N582" s="1093"/>
      <c r="O582" s="1094"/>
      <c r="P582" s="1086" t="s">
        <v>1030</v>
      </c>
      <c r="Q582" s="1094"/>
      <c r="R582" s="1094"/>
      <c r="S582" s="1094"/>
      <c r="T582" s="1094"/>
      <c r="U582" s="1094"/>
      <c r="V582" s="1094"/>
      <c r="W582" s="1094"/>
      <c r="X582" s="1094"/>
      <c r="Y582" s="1094"/>
      <c r="Z582" s="1094"/>
      <c r="AA582" s="1094"/>
      <c r="AB582" s="1094"/>
      <c r="AC582" s="1094"/>
      <c r="AD582" s="1094"/>
      <c r="AE582" s="1101"/>
      <c r="AF582" s="2616"/>
      <c r="AG582" s="2617"/>
      <c r="AH582" s="2617"/>
      <c r="AI582" s="2616"/>
      <c r="AJ582" s="2617"/>
      <c r="AK582" s="2617"/>
      <c r="AL582" s="1900"/>
      <c r="AM582" s="1738"/>
      <c r="AN582" s="1738"/>
      <c r="AO582" s="1738"/>
      <c r="AP582" s="1738"/>
      <c r="AQ582" s="1738"/>
      <c r="AR582" s="1738"/>
      <c r="AS582" s="1738"/>
      <c r="AT582" s="1738"/>
      <c r="AU582" s="1738"/>
      <c r="AV582" s="1738"/>
      <c r="AW582" s="1738"/>
      <c r="AX582" s="1738"/>
      <c r="AY582" s="1738"/>
      <c r="AZ582" s="1738"/>
      <c r="BA582" s="1738"/>
      <c r="BB582" s="1738"/>
      <c r="BC582" s="1738"/>
      <c r="BD582" s="1738"/>
      <c r="BE582" s="1738"/>
      <c r="BF582" s="1738"/>
    </row>
    <row r="583" spans="1:59" ht="28.5" customHeight="1">
      <c r="A583" s="1084" t="s">
        <v>992</v>
      </c>
      <c r="B583" s="1084" t="s">
        <v>22</v>
      </c>
      <c r="C583" s="1084"/>
      <c r="D583" s="1078"/>
      <c r="E583" s="1088"/>
      <c r="F583" s="2605"/>
      <c r="G583" s="2590" t="s">
        <v>686</v>
      </c>
      <c r="H583" s="2601" t="s">
        <v>1059</v>
      </c>
      <c r="I583" s="2613" t="s">
        <v>1050</v>
      </c>
      <c r="J583" s="2614" t="s">
        <v>22</v>
      </c>
      <c r="K583" s="2615" t="s">
        <v>1069</v>
      </c>
      <c r="L583" s="2338" t="s">
        <v>19</v>
      </c>
      <c r="M583" s="2339"/>
      <c r="N583" s="1898"/>
      <c r="O583" s="1095" t="s">
        <v>373</v>
      </c>
      <c r="P583" s="1096"/>
      <c r="Q583" s="1096"/>
      <c r="R583" s="1096"/>
      <c r="S583" s="1096"/>
      <c r="T583" s="1096"/>
      <c r="U583" s="1096"/>
      <c r="V583" s="1096"/>
      <c r="W583" s="1096"/>
      <c r="X583" s="1096"/>
      <c r="Y583" s="1096"/>
      <c r="Z583" s="1096"/>
      <c r="AA583" s="1096"/>
      <c r="AB583" s="1096"/>
      <c r="AC583" s="1096"/>
      <c r="AD583" s="1096"/>
      <c r="AE583" s="1096"/>
      <c r="AF583" s="2616">
        <v>4</v>
      </c>
      <c r="AG583" s="2617" t="s">
        <v>1026</v>
      </c>
      <c r="AH583" s="2617" t="s">
        <v>1035</v>
      </c>
      <c r="AI583" s="2616"/>
      <c r="AJ583" s="2617"/>
      <c r="AK583" s="2617"/>
      <c r="AL583" s="1900"/>
      <c r="AM583" s="1738"/>
      <c r="AN583" s="1738"/>
      <c r="AO583" s="1738"/>
      <c r="AP583" s="1738"/>
      <c r="AQ583" s="1738"/>
      <c r="AR583" s="1738"/>
      <c r="AS583" s="1738"/>
      <c r="AT583" s="1738"/>
      <c r="AU583" s="1738"/>
      <c r="AV583" s="1738"/>
      <c r="AW583" s="1738"/>
      <c r="AX583" s="1738"/>
      <c r="AY583" s="1738"/>
      <c r="AZ583" s="1738"/>
      <c r="BA583" s="1738"/>
      <c r="BB583" s="1738"/>
      <c r="BC583" s="1738"/>
      <c r="BD583" s="1738"/>
      <c r="BE583" s="1738"/>
      <c r="BF583" s="1738"/>
    </row>
    <row r="584" spans="1:59" ht="11.25" customHeight="1">
      <c r="A584" s="1084" t="s">
        <v>992</v>
      </c>
      <c r="B584" s="1084"/>
      <c r="C584" s="1084"/>
      <c r="D584" s="1078"/>
      <c r="E584" s="1088"/>
      <c r="F584" s="2605"/>
      <c r="G584" s="2606"/>
      <c r="H584" s="2601" t="s">
        <v>1056</v>
      </c>
      <c r="I584" s="2613"/>
      <c r="J584" s="2614"/>
      <c r="K584" s="2615"/>
      <c r="L584" s="2338"/>
      <c r="M584" s="2339"/>
      <c r="N584" s="2618"/>
      <c r="O584" s="2619">
        <v>1</v>
      </c>
      <c r="P584" s="2620" t="s">
        <v>19</v>
      </c>
      <c r="Q584" s="2573" t="s">
        <v>22</v>
      </c>
      <c r="R584" s="2573" t="s">
        <v>22</v>
      </c>
      <c r="S584" s="2573" t="s">
        <v>22</v>
      </c>
      <c r="T584" s="2573" t="s">
        <v>22</v>
      </c>
      <c r="U584" s="2573" t="s">
        <v>22</v>
      </c>
      <c r="V584" s="2573" t="s">
        <v>22</v>
      </c>
      <c r="W584" s="2573" t="s">
        <v>22</v>
      </c>
      <c r="X584" s="2573" t="s">
        <v>22</v>
      </c>
      <c r="Y584" s="2573"/>
      <c r="Z584" s="1093"/>
      <c r="AA584" s="1094"/>
      <c r="AB584" s="1094"/>
      <c r="AC584" s="1098"/>
      <c r="AD584" s="1098"/>
      <c r="AE584" s="1099"/>
      <c r="AF584" s="2616"/>
      <c r="AG584" s="2617"/>
      <c r="AH584" s="2617"/>
      <c r="AI584" s="2616"/>
      <c r="AJ584" s="2617"/>
      <c r="AK584" s="2617"/>
      <c r="AL584" s="1900"/>
      <c r="AM584" s="1738"/>
      <c r="AN584" s="1738"/>
      <c r="AO584" s="1738"/>
      <c r="AP584" s="1738"/>
      <c r="AQ584" s="1738"/>
      <c r="AR584" s="1738"/>
      <c r="AS584" s="1738"/>
      <c r="AT584" s="1738"/>
      <c r="AU584" s="1738"/>
      <c r="AV584" s="1738"/>
      <c r="AW584" s="1738"/>
      <c r="AX584" s="1738"/>
      <c r="AY584" s="1738"/>
      <c r="AZ584" s="1738"/>
      <c r="BA584" s="1738"/>
      <c r="BB584" s="1738"/>
      <c r="BC584" s="1738"/>
      <c r="BD584" s="1738"/>
      <c r="BE584" s="1738"/>
      <c r="BF584" s="1738"/>
    </row>
    <row r="585" spans="1:59" ht="11.25" customHeight="1">
      <c r="A585" s="1084" t="s">
        <v>992</v>
      </c>
      <c r="B585" s="1084"/>
      <c r="C585" s="1084"/>
      <c r="D585" s="1078"/>
      <c r="E585" s="1088"/>
      <c r="F585" s="2605"/>
      <c r="G585" s="2606"/>
      <c r="H585" s="2601" t="s">
        <v>1056</v>
      </c>
      <c r="I585" s="2613"/>
      <c r="J585" s="2614"/>
      <c r="K585" s="2615"/>
      <c r="L585" s="2338"/>
      <c r="M585" s="2339"/>
      <c r="N585" s="2618"/>
      <c r="O585" s="2619"/>
      <c r="P585" s="2621"/>
      <c r="Q585" s="2573"/>
      <c r="R585" s="2573"/>
      <c r="S585" s="2623"/>
      <c r="T585" s="2573"/>
      <c r="U585" s="2573"/>
      <c r="V585" s="2573"/>
      <c r="W585" s="2573"/>
      <c r="X585" s="2573"/>
      <c r="Y585" s="2573"/>
      <c r="Z585" s="1743"/>
      <c r="AA585" s="1711">
        <v>1</v>
      </c>
      <c r="AB585" s="1097" t="s">
        <v>1028</v>
      </c>
      <c r="AC585" s="1087">
        <v>37485.233782866599</v>
      </c>
      <c r="AD585" s="1097" t="str">
        <f>AB585</f>
        <v xml:space="preserve">  Прочие</v>
      </c>
      <c r="AE585" s="1087"/>
      <c r="AF585" s="2616"/>
      <c r="AG585" s="2617"/>
      <c r="AH585" s="2617"/>
      <c r="AI585" s="2616"/>
      <c r="AJ585" s="2617"/>
      <c r="AK585" s="2617"/>
      <c r="AL585" s="1900"/>
      <c r="AM585" s="1738"/>
      <c r="AN585" s="1738"/>
      <c r="AO585" s="1738"/>
      <c r="AP585" s="1738"/>
      <c r="AQ585" s="1738"/>
      <c r="AR585" s="1738"/>
      <c r="AS585" s="1738"/>
      <c r="AT585" s="1738"/>
      <c r="AU585" s="1738"/>
      <c r="AV585" s="1738"/>
      <c r="AW585" s="1738"/>
      <c r="AX585" s="1738"/>
      <c r="AY585" s="1738"/>
      <c r="AZ585" s="1738"/>
      <c r="BA585" s="1738"/>
      <c r="BB585" s="1738"/>
      <c r="BC585" s="1738"/>
      <c r="BD585" s="1738"/>
      <c r="BE585" s="1738"/>
      <c r="BF585" s="1738"/>
    </row>
    <row r="586" spans="1:59" ht="11.25" customHeight="1">
      <c r="A586" s="1084" t="s">
        <v>992</v>
      </c>
      <c r="B586" s="1084"/>
      <c r="C586" s="1084"/>
      <c r="D586" s="1078"/>
      <c r="E586" s="1088"/>
      <c r="F586" s="2605"/>
      <c r="G586" s="2606"/>
      <c r="H586" s="2601" t="s">
        <v>1056</v>
      </c>
      <c r="I586" s="2613"/>
      <c r="J586" s="2614"/>
      <c r="K586" s="2615"/>
      <c r="L586" s="2338"/>
      <c r="M586" s="2339"/>
      <c r="N586" s="2618"/>
      <c r="O586" s="2619"/>
      <c r="P586" s="2622"/>
      <c r="Q586" s="2573"/>
      <c r="R586" s="2573"/>
      <c r="S586" s="2623"/>
      <c r="T586" s="2573"/>
      <c r="U586" s="2573"/>
      <c r="V586" s="2573"/>
      <c r="W586" s="2573"/>
      <c r="X586" s="2573"/>
      <c r="Y586" s="2573"/>
      <c r="Z586" s="1093"/>
      <c r="AA586" s="1094"/>
      <c r="AB586" s="1159" t="s">
        <v>1029</v>
      </c>
      <c r="AC586" s="1098"/>
      <c r="AD586" s="1098"/>
      <c r="AE586" s="1100"/>
      <c r="AF586" s="2616"/>
      <c r="AG586" s="2617"/>
      <c r="AH586" s="2617"/>
      <c r="AI586" s="2616"/>
      <c r="AJ586" s="2617"/>
      <c r="AK586" s="2617"/>
      <c r="AL586" s="1900"/>
      <c r="AM586" s="1738"/>
      <c r="AN586" s="1738"/>
      <c r="AO586" s="1738"/>
      <c r="AP586" s="1738"/>
      <c r="AQ586" s="1738"/>
      <c r="AR586" s="1738"/>
      <c r="AS586" s="1738"/>
      <c r="AT586" s="1738"/>
      <c r="AU586" s="1738"/>
      <c r="AV586" s="1738"/>
      <c r="AW586" s="1738"/>
      <c r="AX586" s="1738"/>
      <c r="AY586" s="1738"/>
      <c r="AZ586" s="1738"/>
      <c r="BA586" s="1738"/>
      <c r="BB586" s="1738"/>
      <c r="BC586" s="1738"/>
      <c r="BD586" s="1738"/>
      <c r="BE586" s="1738"/>
      <c r="BF586" s="1738"/>
    </row>
    <row r="587" spans="1:59" ht="11.25" customHeight="1">
      <c r="A587" s="1084" t="s">
        <v>992</v>
      </c>
      <c r="B587" s="1084"/>
      <c r="C587" s="1084"/>
      <c r="D587" s="1078"/>
      <c r="E587" s="1088"/>
      <c r="F587" s="2605"/>
      <c r="G587" s="2606"/>
      <c r="H587" s="2601" t="s">
        <v>1056</v>
      </c>
      <c r="I587" s="2613"/>
      <c r="J587" s="2614"/>
      <c r="K587" s="2615"/>
      <c r="L587" s="2338"/>
      <c r="M587" s="2339"/>
      <c r="N587" s="1093"/>
      <c r="O587" s="1094"/>
      <c r="P587" s="1086" t="s">
        <v>1030</v>
      </c>
      <c r="Q587" s="1094"/>
      <c r="R587" s="1094"/>
      <c r="S587" s="1094"/>
      <c r="T587" s="1094"/>
      <c r="U587" s="1094"/>
      <c r="V587" s="1094"/>
      <c r="W587" s="1094"/>
      <c r="X587" s="1094"/>
      <c r="Y587" s="1094"/>
      <c r="Z587" s="1094"/>
      <c r="AA587" s="1094"/>
      <c r="AB587" s="1094"/>
      <c r="AC587" s="1094"/>
      <c r="AD587" s="1094"/>
      <c r="AE587" s="1101"/>
      <c r="AF587" s="2616"/>
      <c r="AG587" s="2617"/>
      <c r="AH587" s="2617"/>
      <c r="AI587" s="2616"/>
      <c r="AJ587" s="2617"/>
      <c r="AK587" s="2617"/>
      <c r="AL587" s="1900"/>
      <c r="AM587" s="1738"/>
      <c r="AN587" s="1738"/>
      <c r="AO587" s="1738"/>
      <c r="AP587" s="1738"/>
      <c r="AQ587" s="1738"/>
      <c r="AR587" s="1738"/>
      <c r="AS587" s="1738"/>
      <c r="AT587" s="1738"/>
      <c r="AU587" s="1738"/>
      <c r="AV587" s="1738"/>
      <c r="AW587" s="1738"/>
      <c r="AX587" s="1738"/>
      <c r="AY587" s="1738"/>
      <c r="AZ587" s="1738"/>
      <c r="BA587" s="1738"/>
      <c r="BB587" s="1738"/>
      <c r="BC587" s="1738"/>
      <c r="BD587" s="1738"/>
      <c r="BE587" s="1738"/>
      <c r="BF587" s="1738"/>
    </row>
    <row r="588" spans="1:59" ht="12" customHeight="1">
      <c r="A588" s="1084" t="s">
        <v>992</v>
      </c>
      <c r="B588" s="1084"/>
      <c r="C588" s="1084"/>
      <c r="D588" s="1078"/>
      <c r="E588" s="1088"/>
      <c r="F588" s="2607"/>
      <c r="G588" s="1108"/>
      <c r="H588" s="1108"/>
      <c r="I588" s="2603" t="s">
        <v>1063</v>
      </c>
      <c r="J588" s="2603"/>
      <c r="K588" s="2603"/>
      <c r="L588" s="1091"/>
      <c r="M588" s="1091"/>
      <c r="N588" s="1092"/>
      <c r="O588" s="1092"/>
      <c r="P588" s="1092"/>
      <c r="Q588" s="1092"/>
      <c r="R588" s="1092"/>
      <c r="S588" s="1092"/>
      <c r="T588" s="1092"/>
      <c r="U588" s="1092"/>
      <c r="V588" s="1092"/>
      <c r="W588" s="1092"/>
      <c r="X588" s="1092"/>
      <c r="Y588" s="1092"/>
      <c r="Z588" s="1092"/>
      <c r="AA588" s="1092"/>
      <c r="AB588" s="1092"/>
      <c r="AC588" s="1092"/>
      <c r="AD588" s="1092"/>
      <c r="AE588" s="1092"/>
      <c r="AF588" s="1092"/>
      <c r="AG588" s="1091"/>
      <c r="AH588" s="1091"/>
      <c r="AI588" s="1092"/>
      <c r="AJ588" s="1091"/>
      <c r="AK588" s="1092"/>
      <c r="AL588" s="1900"/>
      <c r="AM588" s="1738"/>
      <c r="AN588" s="1738"/>
      <c r="AO588" s="1738"/>
      <c r="AP588" s="1738"/>
      <c r="AQ588" s="1738"/>
      <c r="AR588" s="1738"/>
      <c r="AS588" s="1738"/>
      <c r="AT588" s="1738"/>
      <c r="AU588" s="1738"/>
      <c r="AV588" s="1738"/>
      <c r="AW588" s="1738"/>
      <c r="AX588" s="1738"/>
      <c r="AY588" s="1738"/>
      <c r="AZ588" s="1738"/>
      <c r="BA588" s="1738"/>
      <c r="BB588" s="1738"/>
      <c r="BC588" s="1738"/>
      <c r="BD588" s="1738"/>
      <c r="BE588" s="1738"/>
      <c r="BF588" s="1738"/>
    </row>
    <row r="589" spans="1:59" ht="10.5" customHeight="1">
      <c r="E589" s="832"/>
      <c r="F589" s="843"/>
      <c r="G589" s="843"/>
      <c r="H589" s="1090"/>
      <c r="I589" s="843"/>
      <c r="J589" s="843"/>
      <c r="K589" s="843"/>
      <c r="L589" s="1050"/>
      <c r="M589" s="1050"/>
      <c r="N589" s="843"/>
      <c r="O589" s="843"/>
      <c r="P589" s="843"/>
      <c r="Q589" s="843"/>
      <c r="R589" s="843"/>
      <c r="S589" s="843"/>
      <c r="T589" s="843"/>
      <c r="U589" s="843"/>
      <c r="V589" s="843"/>
      <c r="W589" s="843"/>
      <c r="X589" s="843"/>
      <c r="Y589" s="843"/>
      <c r="Z589" s="843"/>
      <c r="AA589" s="843"/>
      <c r="AB589" s="843"/>
      <c r="AC589" s="843"/>
      <c r="AD589" s="1050"/>
      <c r="AE589" s="843"/>
      <c r="AF589" s="843"/>
      <c r="AG589" s="843"/>
      <c r="AH589" s="1068"/>
      <c r="AI589" s="1061"/>
      <c r="AJ589" s="843"/>
      <c r="AK589" s="843"/>
      <c r="AL589" s="832"/>
      <c r="AM589" s="832"/>
      <c r="AN589" s="832"/>
      <c r="AO589" s="832"/>
      <c r="AP589" s="832"/>
      <c r="AQ589" s="832"/>
      <c r="AR589" s="832"/>
      <c r="AS589" s="832"/>
      <c r="AT589" s="832"/>
      <c r="AU589" s="832"/>
      <c r="AV589" s="832"/>
      <c r="AW589" s="832"/>
      <c r="AX589" s="832"/>
      <c r="AY589" s="832"/>
      <c r="AZ589" s="832"/>
      <c r="BA589" s="832"/>
      <c r="BB589" s="832"/>
      <c r="BC589" s="832"/>
      <c r="BD589" s="832"/>
      <c r="BE589" s="832"/>
      <c r="BF589" s="832"/>
      <c r="BG589" s="692">
        <v>10</v>
      </c>
    </row>
    <row r="590" spans="1:59" ht="13.5" customHeight="1">
      <c r="E590" s="832"/>
      <c r="F590" s="839" t="s">
        <v>1083</v>
      </c>
      <c r="G590" s="839"/>
      <c r="H590" s="1089"/>
      <c r="I590" s="839"/>
      <c r="J590" s="839"/>
      <c r="K590" s="836"/>
      <c r="L590" s="1046"/>
      <c r="M590" s="1046"/>
      <c r="N590" s="838"/>
      <c r="O590" s="838"/>
      <c r="P590" s="838"/>
      <c r="Q590" s="838"/>
      <c r="R590" s="838"/>
      <c r="S590" s="838"/>
      <c r="T590" s="838"/>
      <c r="U590" s="838"/>
      <c r="V590" s="838"/>
      <c r="W590" s="838"/>
      <c r="X590" s="838"/>
      <c r="Y590" s="838"/>
      <c r="Z590" s="836"/>
      <c r="AA590" s="836"/>
      <c r="AB590" s="836"/>
      <c r="AC590" s="836"/>
      <c r="AD590" s="1046"/>
      <c r="AE590" s="836"/>
      <c r="AF590" s="836"/>
      <c r="AG590" s="836"/>
      <c r="AH590" s="1065"/>
      <c r="AI590" s="1058"/>
      <c r="AJ590" s="836"/>
      <c r="AK590" s="836"/>
      <c r="AL590" s="832"/>
      <c r="AM590" s="832"/>
      <c r="AN590" s="832"/>
      <c r="AO590" s="832"/>
      <c r="AP590" s="832"/>
      <c r="AQ590" s="832"/>
      <c r="AR590" s="832"/>
      <c r="AS590" s="832"/>
      <c r="AT590" s="832"/>
      <c r="AU590" s="832"/>
      <c r="AV590" s="832"/>
      <c r="AW590" s="832"/>
      <c r="AX590" s="832"/>
      <c r="AY590" s="832"/>
      <c r="AZ590" s="832"/>
      <c r="BA590" s="832"/>
      <c r="BB590" s="832"/>
      <c r="BC590" s="832"/>
      <c r="BD590" s="832"/>
      <c r="BE590" s="832"/>
      <c r="BF590" s="832"/>
      <c r="BG590" s="692">
        <v>13</v>
      </c>
    </row>
    <row r="591" spans="1:59" ht="10.5" customHeight="1">
      <c r="BG591" s="692">
        <v>10</v>
      </c>
    </row>
    <row r="592" spans="1:59" ht="10.5" customHeight="1">
      <c r="E592" s="832"/>
      <c r="F592" s="2592"/>
      <c r="G592" s="2592"/>
      <c r="H592" s="2592"/>
      <c r="I592" s="2592"/>
      <c r="J592" s="2592"/>
      <c r="K592" s="836"/>
      <c r="L592" s="1046"/>
      <c r="M592" s="1046"/>
      <c r="N592" s="838"/>
      <c r="O592" s="838"/>
      <c r="P592" s="838"/>
      <c r="Q592" s="838"/>
      <c r="R592" s="838"/>
      <c r="S592" s="838"/>
      <c r="T592" s="838"/>
      <c r="U592" s="838"/>
      <c r="V592" s="838"/>
      <c r="W592" s="838"/>
      <c r="X592" s="838"/>
      <c r="Y592" s="838"/>
      <c r="Z592" s="836"/>
      <c r="AA592" s="836"/>
      <c r="AB592" s="836"/>
      <c r="AC592" s="836"/>
      <c r="AD592" s="1046"/>
      <c r="AE592" s="836"/>
      <c r="AF592" s="836"/>
      <c r="AG592" s="836"/>
      <c r="AH592" s="1065"/>
      <c r="AI592" s="1058"/>
      <c r="AJ592" s="836"/>
      <c r="AK592" s="836"/>
      <c r="AL592" s="832"/>
      <c r="AM592" s="832"/>
      <c r="AN592" s="832"/>
      <c r="AO592" s="832"/>
      <c r="AP592" s="832"/>
      <c r="AQ592" s="832"/>
      <c r="AR592" s="832"/>
      <c r="AS592" s="832"/>
      <c r="AT592" s="832"/>
      <c r="AU592" s="832"/>
      <c r="AV592" s="832"/>
      <c r="AW592" s="832"/>
      <c r="AX592" s="832"/>
      <c r="AY592" s="832"/>
      <c r="AZ592" s="832"/>
      <c r="BA592" s="832"/>
      <c r="BB592" s="832"/>
      <c r="BC592" s="832"/>
      <c r="BD592" s="832"/>
      <c r="BE592" s="832"/>
      <c r="BF592" s="832"/>
      <c r="BG592" s="692">
        <v>10</v>
      </c>
    </row>
    <row r="593" spans="1:59" ht="10.5" customHeight="1">
      <c r="E593" s="832"/>
      <c r="F593" s="2592"/>
      <c r="G593" s="2592"/>
      <c r="H593" s="2592"/>
      <c r="I593" s="2592"/>
      <c r="J593" s="2592"/>
      <c r="K593" s="836"/>
      <c r="L593" s="1046"/>
      <c r="M593" s="1046"/>
      <c r="N593" s="838"/>
      <c r="O593" s="838"/>
      <c r="P593" s="838"/>
      <c r="Q593" s="838"/>
      <c r="R593" s="838"/>
      <c r="S593" s="838"/>
      <c r="T593" s="838"/>
      <c r="U593" s="838"/>
      <c r="V593" s="838"/>
      <c r="W593" s="838"/>
      <c r="X593" s="838"/>
      <c r="Y593" s="838"/>
      <c r="Z593" s="836"/>
      <c r="AA593" s="836"/>
      <c r="AB593" s="836"/>
      <c r="AC593" s="836"/>
      <c r="AD593" s="1046"/>
      <c r="AE593" s="836"/>
      <c r="AF593" s="836"/>
      <c r="AG593" s="836"/>
      <c r="AH593" s="1065"/>
      <c r="AI593" s="1058"/>
      <c r="AJ593" s="836"/>
      <c r="AK593" s="836"/>
      <c r="AL593" s="832"/>
      <c r="AM593" s="832"/>
      <c r="AN593" s="832"/>
      <c r="AO593" s="832"/>
      <c r="AP593" s="832"/>
      <c r="AQ593" s="832"/>
      <c r="AR593" s="832"/>
      <c r="AS593" s="832"/>
      <c r="AT593" s="832"/>
      <c r="AU593" s="832"/>
      <c r="AV593" s="832"/>
      <c r="AW593" s="832"/>
      <c r="AX593" s="832"/>
      <c r="AY593" s="832"/>
      <c r="AZ593" s="832"/>
      <c r="BA593" s="832"/>
      <c r="BB593" s="832"/>
      <c r="BC593" s="832"/>
      <c r="BD593" s="832"/>
      <c r="BE593" s="832"/>
      <c r="BF593" s="832"/>
      <c r="BG593" s="692">
        <v>10</v>
      </c>
    </row>
    <row r="594" spans="1:59" ht="10.5" customHeight="1">
      <c r="E594" s="832"/>
      <c r="F594" s="2592"/>
      <c r="G594" s="2592"/>
      <c r="H594" s="2592"/>
      <c r="I594" s="2592"/>
      <c r="J594" s="2592"/>
      <c r="K594" s="836"/>
      <c r="L594" s="1046"/>
      <c r="M594" s="1046"/>
      <c r="N594" s="838"/>
      <c r="O594" s="838"/>
      <c r="P594" s="838"/>
      <c r="Q594" s="838"/>
      <c r="R594" s="838"/>
      <c r="S594" s="838"/>
      <c r="T594" s="838"/>
      <c r="U594" s="838"/>
      <c r="V594" s="838"/>
      <c r="W594" s="838"/>
      <c r="X594" s="838"/>
      <c r="Y594" s="838"/>
      <c r="Z594" s="836"/>
      <c r="AA594" s="836"/>
      <c r="AB594" s="836"/>
      <c r="AC594" s="836"/>
      <c r="AD594" s="1046"/>
      <c r="AE594" s="836"/>
      <c r="AF594" s="836"/>
      <c r="AG594" s="836"/>
      <c r="AH594" s="1065"/>
      <c r="AI594" s="1058"/>
      <c r="AJ594" s="836"/>
      <c r="AK594" s="836"/>
      <c r="AL594" s="832"/>
      <c r="AM594" s="832"/>
      <c r="AN594" s="832"/>
      <c r="AO594" s="832"/>
      <c r="AP594" s="832"/>
      <c r="AQ594" s="832"/>
      <c r="AR594" s="832"/>
      <c r="AS594" s="832"/>
      <c r="AT594" s="832"/>
      <c r="AU594" s="832"/>
      <c r="AV594" s="832"/>
      <c r="AW594" s="832"/>
      <c r="AX594" s="832"/>
      <c r="AY594" s="832"/>
      <c r="AZ594" s="832"/>
      <c r="BA594" s="832"/>
      <c r="BB594" s="832"/>
      <c r="BC594" s="832"/>
      <c r="BD594" s="832"/>
      <c r="BE594" s="832"/>
      <c r="BF594" s="832"/>
      <c r="BG594" s="692">
        <v>10</v>
      </c>
    </row>
    <row r="595" spans="1:59" ht="10.5" hidden="1" customHeight="1">
      <c r="A595" s="820" t="s">
        <v>84</v>
      </c>
      <c r="B595" s="820">
        <v>0</v>
      </c>
      <c r="C595" s="820">
        <v>0</v>
      </c>
      <c r="D595" s="353">
        <v>0</v>
      </c>
      <c r="E595" s="445">
        <v>3</v>
      </c>
      <c r="F595" s="692">
        <v>14</v>
      </c>
      <c r="G595" s="692">
        <v>3</v>
      </c>
      <c r="H595" s="1073">
        <v>7</v>
      </c>
      <c r="I595" s="692">
        <v>16</v>
      </c>
      <c r="J595" s="692">
        <v>16</v>
      </c>
      <c r="K595" s="692">
        <v>25</v>
      </c>
      <c r="L595" s="1044">
        <v>7</v>
      </c>
      <c r="M595" s="1044">
        <v>15</v>
      </c>
      <c r="N595" s="692">
        <v>3</v>
      </c>
      <c r="O595" s="692">
        <v>4</v>
      </c>
      <c r="P595" s="692">
        <v>8</v>
      </c>
      <c r="Q595" s="692">
        <v>21</v>
      </c>
      <c r="R595" s="692">
        <v>14</v>
      </c>
      <c r="S595" s="692">
        <v>17</v>
      </c>
      <c r="T595" s="692">
        <v>17</v>
      </c>
      <c r="U595" s="692">
        <v>9</v>
      </c>
      <c r="V595" s="692">
        <v>12</v>
      </c>
      <c r="W595" s="692">
        <v>9</v>
      </c>
      <c r="X595" s="692">
        <v>21</v>
      </c>
      <c r="Y595" s="692">
        <v>12</v>
      </c>
      <c r="Z595" s="692">
        <v>3</v>
      </c>
      <c r="AA595" s="692">
        <v>6</v>
      </c>
      <c r="AB595" s="692">
        <v>38</v>
      </c>
      <c r="AC595" s="692">
        <v>15</v>
      </c>
      <c r="AD595" s="1044">
        <v>0</v>
      </c>
      <c r="AE595" s="692">
        <v>0</v>
      </c>
      <c r="AF595" s="692">
        <v>16</v>
      </c>
      <c r="AG595" s="692">
        <v>16</v>
      </c>
      <c r="AH595" s="1063">
        <v>16</v>
      </c>
      <c r="AI595" s="1056">
        <v>0</v>
      </c>
      <c r="AJ595" s="692">
        <v>0</v>
      </c>
      <c r="AK595" s="692">
        <v>0</v>
      </c>
      <c r="AL595" s="692">
        <v>8</v>
      </c>
      <c r="AM595" s="692">
        <v>8</v>
      </c>
      <c r="AN595" s="692">
        <v>8</v>
      </c>
      <c r="AO595" s="692">
        <v>8</v>
      </c>
      <c r="AP595" s="692">
        <v>8</v>
      </c>
      <c r="AQ595" s="692">
        <v>8</v>
      </c>
      <c r="AR595" s="692">
        <v>8</v>
      </c>
      <c r="AS595" s="692">
        <v>8</v>
      </c>
      <c r="AT595" s="692">
        <v>8</v>
      </c>
      <c r="AU595" s="692">
        <v>8</v>
      </c>
      <c r="AV595" s="692">
        <v>8</v>
      </c>
      <c r="AW595" s="692">
        <v>8</v>
      </c>
      <c r="AX595" s="692">
        <v>8</v>
      </c>
      <c r="AY595" s="692">
        <v>8</v>
      </c>
      <c r="AZ595" s="692">
        <v>8</v>
      </c>
      <c r="BA595" s="692">
        <v>8</v>
      </c>
      <c r="BB595" s="692">
        <v>8</v>
      </c>
      <c r="BC595" s="692">
        <v>8</v>
      </c>
      <c r="BD595" s="692">
        <v>8</v>
      </c>
      <c r="BE595" s="692">
        <v>8</v>
      </c>
      <c r="BF595" s="692">
        <v>8</v>
      </c>
      <c r="BG595" s="692">
        <v>10</v>
      </c>
    </row>
  </sheetData>
  <sheetProtection formatColumns="0" formatRows="0" insertRows="0" deleteColumns="0" deleteRows="0" sort="0" autoFilter="0"/>
  <mergeCells count="2588">
    <mergeCell ref="G383:G387"/>
    <mergeCell ref="H583:H587"/>
    <mergeCell ref="I583:I587"/>
    <mergeCell ref="J583:J587"/>
    <mergeCell ref="K583:K587"/>
    <mergeCell ref="L583:L587"/>
    <mergeCell ref="M583:M587"/>
    <mergeCell ref="AF583:AF587"/>
    <mergeCell ref="AG583:AG587"/>
    <mergeCell ref="AH583:AH587"/>
    <mergeCell ref="AI583:AI587"/>
    <mergeCell ref="AJ583:AJ587"/>
    <mergeCell ref="AK583:AK587"/>
    <mergeCell ref="N584:N586"/>
    <mergeCell ref="O584:O586"/>
    <mergeCell ref="P584:P586"/>
    <mergeCell ref="Q584:Q586"/>
    <mergeCell ref="R584:R586"/>
    <mergeCell ref="S584:S586"/>
    <mergeCell ref="T584:T586"/>
    <mergeCell ref="U584:U586"/>
    <mergeCell ref="V584:V586"/>
    <mergeCell ref="W584:W586"/>
    <mergeCell ref="X584:X586"/>
    <mergeCell ref="Y584:Y586"/>
    <mergeCell ref="G583:G587"/>
    <mergeCell ref="H383:H387"/>
    <mergeCell ref="I383:I387"/>
    <mergeCell ref="J383:J387"/>
    <mergeCell ref="K383:K387"/>
    <mergeCell ref="L383:L387"/>
    <mergeCell ref="M383:M387"/>
    <mergeCell ref="AF383:AF387"/>
    <mergeCell ref="AG383:AG387"/>
    <mergeCell ref="AH383:AH387"/>
    <mergeCell ref="AI383:AI387"/>
    <mergeCell ref="AJ383:AJ387"/>
    <mergeCell ref="AK383:AK387"/>
    <mergeCell ref="N384:N386"/>
    <mergeCell ref="O384:O386"/>
    <mergeCell ref="P384:P386"/>
    <mergeCell ref="Q384:Q386"/>
    <mergeCell ref="R384:R386"/>
    <mergeCell ref="S384:S386"/>
    <mergeCell ref="T384:T386"/>
    <mergeCell ref="U384:U386"/>
    <mergeCell ref="V384:V386"/>
    <mergeCell ref="W384:W386"/>
    <mergeCell ref="X384:X386"/>
    <mergeCell ref="Y384:Y386"/>
    <mergeCell ref="G571:G576"/>
    <mergeCell ref="H577:H582"/>
    <mergeCell ref="I577:I582"/>
    <mergeCell ref="J577:J582"/>
    <mergeCell ref="K577:K582"/>
    <mergeCell ref="L577:L582"/>
    <mergeCell ref="M577:M582"/>
    <mergeCell ref="AF577:AF582"/>
    <mergeCell ref="AG577:AG582"/>
    <mergeCell ref="AH577:AH582"/>
    <mergeCell ref="AI577:AI582"/>
    <mergeCell ref="AJ577:AJ582"/>
    <mergeCell ref="AK577:AK582"/>
    <mergeCell ref="N578:N581"/>
    <mergeCell ref="O578:O581"/>
    <mergeCell ref="P578:P581"/>
    <mergeCell ref="Q578:Q581"/>
    <mergeCell ref="R578:R581"/>
    <mergeCell ref="S578:S581"/>
    <mergeCell ref="T578:T581"/>
    <mergeCell ref="U578:U581"/>
    <mergeCell ref="V578:V581"/>
    <mergeCell ref="W578:W581"/>
    <mergeCell ref="X578:X581"/>
    <mergeCell ref="Y578:Y581"/>
    <mergeCell ref="G577:G582"/>
    <mergeCell ref="H571:H576"/>
    <mergeCell ref="I571:I576"/>
    <mergeCell ref="J571:J576"/>
    <mergeCell ref="K571:K576"/>
    <mergeCell ref="L571:L576"/>
    <mergeCell ref="M571:M576"/>
    <mergeCell ref="AF571:AF576"/>
    <mergeCell ref="AG571:AG576"/>
    <mergeCell ref="AH571:AH576"/>
    <mergeCell ref="AI571:AI576"/>
    <mergeCell ref="AJ571:AJ576"/>
    <mergeCell ref="AK571:AK576"/>
    <mergeCell ref="N572:N575"/>
    <mergeCell ref="O572:O575"/>
    <mergeCell ref="P572:P575"/>
    <mergeCell ref="Q572:Q575"/>
    <mergeCell ref="R572:R575"/>
    <mergeCell ref="S572:S575"/>
    <mergeCell ref="T572:T575"/>
    <mergeCell ref="U572:U575"/>
    <mergeCell ref="V572:V575"/>
    <mergeCell ref="W572:W575"/>
    <mergeCell ref="X572:X575"/>
    <mergeCell ref="Y572:Y575"/>
    <mergeCell ref="G561:G565"/>
    <mergeCell ref="H566:H570"/>
    <mergeCell ref="I566:I570"/>
    <mergeCell ref="J566:J570"/>
    <mergeCell ref="K566:K570"/>
    <mergeCell ref="L566:L570"/>
    <mergeCell ref="M566:M570"/>
    <mergeCell ref="AF566:AF570"/>
    <mergeCell ref="AG566:AG570"/>
    <mergeCell ref="AH566:AH570"/>
    <mergeCell ref="AI566:AI570"/>
    <mergeCell ref="AJ566:AJ570"/>
    <mergeCell ref="AK566:AK570"/>
    <mergeCell ref="N567:N569"/>
    <mergeCell ref="O567:O569"/>
    <mergeCell ref="P567:P569"/>
    <mergeCell ref="Q567:Q569"/>
    <mergeCell ref="R567:R569"/>
    <mergeCell ref="S567:S569"/>
    <mergeCell ref="T567:T569"/>
    <mergeCell ref="U567:U569"/>
    <mergeCell ref="V567:V569"/>
    <mergeCell ref="W567:W569"/>
    <mergeCell ref="X567:X569"/>
    <mergeCell ref="Y567:Y569"/>
    <mergeCell ref="G566:G570"/>
    <mergeCell ref="H561:H565"/>
    <mergeCell ref="I561:I565"/>
    <mergeCell ref="J561:J565"/>
    <mergeCell ref="K561:K565"/>
    <mergeCell ref="L561:L565"/>
    <mergeCell ref="M561:M565"/>
    <mergeCell ref="AF561:AF565"/>
    <mergeCell ref="AG561:AG565"/>
    <mergeCell ref="AH561:AH565"/>
    <mergeCell ref="AI561:AI565"/>
    <mergeCell ref="AJ561:AJ565"/>
    <mergeCell ref="AK561:AK565"/>
    <mergeCell ref="N562:N564"/>
    <mergeCell ref="O562:O564"/>
    <mergeCell ref="P562:P564"/>
    <mergeCell ref="Q562:Q564"/>
    <mergeCell ref="R562:R564"/>
    <mergeCell ref="S562:S564"/>
    <mergeCell ref="T562:T564"/>
    <mergeCell ref="U562:U564"/>
    <mergeCell ref="V562:V564"/>
    <mergeCell ref="W562:W564"/>
    <mergeCell ref="X562:X564"/>
    <mergeCell ref="Y562:Y564"/>
    <mergeCell ref="G550:G554"/>
    <mergeCell ref="H555:H560"/>
    <mergeCell ref="I555:I560"/>
    <mergeCell ref="J555:J560"/>
    <mergeCell ref="K555:K560"/>
    <mergeCell ref="L555:L560"/>
    <mergeCell ref="M555:M560"/>
    <mergeCell ref="AF555:AF560"/>
    <mergeCell ref="AG555:AG560"/>
    <mergeCell ref="AH555:AH560"/>
    <mergeCell ref="AI555:AI560"/>
    <mergeCell ref="AJ555:AJ560"/>
    <mergeCell ref="AK555:AK560"/>
    <mergeCell ref="N556:N559"/>
    <mergeCell ref="O556:O559"/>
    <mergeCell ref="P556:P559"/>
    <mergeCell ref="Q556:Q559"/>
    <mergeCell ref="R556:R559"/>
    <mergeCell ref="S556:S559"/>
    <mergeCell ref="T556:T559"/>
    <mergeCell ref="U556:U559"/>
    <mergeCell ref="V556:V559"/>
    <mergeCell ref="W556:W559"/>
    <mergeCell ref="X556:X559"/>
    <mergeCell ref="Y556:Y559"/>
    <mergeCell ref="G555:G560"/>
    <mergeCell ref="H550:H554"/>
    <mergeCell ref="I550:I554"/>
    <mergeCell ref="J550:J554"/>
    <mergeCell ref="K550:K554"/>
    <mergeCell ref="L550:L554"/>
    <mergeCell ref="M550:M554"/>
    <mergeCell ref="AF550:AF554"/>
    <mergeCell ref="AG550:AG554"/>
    <mergeCell ref="AH550:AH554"/>
    <mergeCell ref="AI550:AI554"/>
    <mergeCell ref="AJ550:AJ554"/>
    <mergeCell ref="AK550:AK554"/>
    <mergeCell ref="N551:N553"/>
    <mergeCell ref="O551:O553"/>
    <mergeCell ref="P551:P553"/>
    <mergeCell ref="Q551:Q553"/>
    <mergeCell ref="R551:R553"/>
    <mergeCell ref="S551:S553"/>
    <mergeCell ref="T551:T553"/>
    <mergeCell ref="U551:U553"/>
    <mergeCell ref="V551:V553"/>
    <mergeCell ref="W551:W553"/>
    <mergeCell ref="X551:X553"/>
    <mergeCell ref="Y551:Y553"/>
    <mergeCell ref="G481:G486"/>
    <mergeCell ref="H545:H549"/>
    <mergeCell ref="I545:I549"/>
    <mergeCell ref="J545:J549"/>
    <mergeCell ref="K545:K549"/>
    <mergeCell ref="L545:L549"/>
    <mergeCell ref="M545:M549"/>
    <mergeCell ref="AF545:AF549"/>
    <mergeCell ref="AG545:AG549"/>
    <mergeCell ref="AH545:AH549"/>
    <mergeCell ref="AI545:AI549"/>
    <mergeCell ref="AJ545:AJ549"/>
    <mergeCell ref="AK545:AK549"/>
    <mergeCell ref="N546:N548"/>
    <mergeCell ref="O546:O548"/>
    <mergeCell ref="P546:P548"/>
    <mergeCell ref="Q546:Q548"/>
    <mergeCell ref="R546:R548"/>
    <mergeCell ref="S546:S548"/>
    <mergeCell ref="T546:T548"/>
    <mergeCell ref="U546:U548"/>
    <mergeCell ref="V546:V548"/>
    <mergeCell ref="W546:W548"/>
    <mergeCell ref="X546:X548"/>
    <mergeCell ref="Y546:Y548"/>
    <mergeCell ref="G545:G549"/>
    <mergeCell ref="H481:H486"/>
    <mergeCell ref="I481:I486"/>
    <mergeCell ref="J481:J486"/>
    <mergeCell ref="K481:K486"/>
    <mergeCell ref="L481:L486"/>
    <mergeCell ref="M481:M486"/>
    <mergeCell ref="AF481:AF486"/>
    <mergeCell ref="AG481:AG486"/>
    <mergeCell ref="AH481:AH486"/>
    <mergeCell ref="AI481:AI486"/>
    <mergeCell ref="AJ481:AJ486"/>
    <mergeCell ref="AK481:AK486"/>
    <mergeCell ref="N482:N485"/>
    <mergeCell ref="O482:O485"/>
    <mergeCell ref="P482:P485"/>
    <mergeCell ref="Q482:Q485"/>
    <mergeCell ref="R482:R485"/>
    <mergeCell ref="S482:S485"/>
    <mergeCell ref="T482:T485"/>
    <mergeCell ref="U482:U485"/>
    <mergeCell ref="V482:V485"/>
    <mergeCell ref="W482:W485"/>
    <mergeCell ref="X482:X485"/>
    <mergeCell ref="Y482:Y485"/>
    <mergeCell ref="G470:G474"/>
    <mergeCell ref="H475:H480"/>
    <mergeCell ref="I475:I480"/>
    <mergeCell ref="J475:J480"/>
    <mergeCell ref="K475:K480"/>
    <mergeCell ref="L475:L480"/>
    <mergeCell ref="M475:M480"/>
    <mergeCell ref="AF475:AF480"/>
    <mergeCell ref="AG475:AG480"/>
    <mergeCell ref="AH475:AH480"/>
    <mergeCell ref="AI475:AI480"/>
    <mergeCell ref="AJ475:AJ480"/>
    <mergeCell ref="AK475:AK480"/>
    <mergeCell ref="N476:N479"/>
    <mergeCell ref="O476:O479"/>
    <mergeCell ref="P476:P479"/>
    <mergeCell ref="Q476:Q479"/>
    <mergeCell ref="R476:R479"/>
    <mergeCell ref="S476:S479"/>
    <mergeCell ref="T476:T479"/>
    <mergeCell ref="U476:U479"/>
    <mergeCell ref="V476:V479"/>
    <mergeCell ref="W476:W479"/>
    <mergeCell ref="X476:X479"/>
    <mergeCell ref="Y476:Y479"/>
    <mergeCell ref="G475:G480"/>
    <mergeCell ref="H470:H474"/>
    <mergeCell ref="I470:I474"/>
    <mergeCell ref="J470:J474"/>
    <mergeCell ref="K470:K474"/>
    <mergeCell ref="L470:L474"/>
    <mergeCell ref="M470:M474"/>
    <mergeCell ref="AF470:AF474"/>
    <mergeCell ref="AG470:AG474"/>
    <mergeCell ref="AH470:AH474"/>
    <mergeCell ref="AI470:AI474"/>
    <mergeCell ref="AJ470:AJ474"/>
    <mergeCell ref="AK470:AK474"/>
    <mergeCell ref="N471:N473"/>
    <mergeCell ref="O471:O473"/>
    <mergeCell ref="P471:P473"/>
    <mergeCell ref="Q471:Q473"/>
    <mergeCell ref="R471:R473"/>
    <mergeCell ref="S471:S473"/>
    <mergeCell ref="T471:T473"/>
    <mergeCell ref="U471:U473"/>
    <mergeCell ref="V471:V473"/>
    <mergeCell ref="W471:W473"/>
    <mergeCell ref="X471:X473"/>
    <mergeCell ref="Y471:Y473"/>
    <mergeCell ref="G459:G463"/>
    <mergeCell ref="H464:H469"/>
    <mergeCell ref="I464:I469"/>
    <mergeCell ref="J464:J469"/>
    <mergeCell ref="K464:K469"/>
    <mergeCell ref="L464:L469"/>
    <mergeCell ref="M464:M469"/>
    <mergeCell ref="AF464:AF469"/>
    <mergeCell ref="AG464:AG469"/>
    <mergeCell ref="AH464:AH469"/>
    <mergeCell ref="AI464:AI469"/>
    <mergeCell ref="AJ464:AJ469"/>
    <mergeCell ref="AK464:AK469"/>
    <mergeCell ref="N465:N468"/>
    <mergeCell ref="O465:O468"/>
    <mergeCell ref="P465:P468"/>
    <mergeCell ref="Q465:Q468"/>
    <mergeCell ref="R465:R468"/>
    <mergeCell ref="S465:S468"/>
    <mergeCell ref="T465:T468"/>
    <mergeCell ref="U465:U468"/>
    <mergeCell ref="V465:V468"/>
    <mergeCell ref="W465:W468"/>
    <mergeCell ref="X465:X468"/>
    <mergeCell ref="Y465:Y468"/>
    <mergeCell ref="G464:G469"/>
    <mergeCell ref="H459:H463"/>
    <mergeCell ref="I459:I463"/>
    <mergeCell ref="J459:J463"/>
    <mergeCell ref="K459:K463"/>
    <mergeCell ref="L459:L463"/>
    <mergeCell ref="M459:M463"/>
    <mergeCell ref="AF459:AF463"/>
    <mergeCell ref="AG459:AG463"/>
    <mergeCell ref="AH459:AH463"/>
    <mergeCell ref="AI459:AI463"/>
    <mergeCell ref="AJ459:AJ463"/>
    <mergeCell ref="AK459:AK463"/>
    <mergeCell ref="N460:N462"/>
    <mergeCell ref="O460:O462"/>
    <mergeCell ref="P460:P462"/>
    <mergeCell ref="Q460:Q462"/>
    <mergeCell ref="R460:R462"/>
    <mergeCell ref="S460:S462"/>
    <mergeCell ref="T460:T462"/>
    <mergeCell ref="U460:U462"/>
    <mergeCell ref="V460:V462"/>
    <mergeCell ref="W460:W462"/>
    <mergeCell ref="X460:X462"/>
    <mergeCell ref="Y460:Y462"/>
    <mergeCell ref="G373:G377"/>
    <mergeCell ref="H378:H382"/>
    <mergeCell ref="I378:I382"/>
    <mergeCell ref="J378:J382"/>
    <mergeCell ref="K378:K382"/>
    <mergeCell ref="L378:L382"/>
    <mergeCell ref="M378:M382"/>
    <mergeCell ref="AF378:AF382"/>
    <mergeCell ref="AG378:AG382"/>
    <mergeCell ref="AH378:AH382"/>
    <mergeCell ref="AI378:AI382"/>
    <mergeCell ref="AJ378:AJ382"/>
    <mergeCell ref="AK378:AK382"/>
    <mergeCell ref="N379:N381"/>
    <mergeCell ref="O379:O381"/>
    <mergeCell ref="P379:P381"/>
    <mergeCell ref="Q379:Q381"/>
    <mergeCell ref="R379:R381"/>
    <mergeCell ref="S379:S381"/>
    <mergeCell ref="T379:T381"/>
    <mergeCell ref="U379:U381"/>
    <mergeCell ref="V379:V381"/>
    <mergeCell ref="W379:W381"/>
    <mergeCell ref="X379:X381"/>
    <mergeCell ref="Y379:Y381"/>
    <mergeCell ref="G378:G382"/>
    <mergeCell ref="H373:H377"/>
    <mergeCell ref="I373:I377"/>
    <mergeCell ref="J373:J377"/>
    <mergeCell ref="K373:K377"/>
    <mergeCell ref="L373:L377"/>
    <mergeCell ref="M373:M377"/>
    <mergeCell ref="AF373:AF377"/>
    <mergeCell ref="AG373:AG377"/>
    <mergeCell ref="AH373:AH377"/>
    <mergeCell ref="AI373:AI377"/>
    <mergeCell ref="AJ373:AJ377"/>
    <mergeCell ref="AK373:AK377"/>
    <mergeCell ref="N374:N376"/>
    <mergeCell ref="O374:O376"/>
    <mergeCell ref="P374:P376"/>
    <mergeCell ref="Q374:Q376"/>
    <mergeCell ref="R374:R376"/>
    <mergeCell ref="S374:S376"/>
    <mergeCell ref="T374:T376"/>
    <mergeCell ref="U374:U376"/>
    <mergeCell ref="V374:V376"/>
    <mergeCell ref="W374:W376"/>
    <mergeCell ref="X374:X376"/>
    <mergeCell ref="Y374:Y376"/>
    <mergeCell ref="G362:G367"/>
    <mergeCell ref="H368:H372"/>
    <mergeCell ref="I368:I372"/>
    <mergeCell ref="J368:J372"/>
    <mergeCell ref="K368:K372"/>
    <mergeCell ref="L368:L372"/>
    <mergeCell ref="M368:M372"/>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G368:G372"/>
    <mergeCell ref="AF362:AF367"/>
    <mergeCell ref="AG362:AG367"/>
    <mergeCell ref="AH362:AH367"/>
    <mergeCell ref="AI362:AI367"/>
    <mergeCell ref="AJ362:AJ367"/>
    <mergeCell ref="AK362:AK367"/>
    <mergeCell ref="N363:N366"/>
    <mergeCell ref="O363:O366"/>
    <mergeCell ref="P363:P366"/>
    <mergeCell ref="Q363:Q366"/>
    <mergeCell ref="R363:R366"/>
    <mergeCell ref="S363:S366"/>
    <mergeCell ref="T363:T366"/>
    <mergeCell ref="U363:U366"/>
    <mergeCell ref="V363:V366"/>
    <mergeCell ref="W363:W366"/>
    <mergeCell ref="X363:X366"/>
    <mergeCell ref="Y363:Y366"/>
    <mergeCell ref="G539:G544"/>
    <mergeCell ref="H356:H361"/>
    <mergeCell ref="I356:I361"/>
    <mergeCell ref="J356:J361"/>
    <mergeCell ref="K356:K361"/>
    <mergeCell ref="L356:L361"/>
    <mergeCell ref="M356:M361"/>
    <mergeCell ref="AF356:AF361"/>
    <mergeCell ref="AG356:AG361"/>
    <mergeCell ref="AH356:AH361"/>
    <mergeCell ref="AI356:AI361"/>
    <mergeCell ref="AJ356:AJ361"/>
    <mergeCell ref="AK356:AK361"/>
    <mergeCell ref="N357:N360"/>
    <mergeCell ref="O357:O360"/>
    <mergeCell ref="P357:P360"/>
    <mergeCell ref="Q357:Q360"/>
    <mergeCell ref="R357:R360"/>
    <mergeCell ref="S357:S360"/>
    <mergeCell ref="T357:T360"/>
    <mergeCell ref="U357:U360"/>
    <mergeCell ref="V357:V360"/>
    <mergeCell ref="W357:W360"/>
    <mergeCell ref="X357:X360"/>
    <mergeCell ref="Y357:Y360"/>
    <mergeCell ref="G356:G361"/>
    <mergeCell ref="H362:H367"/>
    <mergeCell ref="I362:I367"/>
    <mergeCell ref="J362:J367"/>
    <mergeCell ref="K362:K367"/>
    <mergeCell ref="L362:L367"/>
    <mergeCell ref="M362:M367"/>
    <mergeCell ref="H539:H544"/>
    <mergeCell ref="I539:I544"/>
    <mergeCell ref="J539:J544"/>
    <mergeCell ref="K539:K544"/>
    <mergeCell ref="L539:L544"/>
    <mergeCell ref="M539:M544"/>
    <mergeCell ref="AF539:AF544"/>
    <mergeCell ref="AG539:AG544"/>
    <mergeCell ref="AH539:AH544"/>
    <mergeCell ref="AI539:AI544"/>
    <mergeCell ref="AJ539:AJ544"/>
    <mergeCell ref="AK539:AK544"/>
    <mergeCell ref="N540:N543"/>
    <mergeCell ref="O540:O543"/>
    <mergeCell ref="P540:P543"/>
    <mergeCell ref="Q540:Q543"/>
    <mergeCell ref="R540:R543"/>
    <mergeCell ref="S540:S543"/>
    <mergeCell ref="T540:T543"/>
    <mergeCell ref="U540:U543"/>
    <mergeCell ref="V540:V543"/>
    <mergeCell ref="W540:W543"/>
    <mergeCell ref="X540:X543"/>
    <mergeCell ref="Y540:Y543"/>
    <mergeCell ref="G528:G533"/>
    <mergeCell ref="H534:H538"/>
    <mergeCell ref="I534:I538"/>
    <mergeCell ref="J534:J538"/>
    <mergeCell ref="K534:K538"/>
    <mergeCell ref="L534:L538"/>
    <mergeCell ref="M534:M538"/>
    <mergeCell ref="AF534:AF538"/>
    <mergeCell ref="AG534:AG538"/>
    <mergeCell ref="AH534:AH538"/>
    <mergeCell ref="AI534:AI538"/>
    <mergeCell ref="AJ534:AJ538"/>
    <mergeCell ref="AK534:AK538"/>
    <mergeCell ref="N535:N537"/>
    <mergeCell ref="O535:O537"/>
    <mergeCell ref="P535:P537"/>
    <mergeCell ref="Q535:Q537"/>
    <mergeCell ref="R535:R537"/>
    <mergeCell ref="S535:S537"/>
    <mergeCell ref="T535:T537"/>
    <mergeCell ref="U535:U537"/>
    <mergeCell ref="V535:V537"/>
    <mergeCell ref="W535:W537"/>
    <mergeCell ref="X535:X537"/>
    <mergeCell ref="Y535:Y537"/>
    <mergeCell ref="G534:G538"/>
    <mergeCell ref="H528:H533"/>
    <mergeCell ref="I528:I533"/>
    <mergeCell ref="J528:J533"/>
    <mergeCell ref="K528:K533"/>
    <mergeCell ref="L528:L533"/>
    <mergeCell ref="M528:M533"/>
    <mergeCell ref="AF528:AF533"/>
    <mergeCell ref="AG528:AG533"/>
    <mergeCell ref="AH528:AH533"/>
    <mergeCell ref="AI528:AI533"/>
    <mergeCell ref="AJ528:AJ533"/>
    <mergeCell ref="AK528:AK533"/>
    <mergeCell ref="N529:N532"/>
    <mergeCell ref="O529:O532"/>
    <mergeCell ref="P529:P532"/>
    <mergeCell ref="Q529:Q532"/>
    <mergeCell ref="R529:R532"/>
    <mergeCell ref="S529:S532"/>
    <mergeCell ref="T529:T532"/>
    <mergeCell ref="U529:U532"/>
    <mergeCell ref="V529:V532"/>
    <mergeCell ref="W529:W532"/>
    <mergeCell ref="X529:X532"/>
    <mergeCell ref="Y529:Y532"/>
    <mergeCell ref="G516:G521"/>
    <mergeCell ref="H522:H527"/>
    <mergeCell ref="I522:I527"/>
    <mergeCell ref="J522:J527"/>
    <mergeCell ref="K522:K527"/>
    <mergeCell ref="L522:L527"/>
    <mergeCell ref="M522:M527"/>
    <mergeCell ref="AF522:AF527"/>
    <mergeCell ref="AG522:AG527"/>
    <mergeCell ref="AH522:AH527"/>
    <mergeCell ref="AI522:AI527"/>
    <mergeCell ref="AJ522:AJ527"/>
    <mergeCell ref="AK522:AK527"/>
    <mergeCell ref="N523:N526"/>
    <mergeCell ref="O523:O526"/>
    <mergeCell ref="P523:P526"/>
    <mergeCell ref="Q523:Q526"/>
    <mergeCell ref="R523:R526"/>
    <mergeCell ref="S523:S526"/>
    <mergeCell ref="T523:T526"/>
    <mergeCell ref="U523:U526"/>
    <mergeCell ref="V523:V526"/>
    <mergeCell ref="W523:W526"/>
    <mergeCell ref="X523:X526"/>
    <mergeCell ref="Y523:Y526"/>
    <mergeCell ref="G522:G527"/>
    <mergeCell ref="H516:H521"/>
    <mergeCell ref="I516:I521"/>
    <mergeCell ref="J516:J521"/>
    <mergeCell ref="K516:K521"/>
    <mergeCell ref="L516:L521"/>
    <mergeCell ref="M516:M521"/>
    <mergeCell ref="AF516:AF521"/>
    <mergeCell ref="AG516:AG521"/>
    <mergeCell ref="AH516:AH521"/>
    <mergeCell ref="AI516:AI521"/>
    <mergeCell ref="AJ516:AJ521"/>
    <mergeCell ref="AK516:AK521"/>
    <mergeCell ref="N517:N520"/>
    <mergeCell ref="O517:O520"/>
    <mergeCell ref="P517:P520"/>
    <mergeCell ref="Q517:Q520"/>
    <mergeCell ref="R517:R520"/>
    <mergeCell ref="S517:S520"/>
    <mergeCell ref="T517:T520"/>
    <mergeCell ref="U517:U520"/>
    <mergeCell ref="V517:V520"/>
    <mergeCell ref="W517:W520"/>
    <mergeCell ref="X517:X520"/>
    <mergeCell ref="Y517:Y520"/>
    <mergeCell ref="G504:G509"/>
    <mergeCell ref="H510:H515"/>
    <mergeCell ref="I510:I515"/>
    <mergeCell ref="J510:J515"/>
    <mergeCell ref="K510:K515"/>
    <mergeCell ref="L510:L515"/>
    <mergeCell ref="M510:M515"/>
    <mergeCell ref="AF510:AF515"/>
    <mergeCell ref="AG510:AG515"/>
    <mergeCell ref="AH510:AH515"/>
    <mergeCell ref="AI510:AI515"/>
    <mergeCell ref="AJ510:AJ515"/>
    <mergeCell ref="AK510:AK515"/>
    <mergeCell ref="N511:N514"/>
    <mergeCell ref="O511:O514"/>
    <mergeCell ref="P511:P514"/>
    <mergeCell ref="Q511:Q514"/>
    <mergeCell ref="R511:R514"/>
    <mergeCell ref="S511:S514"/>
    <mergeCell ref="T511:T514"/>
    <mergeCell ref="U511:U514"/>
    <mergeCell ref="V511:V514"/>
    <mergeCell ref="W511:W514"/>
    <mergeCell ref="X511:X514"/>
    <mergeCell ref="Y511:Y514"/>
    <mergeCell ref="G510:G515"/>
    <mergeCell ref="H504:H509"/>
    <mergeCell ref="I504:I509"/>
    <mergeCell ref="J504:J509"/>
    <mergeCell ref="K504:K509"/>
    <mergeCell ref="L504:L509"/>
    <mergeCell ref="M504:M509"/>
    <mergeCell ref="AF504:AF509"/>
    <mergeCell ref="AG504:AG509"/>
    <mergeCell ref="AH504:AH509"/>
    <mergeCell ref="AI504:AI509"/>
    <mergeCell ref="AJ504:AJ509"/>
    <mergeCell ref="AK504:AK509"/>
    <mergeCell ref="N505:N508"/>
    <mergeCell ref="O505:O508"/>
    <mergeCell ref="P505:P508"/>
    <mergeCell ref="Q505:Q508"/>
    <mergeCell ref="R505:R508"/>
    <mergeCell ref="S505:S508"/>
    <mergeCell ref="T505:T508"/>
    <mergeCell ref="U505:U508"/>
    <mergeCell ref="V505:V508"/>
    <mergeCell ref="W505:W508"/>
    <mergeCell ref="X505:X508"/>
    <mergeCell ref="Y505:Y508"/>
    <mergeCell ref="G493:G497"/>
    <mergeCell ref="H498:H503"/>
    <mergeCell ref="I498:I503"/>
    <mergeCell ref="J498:J503"/>
    <mergeCell ref="K498:K503"/>
    <mergeCell ref="L498:L503"/>
    <mergeCell ref="M498:M503"/>
    <mergeCell ref="AF498:AF503"/>
    <mergeCell ref="AG498:AG503"/>
    <mergeCell ref="AH498:AH503"/>
    <mergeCell ref="AI498:AI503"/>
    <mergeCell ref="AJ498:AJ503"/>
    <mergeCell ref="AK498:AK503"/>
    <mergeCell ref="N499:N502"/>
    <mergeCell ref="O499:O502"/>
    <mergeCell ref="P499:P502"/>
    <mergeCell ref="Q499:Q502"/>
    <mergeCell ref="R499:R502"/>
    <mergeCell ref="S499:S502"/>
    <mergeCell ref="T499:T502"/>
    <mergeCell ref="U499:U502"/>
    <mergeCell ref="V499:V502"/>
    <mergeCell ref="W499:W502"/>
    <mergeCell ref="X499:X502"/>
    <mergeCell ref="Y499:Y502"/>
    <mergeCell ref="G498:G503"/>
    <mergeCell ref="M493:M497"/>
    <mergeCell ref="AF493:AF497"/>
    <mergeCell ref="AG493:AG497"/>
    <mergeCell ref="AH493:AH497"/>
    <mergeCell ref="AI493:AI497"/>
    <mergeCell ref="AJ493:AJ497"/>
    <mergeCell ref="AK493:AK497"/>
    <mergeCell ref="N494:N496"/>
    <mergeCell ref="O494:O496"/>
    <mergeCell ref="P494:P496"/>
    <mergeCell ref="Q494:Q496"/>
    <mergeCell ref="R494:R496"/>
    <mergeCell ref="S494:S496"/>
    <mergeCell ref="T494:T496"/>
    <mergeCell ref="U494:U496"/>
    <mergeCell ref="V494:V496"/>
    <mergeCell ref="W494:W496"/>
    <mergeCell ref="X494:X496"/>
    <mergeCell ref="Y494:Y496"/>
    <mergeCell ref="G448:G453"/>
    <mergeCell ref="H454:H458"/>
    <mergeCell ref="I454:I458"/>
    <mergeCell ref="J454:J458"/>
    <mergeCell ref="K454:K458"/>
    <mergeCell ref="L454:L458"/>
    <mergeCell ref="M454:M458"/>
    <mergeCell ref="AF454:AF458"/>
    <mergeCell ref="AG454:AG458"/>
    <mergeCell ref="AH454:AH458"/>
    <mergeCell ref="AI454:AI458"/>
    <mergeCell ref="AJ454:AJ458"/>
    <mergeCell ref="AK454:AK458"/>
    <mergeCell ref="N455:N457"/>
    <mergeCell ref="O455:O457"/>
    <mergeCell ref="P455:P457"/>
    <mergeCell ref="Q455:Q457"/>
    <mergeCell ref="R455:R457"/>
    <mergeCell ref="S455:S457"/>
    <mergeCell ref="T455:T457"/>
    <mergeCell ref="U455:U457"/>
    <mergeCell ref="V455:V457"/>
    <mergeCell ref="W455:W457"/>
    <mergeCell ref="X455:X457"/>
    <mergeCell ref="Y455:Y457"/>
    <mergeCell ref="G454:G458"/>
    <mergeCell ref="H448:H453"/>
    <mergeCell ref="I448:I453"/>
    <mergeCell ref="J448:J453"/>
    <mergeCell ref="K448:K453"/>
    <mergeCell ref="L448:L453"/>
    <mergeCell ref="M448:M453"/>
    <mergeCell ref="AF448:AF453"/>
    <mergeCell ref="AG448:AG453"/>
    <mergeCell ref="AH448:AH453"/>
    <mergeCell ref="AI448:AI453"/>
    <mergeCell ref="AJ448:AJ453"/>
    <mergeCell ref="AK448:AK453"/>
    <mergeCell ref="N449:N452"/>
    <mergeCell ref="O449:O452"/>
    <mergeCell ref="P449:P452"/>
    <mergeCell ref="Q449:Q452"/>
    <mergeCell ref="R449:R452"/>
    <mergeCell ref="S449:S452"/>
    <mergeCell ref="T449:T452"/>
    <mergeCell ref="U449:U452"/>
    <mergeCell ref="V449:V452"/>
    <mergeCell ref="W449:W452"/>
    <mergeCell ref="X449:X452"/>
    <mergeCell ref="Y449:Y452"/>
    <mergeCell ref="G438:G442"/>
    <mergeCell ref="H443:H447"/>
    <mergeCell ref="I443:I447"/>
    <mergeCell ref="J443:J447"/>
    <mergeCell ref="K443:K447"/>
    <mergeCell ref="L443:L447"/>
    <mergeCell ref="M443:M447"/>
    <mergeCell ref="AF443:AF447"/>
    <mergeCell ref="AG443:AG447"/>
    <mergeCell ref="AH443:AH447"/>
    <mergeCell ref="AI443:AI447"/>
    <mergeCell ref="AJ443:AJ447"/>
    <mergeCell ref="AK443:AK447"/>
    <mergeCell ref="N444:N446"/>
    <mergeCell ref="O444:O446"/>
    <mergeCell ref="P444:P446"/>
    <mergeCell ref="Q444:Q446"/>
    <mergeCell ref="R444:R446"/>
    <mergeCell ref="S444:S446"/>
    <mergeCell ref="T444:T446"/>
    <mergeCell ref="U444:U446"/>
    <mergeCell ref="V444:V446"/>
    <mergeCell ref="W444:W446"/>
    <mergeCell ref="X444:X446"/>
    <mergeCell ref="Y444:Y446"/>
    <mergeCell ref="G443:G447"/>
    <mergeCell ref="H438:H442"/>
    <mergeCell ref="I438:I442"/>
    <mergeCell ref="J438:J442"/>
    <mergeCell ref="K438:K442"/>
    <mergeCell ref="L438:L442"/>
    <mergeCell ref="M438:M442"/>
    <mergeCell ref="AF438:AF442"/>
    <mergeCell ref="AG438:AG442"/>
    <mergeCell ref="AH438:AH442"/>
    <mergeCell ref="AI438:AI442"/>
    <mergeCell ref="AJ438:AJ442"/>
    <mergeCell ref="AK438:AK442"/>
    <mergeCell ref="N439:N441"/>
    <mergeCell ref="O439:O441"/>
    <mergeCell ref="P439:P441"/>
    <mergeCell ref="Q439:Q441"/>
    <mergeCell ref="R439:R441"/>
    <mergeCell ref="S439:S441"/>
    <mergeCell ref="T439:T441"/>
    <mergeCell ref="U439:U441"/>
    <mergeCell ref="V439:V441"/>
    <mergeCell ref="W439:W441"/>
    <mergeCell ref="X439:X441"/>
    <mergeCell ref="Y439:Y441"/>
    <mergeCell ref="G427:G431"/>
    <mergeCell ref="H432:H437"/>
    <mergeCell ref="I432:I437"/>
    <mergeCell ref="J432:J437"/>
    <mergeCell ref="K432:K437"/>
    <mergeCell ref="L432:L437"/>
    <mergeCell ref="M432:M437"/>
    <mergeCell ref="AF432:AF437"/>
    <mergeCell ref="AG432:AG437"/>
    <mergeCell ref="AH432:AH437"/>
    <mergeCell ref="AI432:AI437"/>
    <mergeCell ref="AJ432:AJ437"/>
    <mergeCell ref="AK432:AK437"/>
    <mergeCell ref="N433:N436"/>
    <mergeCell ref="O433:O436"/>
    <mergeCell ref="P433:P436"/>
    <mergeCell ref="Q433:Q436"/>
    <mergeCell ref="R433:R436"/>
    <mergeCell ref="S433:S436"/>
    <mergeCell ref="T433:T436"/>
    <mergeCell ref="U433:U436"/>
    <mergeCell ref="V433:V436"/>
    <mergeCell ref="W433:W436"/>
    <mergeCell ref="X433:X436"/>
    <mergeCell ref="Y433:Y436"/>
    <mergeCell ref="G432:G437"/>
    <mergeCell ref="H427:H431"/>
    <mergeCell ref="I427:I431"/>
    <mergeCell ref="J427:J431"/>
    <mergeCell ref="K427:K431"/>
    <mergeCell ref="L427:L431"/>
    <mergeCell ref="M427:M431"/>
    <mergeCell ref="AF427:AF431"/>
    <mergeCell ref="AG427:AG431"/>
    <mergeCell ref="AH427:AH431"/>
    <mergeCell ref="AI427:AI431"/>
    <mergeCell ref="AJ427:AJ431"/>
    <mergeCell ref="AK427:AK431"/>
    <mergeCell ref="N428:N430"/>
    <mergeCell ref="O428:O430"/>
    <mergeCell ref="P428:P430"/>
    <mergeCell ref="Q428:Q430"/>
    <mergeCell ref="R428:R430"/>
    <mergeCell ref="S428:S430"/>
    <mergeCell ref="T428:T430"/>
    <mergeCell ref="U428:U430"/>
    <mergeCell ref="V428:V430"/>
    <mergeCell ref="W428:W430"/>
    <mergeCell ref="X428:X430"/>
    <mergeCell ref="Y428:Y430"/>
    <mergeCell ref="G415:G420"/>
    <mergeCell ref="H421:H426"/>
    <mergeCell ref="I421:I426"/>
    <mergeCell ref="J421:J426"/>
    <mergeCell ref="K421:K426"/>
    <mergeCell ref="L421:L426"/>
    <mergeCell ref="M421:M426"/>
    <mergeCell ref="AF421:AF426"/>
    <mergeCell ref="AG421:AG426"/>
    <mergeCell ref="AH421:AH426"/>
    <mergeCell ref="AI421:AI426"/>
    <mergeCell ref="AJ421:AJ426"/>
    <mergeCell ref="AK421:AK426"/>
    <mergeCell ref="N422:N425"/>
    <mergeCell ref="O422:O425"/>
    <mergeCell ref="P422:P425"/>
    <mergeCell ref="Q422:Q425"/>
    <mergeCell ref="R422:R425"/>
    <mergeCell ref="S422:S425"/>
    <mergeCell ref="T422:T425"/>
    <mergeCell ref="U422:U425"/>
    <mergeCell ref="V422:V425"/>
    <mergeCell ref="W422:W425"/>
    <mergeCell ref="X422:X425"/>
    <mergeCell ref="Y422:Y425"/>
    <mergeCell ref="G421:G426"/>
    <mergeCell ref="H415:H420"/>
    <mergeCell ref="I415:I420"/>
    <mergeCell ref="J415:J420"/>
    <mergeCell ref="K415:K420"/>
    <mergeCell ref="L415:L420"/>
    <mergeCell ref="M415:M420"/>
    <mergeCell ref="AF415:AF420"/>
    <mergeCell ref="AG415:AG420"/>
    <mergeCell ref="AH415:AH420"/>
    <mergeCell ref="AI415:AI420"/>
    <mergeCell ref="AJ415:AJ420"/>
    <mergeCell ref="AK415:AK420"/>
    <mergeCell ref="N416:N419"/>
    <mergeCell ref="O416:O419"/>
    <mergeCell ref="P416:P419"/>
    <mergeCell ref="Q416:Q419"/>
    <mergeCell ref="R416:R419"/>
    <mergeCell ref="S416:S419"/>
    <mergeCell ref="T416:T419"/>
    <mergeCell ref="U416:U419"/>
    <mergeCell ref="V416:V419"/>
    <mergeCell ref="W416:W419"/>
    <mergeCell ref="X416:X419"/>
    <mergeCell ref="Y416:Y419"/>
    <mergeCell ref="G404:G409"/>
    <mergeCell ref="H410:H414"/>
    <mergeCell ref="I410:I414"/>
    <mergeCell ref="J410:J414"/>
    <mergeCell ref="K410:K414"/>
    <mergeCell ref="L410:L414"/>
    <mergeCell ref="M410:M414"/>
    <mergeCell ref="AF410:AF414"/>
    <mergeCell ref="AG410:AG414"/>
    <mergeCell ref="AH410:AH414"/>
    <mergeCell ref="AI410:AI414"/>
    <mergeCell ref="AJ410:AJ414"/>
    <mergeCell ref="AK410:AK414"/>
    <mergeCell ref="N411:N413"/>
    <mergeCell ref="O411:O413"/>
    <mergeCell ref="P411:P413"/>
    <mergeCell ref="Q411:Q413"/>
    <mergeCell ref="R411:R413"/>
    <mergeCell ref="S411:S413"/>
    <mergeCell ref="T411:T413"/>
    <mergeCell ref="U411:U413"/>
    <mergeCell ref="V411:V413"/>
    <mergeCell ref="W411:W413"/>
    <mergeCell ref="X411:X413"/>
    <mergeCell ref="Y411:Y413"/>
    <mergeCell ref="G410:G414"/>
    <mergeCell ref="H404:H409"/>
    <mergeCell ref="I404:I409"/>
    <mergeCell ref="J404:J409"/>
    <mergeCell ref="K404:K409"/>
    <mergeCell ref="L404:L409"/>
    <mergeCell ref="M404:M409"/>
    <mergeCell ref="AF404:AF409"/>
    <mergeCell ref="AG404:AG409"/>
    <mergeCell ref="AH404:AH409"/>
    <mergeCell ref="AI404:AI409"/>
    <mergeCell ref="AJ404:AJ409"/>
    <mergeCell ref="AK404:AK409"/>
    <mergeCell ref="N405:N408"/>
    <mergeCell ref="O405:O408"/>
    <mergeCell ref="P405:P408"/>
    <mergeCell ref="Q405:Q408"/>
    <mergeCell ref="R405:R408"/>
    <mergeCell ref="S405:S408"/>
    <mergeCell ref="T405:T408"/>
    <mergeCell ref="U405:U408"/>
    <mergeCell ref="V405:V408"/>
    <mergeCell ref="W405:W408"/>
    <mergeCell ref="X405:X408"/>
    <mergeCell ref="Y405:Y408"/>
    <mergeCell ref="G394:G398"/>
    <mergeCell ref="H399:H403"/>
    <mergeCell ref="I399:I403"/>
    <mergeCell ref="J399:J403"/>
    <mergeCell ref="K399:K403"/>
    <mergeCell ref="L399:L403"/>
    <mergeCell ref="M399:M403"/>
    <mergeCell ref="AF399:AF403"/>
    <mergeCell ref="AG399:AG403"/>
    <mergeCell ref="AH399:AH403"/>
    <mergeCell ref="AI399:AI403"/>
    <mergeCell ref="AJ399:AJ403"/>
    <mergeCell ref="AK399:AK403"/>
    <mergeCell ref="N400:N402"/>
    <mergeCell ref="O400:O402"/>
    <mergeCell ref="P400:P402"/>
    <mergeCell ref="Q400:Q402"/>
    <mergeCell ref="R400:R402"/>
    <mergeCell ref="S400:S402"/>
    <mergeCell ref="T400:T402"/>
    <mergeCell ref="U400:U402"/>
    <mergeCell ref="V400:V402"/>
    <mergeCell ref="W400:W402"/>
    <mergeCell ref="X400:X402"/>
    <mergeCell ref="Y400:Y402"/>
    <mergeCell ref="G399:G403"/>
    <mergeCell ref="M394:M398"/>
    <mergeCell ref="AF394:AF398"/>
    <mergeCell ref="AG394:AG398"/>
    <mergeCell ref="AH394:AH398"/>
    <mergeCell ref="AI394:AI398"/>
    <mergeCell ref="AJ394:AJ398"/>
    <mergeCell ref="AK394:AK398"/>
    <mergeCell ref="N395:N397"/>
    <mergeCell ref="O395:O397"/>
    <mergeCell ref="P395:P397"/>
    <mergeCell ref="Q395:Q397"/>
    <mergeCell ref="R395:R397"/>
    <mergeCell ref="S395:S397"/>
    <mergeCell ref="T395:T397"/>
    <mergeCell ref="U395:U397"/>
    <mergeCell ref="V395:V397"/>
    <mergeCell ref="W395:W397"/>
    <mergeCell ref="X395:X397"/>
    <mergeCell ref="Y395:Y397"/>
    <mergeCell ref="G344:G349"/>
    <mergeCell ref="H350:H355"/>
    <mergeCell ref="I350:I355"/>
    <mergeCell ref="J350:J355"/>
    <mergeCell ref="K350:K355"/>
    <mergeCell ref="L350:L355"/>
    <mergeCell ref="M350:M355"/>
    <mergeCell ref="AF350:AF355"/>
    <mergeCell ref="AG350:AG355"/>
    <mergeCell ref="AH350:AH355"/>
    <mergeCell ref="AI350:AI355"/>
    <mergeCell ref="AJ350:AJ355"/>
    <mergeCell ref="AK350:AK355"/>
    <mergeCell ref="N351:N354"/>
    <mergeCell ref="O351:O354"/>
    <mergeCell ref="P351:P354"/>
    <mergeCell ref="Q351:Q354"/>
    <mergeCell ref="R351:R354"/>
    <mergeCell ref="S351:S354"/>
    <mergeCell ref="T351:T354"/>
    <mergeCell ref="U351:U354"/>
    <mergeCell ref="V351:V354"/>
    <mergeCell ref="W351:W354"/>
    <mergeCell ref="X351:X354"/>
    <mergeCell ref="Y351:Y354"/>
    <mergeCell ref="G350:G355"/>
    <mergeCell ref="H344:H349"/>
    <mergeCell ref="I344:I349"/>
    <mergeCell ref="J344:J349"/>
    <mergeCell ref="K344:K349"/>
    <mergeCell ref="L344:L349"/>
    <mergeCell ref="M344:M349"/>
    <mergeCell ref="AF344:AF349"/>
    <mergeCell ref="AG344:AG349"/>
    <mergeCell ref="AH344:AH349"/>
    <mergeCell ref="AI344:AI349"/>
    <mergeCell ref="AJ344:AJ349"/>
    <mergeCell ref="AK344:AK349"/>
    <mergeCell ref="N345:N348"/>
    <mergeCell ref="O345:O348"/>
    <mergeCell ref="P345:P348"/>
    <mergeCell ref="Q345:Q348"/>
    <mergeCell ref="R345:R348"/>
    <mergeCell ref="S345:S348"/>
    <mergeCell ref="T345:T348"/>
    <mergeCell ref="U345:U348"/>
    <mergeCell ref="V345:V348"/>
    <mergeCell ref="W345:W348"/>
    <mergeCell ref="X345:X348"/>
    <mergeCell ref="Y345:Y348"/>
    <mergeCell ref="G333:G337"/>
    <mergeCell ref="H338:H343"/>
    <mergeCell ref="I338:I343"/>
    <mergeCell ref="J338:J343"/>
    <mergeCell ref="K338:K343"/>
    <mergeCell ref="L338:L343"/>
    <mergeCell ref="M338:M343"/>
    <mergeCell ref="AF338:AF343"/>
    <mergeCell ref="AG338:AG343"/>
    <mergeCell ref="AH338:AH343"/>
    <mergeCell ref="AI338:AI343"/>
    <mergeCell ref="AJ338:AJ343"/>
    <mergeCell ref="AK338:AK343"/>
    <mergeCell ref="N339:N342"/>
    <mergeCell ref="O339:O342"/>
    <mergeCell ref="P339:P342"/>
    <mergeCell ref="Q339:Q342"/>
    <mergeCell ref="R339:R342"/>
    <mergeCell ref="S339:S342"/>
    <mergeCell ref="T339:T342"/>
    <mergeCell ref="U339:U342"/>
    <mergeCell ref="V339:V342"/>
    <mergeCell ref="W339:W342"/>
    <mergeCell ref="X339:X342"/>
    <mergeCell ref="Y339:Y342"/>
    <mergeCell ref="G338:G343"/>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20: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20:H327"/>
    <mergeCell ref="I320:I327"/>
    <mergeCell ref="J320:J327"/>
    <mergeCell ref="K320:K327"/>
    <mergeCell ref="L320:L327"/>
    <mergeCell ref="M320:M327"/>
    <mergeCell ref="AF320:AF327"/>
    <mergeCell ref="AG320:AG327"/>
    <mergeCell ref="AH320:AH327"/>
    <mergeCell ref="AI320:AI327"/>
    <mergeCell ref="AJ320:AJ327"/>
    <mergeCell ref="AK320:AK327"/>
    <mergeCell ref="N321:N326"/>
    <mergeCell ref="O321:O326"/>
    <mergeCell ref="P321:P326"/>
    <mergeCell ref="Q321:Q326"/>
    <mergeCell ref="R321:R326"/>
    <mergeCell ref="S321:S326"/>
    <mergeCell ref="T321:T326"/>
    <mergeCell ref="U321:U326"/>
    <mergeCell ref="V321:V326"/>
    <mergeCell ref="W321:W326"/>
    <mergeCell ref="X321:X326"/>
    <mergeCell ref="Y321:Y326"/>
    <mergeCell ref="G310:G314"/>
    <mergeCell ref="H315:H319"/>
    <mergeCell ref="I315:I319"/>
    <mergeCell ref="J315:J319"/>
    <mergeCell ref="K315:K319"/>
    <mergeCell ref="L315:L319"/>
    <mergeCell ref="M315:M319"/>
    <mergeCell ref="AF315:AF319"/>
    <mergeCell ref="AG315:AG319"/>
    <mergeCell ref="AH315:AH319"/>
    <mergeCell ref="AI315:AI319"/>
    <mergeCell ref="AJ315:AJ319"/>
    <mergeCell ref="AK315:AK319"/>
    <mergeCell ref="N316:N318"/>
    <mergeCell ref="O316:O318"/>
    <mergeCell ref="P316:P318"/>
    <mergeCell ref="Q316:Q318"/>
    <mergeCell ref="R316:R318"/>
    <mergeCell ref="S316:S318"/>
    <mergeCell ref="T316:T318"/>
    <mergeCell ref="U316:U318"/>
    <mergeCell ref="V316:V318"/>
    <mergeCell ref="W316:W318"/>
    <mergeCell ref="X316:X318"/>
    <mergeCell ref="Y316:Y318"/>
    <mergeCell ref="G315:G319"/>
    <mergeCell ref="H310:H314"/>
    <mergeCell ref="I310:I314"/>
    <mergeCell ref="J310:J314"/>
    <mergeCell ref="K310:K314"/>
    <mergeCell ref="L310:L314"/>
    <mergeCell ref="M310:M314"/>
    <mergeCell ref="AF310:AF314"/>
    <mergeCell ref="AG310:AG314"/>
    <mergeCell ref="AH310:AH314"/>
    <mergeCell ref="AI310:AI314"/>
    <mergeCell ref="AJ310:AJ314"/>
    <mergeCell ref="AK310:AK314"/>
    <mergeCell ref="N311:N313"/>
    <mergeCell ref="O311:O313"/>
    <mergeCell ref="P311:P313"/>
    <mergeCell ref="Q311:Q313"/>
    <mergeCell ref="R311:R313"/>
    <mergeCell ref="S311:S313"/>
    <mergeCell ref="T311:T313"/>
    <mergeCell ref="U311:U313"/>
    <mergeCell ref="V311:V313"/>
    <mergeCell ref="W311:W313"/>
    <mergeCell ref="X311:X313"/>
    <mergeCell ref="Y311:Y313"/>
    <mergeCell ref="G298:G303"/>
    <mergeCell ref="H304:H309"/>
    <mergeCell ref="I304:I309"/>
    <mergeCell ref="J304:J309"/>
    <mergeCell ref="K304:K309"/>
    <mergeCell ref="L304:L309"/>
    <mergeCell ref="M304:M309"/>
    <mergeCell ref="AF304:AF309"/>
    <mergeCell ref="AG304:AG309"/>
    <mergeCell ref="AH304:AH309"/>
    <mergeCell ref="AI304:AI309"/>
    <mergeCell ref="AJ304:AJ309"/>
    <mergeCell ref="AK304:AK309"/>
    <mergeCell ref="N305:N308"/>
    <mergeCell ref="O305:O308"/>
    <mergeCell ref="P305:P308"/>
    <mergeCell ref="Q305:Q308"/>
    <mergeCell ref="R305:R308"/>
    <mergeCell ref="S305:S308"/>
    <mergeCell ref="T305:T308"/>
    <mergeCell ref="U305:U308"/>
    <mergeCell ref="V305:V308"/>
    <mergeCell ref="W305:W308"/>
    <mergeCell ref="X305:X308"/>
    <mergeCell ref="Y305:Y308"/>
    <mergeCell ref="G304:G309"/>
    <mergeCell ref="H298:H303"/>
    <mergeCell ref="I298:I303"/>
    <mergeCell ref="J298:J303"/>
    <mergeCell ref="K298:K303"/>
    <mergeCell ref="L298:L303"/>
    <mergeCell ref="M298:M303"/>
    <mergeCell ref="AF298:AF303"/>
    <mergeCell ref="AG298:AG303"/>
    <mergeCell ref="AH298:AH303"/>
    <mergeCell ref="AI298:AI303"/>
    <mergeCell ref="AJ298:AJ303"/>
    <mergeCell ref="AK298:AK303"/>
    <mergeCell ref="N299:N302"/>
    <mergeCell ref="O299:O302"/>
    <mergeCell ref="P299:P302"/>
    <mergeCell ref="Q299:Q302"/>
    <mergeCell ref="R299:R302"/>
    <mergeCell ref="S299:S302"/>
    <mergeCell ref="T299:T302"/>
    <mergeCell ref="U299:U302"/>
    <mergeCell ref="V299:V302"/>
    <mergeCell ref="W299:W302"/>
    <mergeCell ref="X299:X302"/>
    <mergeCell ref="Y299:Y302"/>
    <mergeCell ref="G287:G291"/>
    <mergeCell ref="H292:H297"/>
    <mergeCell ref="I292:I297"/>
    <mergeCell ref="J292:J297"/>
    <mergeCell ref="K292:K297"/>
    <mergeCell ref="L292:L297"/>
    <mergeCell ref="M292:M297"/>
    <mergeCell ref="AF292:AF297"/>
    <mergeCell ref="AG292:AG297"/>
    <mergeCell ref="AH292:AH297"/>
    <mergeCell ref="AI292:AI297"/>
    <mergeCell ref="AJ292:AJ297"/>
    <mergeCell ref="AK292:AK297"/>
    <mergeCell ref="N293:N296"/>
    <mergeCell ref="O293:O296"/>
    <mergeCell ref="P293:P296"/>
    <mergeCell ref="Q293:Q296"/>
    <mergeCell ref="R293:R296"/>
    <mergeCell ref="S293:S296"/>
    <mergeCell ref="T293:T296"/>
    <mergeCell ref="U293:U296"/>
    <mergeCell ref="V293:V296"/>
    <mergeCell ref="W293:W296"/>
    <mergeCell ref="X293:X296"/>
    <mergeCell ref="Y293:Y296"/>
    <mergeCell ref="G292:G297"/>
    <mergeCell ref="H287:H291"/>
    <mergeCell ref="I287:I291"/>
    <mergeCell ref="J287:J291"/>
    <mergeCell ref="K287:K291"/>
    <mergeCell ref="L287:L291"/>
    <mergeCell ref="M287:M291"/>
    <mergeCell ref="AF287:AF291"/>
    <mergeCell ref="AG287:AG291"/>
    <mergeCell ref="AH287:AH291"/>
    <mergeCell ref="AI287:AI291"/>
    <mergeCell ref="AJ287:AJ291"/>
    <mergeCell ref="AK287:AK291"/>
    <mergeCell ref="N288:N290"/>
    <mergeCell ref="O288:O290"/>
    <mergeCell ref="P288:P290"/>
    <mergeCell ref="Q288:Q290"/>
    <mergeCell ref="R288:R290"/>
    <mergeCell ref="S288:S290"/>
    <mergeCell ref="T288:T290"/>
    <mergeCell ref="U288:U290"/>
    <mergeCell ref="V288:V290"/>
    <mergeCell ref="W288:W290"/>
    <mergeCell ref="X288:X290"/>
    <mergeCell ref="Y288:Y290"/>
    <mergeCell ref="G276:G281"/>
    <mergeCell ref="H282:H286"/>
    <mergeCell ref="I282:I286"/>
    <mergeCell ref="J282:J286"/>
    <mergeCell ref="K282:K286"/>
    <mergeCell ref="L282:L286"/>
    <mergeCell ref="M282:M286"/>
    <mergeCell ref="AF282:AF286"/>
    <mergeCell ref="AG282:AG286"/>
    <mergeCell ref="AH282:AH286"/>
    <mergeCell ref="AI282:AI286"/>
    <mergeCell ref="AJ282:AJ286"/>
    <mergeCell ref="AK282:AK286"/>
    <mergeCell ref="N283:N285"/>
    <mergeCell ref="O283:O285"/>
    <mergeCell ref="P283:P285"/>
    <mergeCell ref="Q283:Q285"/>
    <mergeCell ref="R283:R285"/>
    <mergeCell ref="S283:S285"/>
    <mergeCell ref="T283:T285"/>
    <mergeCell ref="U283:U285"/>
    <mergeCell ref="V283:V285"/>
    <mergeCell ref="W283:W285"/>
    <mergeCell ref="X283:X285"/>
    <mergeCell ref="Y283:Y285"/>
    <mergeCell ref="G282:G286"/>
    <mergeCell ref="H276:H281"/>
    <mergeCell ref="I276:I281"/>
    <mergeCell ref="J276:J281"/>
    <mergeCell ref="K276:K281"/>
    <mergeCell ref="L276:L281"/>
    <mergeCell ref="M276:M281"/>
    <mergeCell ref="AF276:AF281"/>
    <mergeCell ref="AG276:AG281"/>
    <mergeCell ref="AH276:AH281"/>
    <mergeCell ref="AI276:AI281"/>
    <mergeCell ref="AJ276:AJ281"/>
    <mergeCell ref="AK276:AK281"/>
    <mergeCell ref="N277:N280"/>
    <mergeCell ref="O277:O280"/>
    <mergeCell ref="P277:P280"/>
    <mergeCell ref="Q277:Q280"/>
    <mergeCell ref="R277:R280"/>
    <mergeCell ref="S277:S280"/>
    <mergeCell ref="T277:T280"/>
    <mergeCell ref="U277:U280"/>
    <mergeCell ref="V277:V280"/>
    <mergeCell ref="W277:W280"/>
    <mergeCell ref="X277:X280"/>
    <mergeCell ref="Y277:Y280"/>
    <mergeCell ref="G265:G269"/>
    <mergeCell ref="H270:H275"/>
    <mergeCell ref="I270:I275"/>
    <mergeCell ref="J270:J275"/>
    <mergeCell ref="K270:K275"/>
    <mergeCell ref="L270:L275"/>
    <mergeCell ref="M270:M275"/>
    <mergeCell ref="AF270:AF275"/>
    <mergeCell ref="AG270:AG275"/>
    <mergeCell ref="AH270:AH275"/>
    <mergeCell ref="AI270:AI275"/>
    <mergeCell ref="AJ270:AJ275"/>
    <mergeCell ref="AK270:AK275"/>
    <mergeCell ref="N271:N274"/>
    <mergeCell ref="O271:O274"/>
    <mergeCell ref="P271:P274"/>
    <mergeCell ref="Q271:Q274"/>
    <mergeCell ref="R271:R274"/>
    <mergeCell ref="S271:S274"/>
    <mergeCell ref="T271:T274"/>
    <mergeCell ref="U271:U274"/>
    <mergeCell ref="V271:V274"/>
    <mergeCell ref="W271:W274"/>
    <mergeCell ref="X271:X274"/>
    <mergeCell ref="Y271:Y274"/>
    <mergeCell ref="G270:G275"/>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53:G257"/>
    <mergeCell ref="H258:H264"/>
    <mergeCell ref="I258:I264"/>
    <mergeCell ref="J258:J264"/>
    <mergeCell ref="K258:K264"/>
    <mergeCell ref="L258:L264"/>
    <mergeCell ref="M258:M264"/>
    <mergeCell ref="AF258:AF264"/>
    <mergeCell ref="AG258:AG264"/>
    <mergeCell ref="AH258:AH264"/>
    <mergeCell ref="AI258:AI264"/>
    <mergeCell ref="AJ258:AJ264"/>
    <mergeCell ref="AK258:AK264"/>
    <mergeCell ref="N259:N263"/>
    <mergeCell ref="O259:O263"/>
    <mergeCell ref="P259:P263"/>
    <mergeCell ref="Q259:Q263"/>
    <mergeCell ref="R259:R263"/>
    <mergeCell ref="S259:S263"/>
    <mergeCell ref="T259:T263"/>
    <mergeCell ref="U259:U263"/>
    <mergeCell ref="V259:V263"/>
    <mergeCell ref="W259:W263"/>
    <mergeCell ref="X259:X263"/>
    <mergeCell ref="Y259:Y263"/>
    <mergeCell ref="G258:G264"/>
    <mergeCell ref="M253:M257"/>
    <mergeCell ref="AF253:AF257"/>
    <mergeCell ref="AG253:AG257"/>
    <mergeCell ref="AH253:AH257"/>
    <mergeCell ref="AI253:AI257"/>
    <mergeCell ref="AJ253:AJ257"/>
    <mergeCell ref="AK253:AK257"/>
    <mergeCell ref="N254:N256"/>
    <mergeCell ref="O254:O256"/>
    <mergeCell ref="P254:P256"/>
    <mergeCell ref="Q254:Q256"/>
    <mergeCell ref="R254:R256"/>
    <mergeCell ref="S254:S256"/>
    <mergeCell ref="T254:T256"/>
    <mergeCell ref="U254:U256"/>
    <mergeCell ref="V254:V256"/>
    <mergeCell ref="W254:W256"/>
    <mergeCell ref="X254:X256"/>
    <mergeCell ref="Y254:Y256"/>
    <mergeCell ref="G233:G239"/>
    <mergeCell ref="H240:H246"/>
    <mergeCell ref="I240:I246"/>
    <mergeCell ref="J240:J246"/>
    <mergeCell ref="K240:K246"/>
    <mergeCell ref="L240:L246"/>
    <mergeCell ref="M240:M246"/>
    <mergeCell ref="AF240:AF246"/>
    <mergeCell ref="AG240:AG246"/>
    <mergeCell ref="AH240:AH246"/>
    <mergeCell ref="AI240:AI246"/>
    <mergeCell ref="AJ240:AJ246"/>
    <mergeCell ref="AK240:AK246"/>
    <mergeCell ref="N241:N245"/>
    <mergeCell ref="O241:O245"/>
    <mergeCell ref="P241:P245"/>
    <mergeCell ref="Q241:Q245"/>
    <mergeCell ref="R241:R245"/>
    <mergeCell ref="S241:S245"/>
    <mergeCell ref="T241:T245"/>
    <mergeCell ref="U241:U245"/>
    <mergeCell ref="V241:V245"/>
    <mergeCell ref="W241:W245"/>
    <mergeCell ref="X241:X245"/>
    <mergeCell ref="Y241:Y245"/>
    <mergeCell ref="G240:G246"/>
    <mergeCell ref="H233:H239"/>
    <mergeCell ref="I233:I239"/>
    <mergeCell ref="J233:J239"/>
    <mergeCell ref="K233:K239"/>
    <mergeCell ref="L233:L239"/>
    <mergeCell ref="M233:M239"/>
    <mergeCell ref="AF233:AF239"/>
    <mergeCell ref="AG233:AG239"/>
    <mergeCell ref="AH233:AH239"/>
    <mergeCell ref="AI233:AI239"/>
    <mergeCell ref="AJ233:AJ239"/>
    <mergeCell ref="AK233:AK239"/>
    <mergeCell ref="N234:N238"/>
    <mergeCell ref="O234:O238"/>
    <mergeCell ref="P234:P238"/>
    <mergeCell ref="Q234:Q238"/>
    <mergeCell ref="R234:R238"/>
    <mergeCell ref="S234:S238"/>
    <mergeCell ref="T234:T238"/>
    <mergeCell ref="U234:U238"/>
    <mergeCell ref="V234:V238"/>
    <mergeCell ref="W234:W238"/>
    <mergeCell ref="X234:X238"/>
    <mergeCell ref="Y234:Y238"/>
    <mergeCell ref="G221:G225"/>
    <mergeCell ref="H226:H232"/>
    <mergeCell ref="I226:I232"/>
    <mergeCell ref="J226:J232"/>
    <mergeCell ref="K226:K232"/>
    <mergeCell ref="L226:L232"/>
    <mergeCell ref="M226:M232"/>
    <mergeCell ref="AF226:AF232"/>
    <mergeCell ref="AG226:AG232"/>
    <mergeCell ref="AH226:AH232"/>
    <mergeCell ref="AI226:AI232"/>
    <mergeCell ref="AJ226:AJ232"/>
    <mergeCell ref="AK226:AK232"/>
    <mergeCell ref="N227:N231"/>
    <mergeCell ref="O227:O231"/>
    <mergeCell ref="P227:P231"/>
    <mergeCell ref="Q227:Q231"/>
    <mergeCell ref="R227:R231"/>
    <mergeCell ref="S227:S231"/>
    <mergeCell ref="T227:T231"/>
    <mergeCell ref="U227:U231"/>
    <mergeCell ref="V227:V231"/>
    <mergeCell ref="W227:W231"/>
    <mergeCell ref="X227:X231"/>
    <mergeCell ref="Y227:Y231"/>
    <mergeCell ref="G226:G232"/>
    <mergeCell ref="H221:H225"/>
    <mergeCell ref="I221:I225"/>
    <mergeCell ref="J221:J225"/>
    <mergeCell ref="K221:K225"/>
    <mergeCell ref="L221:L225"/>
    <mergeCell ref="M221:M225"/>
    <mergeCell ref="AF221:AF225"/>
    <mergeCell ref="AG221:AG225"/>
    <mergeCell ref="AH221:AH225"/>
    <mergeCell ref="AI221:AI225"/>
    <mergeCell ref="AJ221:AJ225"/>
    <mergeCell ref="AK221:AK225"/>
    <mergeCell ref="N222:N224"/>
    <mergeCell ref="O222:O224"/>
    <mergeCell ref="P222:P224"/>
    <mergeCell ref="Q222:Q224"/>
    <mergeCell ref="R222:R224"/>
    <mergeCell ref="S222:S224"/>
    <mergeCell ref="T222:T224"/>
    <mergeCell ref="U222:U224"/>
    <mergeCell ref="V222:V224"/>
    <mergeCell ref="W222:W224"/>
    <mergeCell ref="X222:X224"/>
    <mergeCell ref="Y222:Y224"/>
    <mergeCell ref="G210:G215"/>
    <mergeCell ref="H216:H220"/>
    <mergeCell ref="I216:I220"/>
    <mergeCell ref="J216:J220"/>
    <mergeCell ref="K216:K220"/>
    <mergeCell ref="L216:L220"/>
    <mergeCell ref="M216:M220"/>
    <mergeCell ref="AF216:AF220"/>
    <mergeCell ref="AG216:AG220"/>
    <mergeCell ref="AH216:AH220"/>
    <mergeCell ref="AI216:AI220"/>
    <mergeCell ref="AJ216:AJ220"/>
    <mergeCell ref="AK216:AK220"/>
    <mergeCell ref="N217:N219"/>
    <mergeCell ref="O217:O219"/>
    <mergeCell ref="P217:P219"/>
    <mergeCell ref="Q217:Q219"/>
    <mergeCell ref="R217:R219"/>
    <mergeCell ref="S217:S219"/>
    <mergeCell ref="T217:T219"/>
    <mergeCell ref="U217:U219"/>
    <mergeCell ref="V217:V219"/>
    <mergeCell ref="W217:W219"/>
    <mergeCell ref="X217:X219"/>
    <mergeCell ref="Y217:Y219"/>
    <mergeCell ref="G216:G220"/>
    <mergeCell ref="H210:H215"/>
    <mergeCell ref="I210:I215"/>
    <mergeCell ref="J210:J215"/>
    <mergeCell ref="K210:K215"/>
    <mergeCell ref="L210:L215"/>
    <mergeCell ref="M210:M215"/>
    <mergeCell ref="AF210:AF215"/>
    <mergeCell ref="AG210:AG215"/>
    <mergeCell ref="AH210:AH215"/>
    <mergeCell ref="AI210:AI215"/>
    <mergeCell ref="AJ210:AJ215"/>
    <mergeCell ref="AK210:AK215"/>
    <mergeCell ref="N211:N214"/>
    <mergeCell ref="O211:O214"/>
    <mergeCell ref="P211:P214"/>
    <mergeCell ref="Q211:Q214"/>
    <mergeCell ref="R211:R214"/>
    <mergeCell ref="S211:S214"/>
    <mergeCell ref="T211:T214"/>
    <mergeCell ref="U211:U214"/>
    <mergeCell ref="V211:V214"/>
    <mergeCell ref="W211:W214"/>
    <mergeCell ref="X211:X214"/>
    <mergeCell ref="Y211:Y214"/>
    <mergeCell ref="G199:G203"/>
    <mergeCell ref="H204:H209"/>
    <mergeCell ref="I204:I209"/>
    <mergeCell ref="J204:J209"/>
    <mergeCell ref="K204:K209"/>
    <mergeCell ref="L204:L209"/>
    <mergeCell ref="M204:M209"/>
    <mergeCell ref="AF204:AF209"/>
    <mergeCell ref="AG204:AG209"/>
    <mergeCell ref="AH204:AH209"/>
    <mergeCell ref="AI204:AI209"/>
    <mergeCell ref="AJ204:AJ209"/>
    <mergeCell ref="AK204:AK209"/>
    <mergeCell ref="N205:N208"/>
    <mergeCell ref="O205:O208"/>
    <mergeCell ref="P205:P208"/>
    <mergeCell ref="Q205:Q208"/>
    <mergeCell ref="R205:R208"/>
    <mergeCell ref="S205:S208"/>
    <mergeCell ref="T205:T208"/>
    <mergeCell ref="U205:U208"/>
    <mergeCell ref="V205:V208"/>
    <mergeCell ref="W205:W208"/>
    <mergeCell ref="X205:X208"/>
    <mergeCell ref="Y205:Y208"/>
    <mergeCell ref="G204:G209"/>
    <mergeCell ref="H199:H203"/>
    <mergeCell ref="I199:I203"/>
    <mergeCell ref="J199:J203"/>
    <mergeCell ref="K199:K203"/>
    <mergeCell ref="L199:L203"/>
    <mergeCell ref="M199:M203"/>
    <mergeCell ref="AF199:AF203"/>
    <mergeCell ref="AG199:AG203"/>
    <mergeCell ref="AH199:AH203"/>
    <mergeCell ref="AI199:AI203"/>
    <mergeCell ref="AJ199:AJ203"/>
    <mergeCell ref="AK199:AK203"/>
    <mergeCell ref="N200:N202"/>
    <mergeCell ref="O200:O202"/>
    <mergeCell ref="P200:P202"/>
    <mergeCell ref="Q200:Q202"/>
    <mergeCell ref="R200:R202"/>
    <mergeCell ref="S200:S202"/>
    <mergeCell ref="T200:T202"/>
    <mergeCell ref="U200:U202"/>
    <mergeCell ref="V200:V202"/>
    <mergeCell ref="W200:W202"/>
    <mergeCell ref="X200:X202"/>
    <mergeCell ref="Y200:Y202"/>
    <mergeCell ref="G187:G192"/>
    <mergeCell ref="H193:H198"/>
    <mergeCell ref="I193:I198"/>
    <mergeCell ref="J193:J198"/>
    <mergeCell ref="K193:K198"/>
    <mergeCell ref="L193:L198"/>
    <mergeCell ref="M193:M198"/>
    <mergeCell ref="AF193:AF198"/>
    <mergeCell ref="AG193:AG198"/>
    <mergeCell ref="AH193:AH198"/>
    <mergeCell ref="AI193:AI198"/>
    <mergeCell ref="AJ193:AJ198"/>
    <mergeCell ref="AK193:AK198"/>
    <mergeCell ref="N194:N197"/>
    <mergeCell ref="O194:O197"/>
    <mergeCell ref="P194:P197"/>
    <mergeCell ref="Q194:Q197"/>
    <mergeCell ref="R194:R197"/>
    <mergeCell ref="S194:S197"/>
    <mergeCell ref="T194:T197"/>
    <mergeCell ref="U194:U197"/>
    <mergeCell ref="V194:V197"/>
    <mergeCell ref="W194:W197"/>
    <mergeCell ref="X194:X197"/>
    <mergeCell ref="Y194:Y197"/>
    <mergeCell ref="G193:G198"/>
    <mergeCell ref="H187:H192"/>
    <mergeCell ref="I187:I192"/>
    <mergeCell ref="J187:J192"/>
    <mergeCell ref="K187:K192"/>
    <mergeCell ref="L187:L192"/>
    <mergeCell ref="M187:M192"/>
    <mergeCell ref="AF187:AF192"/>
    <mergeCell ref="AG187:AG192"/>
    <mergeCell ref="AH187:AH192"/>
    <mergeCell ref="AI187:AI192"/>
    <mergeCell ref="AJ187:AJ192"/>
    <mergeCell ref="AK187:AK192"/>
    <mergeCell ref="N188:N191"/>
    <mergeCell ref="O188:O191"/>
    <mergeCell ref="P188:P191"/>
    <mergeCell ref="Q188:Q191"/>
    <mergeCell ref="R188:R191"/>
    <mergeCell ref="S188:S191"/>
    <mergeCell ref="T188:T191"/>
    <mergeCell ref="U188:U191"/>
    <mergeCell ref="V188:V191"/>
    <mergeCell ref="W188:W191"/>
    <mergeCell ref="X188:X191"/>
    <mergeCell ref="Y188:Y191"/>
    <mergeCell ref="G175:G180"/>
    <mergeCell ref="H181:H186"/>
    <mergeCell ref="I181:I186"/>
    <mergeCell ref="J181:J186"/>
    <mergeCell ref="K181:K186"/>
    <mergeCell ref="L181:L186"/>
    <mergeCell ref="M181:M186"/>
    <mergeCell ref="AF181:AF186"/>
    <mergeCell ref="AG181:AG186"/>
    <mergeCell ref="AH181:AH186"/>
    <mergeCell ref="AI181:AI186"/>
    <mergeCell ref="AJ181:AJ186"/>
    <mergeCell ref="AK181:AK186"/>
    <mergeCell ref="N182:N185"/>
    <mergeCell ref="O182:O185"/>
    <mergeCell ref="P182:P185"/>
    <mergeCell ref="Q182:Q185"/>
    <mergeCell ref="R182:R185"/>
    <mergeCell ref="S182:S185"/>
    <mergeCell ref="T182:T185"/>
    <mergeCell ref="U182:U185"/>
    <mergeCell ref="V182:V185"/>
    <mergeCell ref="W182:W185"/>
    <mergeCell ref="X182:X185"/>
    <mergeCell ref="Y182:Y185"/>
    <mergeCell ref="G181:G186"/>
    <mergeCell ref="H175:H180"/>
    <mergeCell ref="I175:I180"/>
    <mergeCell ref="J175:J180"/>
    <mergeCell ref="K175:K180"/>
    <mergeCell ref="L175:L180"/>
    <mergeCell ref="M175:M180"/>
    <mergeCell ref="AF175:AF180"/>
    <mergeCell ref="AG175:AG180"/>
    <mergeCell ref="AH175:AH180"/>
    <mergeCell ref="AI175:AI180"/>
    <mergeCell ref="AJ175:AJ180"/>
    <mergeCell ref="AK175:AK180"/>
    <mergeCell ref="N176:N179"/>
    <mergeCell ref="O176:O179"/>
    <mergeCell ref="P176:P179"/>
    <mergeCell ref="Q176:Q179"/>
    <mergeCell ref="R176:R179"/>
    <mergeCell ref="S176:S179"/>
    <mergeCell ref="T176:T179"/>
    <mergeCell ref="U176:U179"/>
    <mergeCell ref="V176:V179"/>
    <mergeCell ref="W176:W179"/>
    <mergeCell ref="X176:X179"/>
    <mergeCell ref="Y176:Y179"/>
    <mergeCell ref="G163:G168"/>
    <mergeCell ref="H169:H174"/>
    <mergeCell ref="I169:I174"/>
    <mergeCell ref="J169:J174"/>
    <mergeCell ref="K169:K174"/>
    <mergeCell ref="L169:L174"/>
    <mergeCell ref="M169:M174"/>
    <mergeCell ref="AF169:AF174"/>
    <mergeCell ref="AG169:AG174"/>
    <mergeCell ref="AH169:AH174"/>
    <mergeCell ref="AI169:AI174"/>
    <mergeCell ref="AJ169:AJ174"/>
    <mergeCell ref="AK169:AK174"/>
    <mergeCell ref="N170:N173"/>
    <mergeCell ref="O170:O173"/>
    <mergeCell ref="P170:P173"/>
    <mergeCell ref="Q170:Q173"/>
    <mergeCell ref="R170:R173"/>
    <mergeCell ref="S170:S173"/>
    <mergeCell ref="T170:T173"/>
    <mergeCell ref="U170:U173"/>
    <mergeCell ref="V170:V173"/>
    <mergeCell ref="W170:W173"/>
    <mergeCell ref="X170:X173"/>
    <mergeCell ref="Y170:Y173"/>
    <mergeCell ref="G169:G174"/>
    <mergeCell ref="H163:H168"/>
    <mergeCell ref="I163:I168"/>
    <mergeCell ref="J163:J168"/>
    <mergeCell ref="K163:K168"/>
    <mergeCell ref="L163:L168"/>
    <mergeCell ref="M163:M168"/>
    <mergeCell ref="AF163:AF168"/>
    <mergeCell ref="AG163:AG168"/>
    <mergeCell ref="AH163:AH168"/>
    <mergeCell ref="AI163:AI168"/>
    <mergeCell ref="AJ163:AJ168"/>
    <mergeCell ref="AK163:AK168"/>
    <mergeCell ref="N164:N167"/>
    <mergeCell ref="O164:O167"/>
    <mergeCell ref="P164:P167"/>
    <mergeCell ref="Q164:Q167"/>
    <mergeCell ref="R164:R167"/>
    <mergeCell ref="S164:S167"/>
    <mergeCell ref="T164:T167"/>
    <mergeCell ref="U164:U167"/>
    <mergeCell ref="V164:V167"/>
    <mergeCell ref="W164:W167"/>
    <mergeCell ref="X164:X167"/>
    <mergeCell ref="Y164:Y167"/>
    <mergeCell ref="G153:G157"/>
    <mergeCell ref="H158:H162"/>
    <mergeCell ref="I158:I162"/>
    <mergeCell ref="J158:J162"/>
    <mergeCell ref="K158:K162"/>
    <mergeCell ref="L158:L162"/>
    <mergeCell ref="M158:M162"/>
    <mergeCell ref="AF158:AF162"/>
    <mergeCell ref="AG158:AG162"/>
    <mergeCell ref="AH158:AH162"/>
    <mergeCell ref="AI158:AI162"/>
    <mergeCell ref="AJ158:AJ162"/>
    <mergeCell ref="AK158:AK162"/>
    <mergeCell ref="N159:N161"/>
    <mergeCell ref="O159:O161"/>
    <mergeCell ref="P159:P161"/>
    <mergeCell ref="Q159:Q161"/>
    <mergeCell ref="R159:R161"/>
    <mergeCell ref="S159:S161"/>
    <mergeCell ref="T159:T161"/>
    <mergeCell ref="U159:U161"/>
    <mergeCell ref="V159:V161"/>
    <mergeCell ref="W159:W161"/>
    <mergeCell ref="X159:X161"/>
    <mergeCell ref="Y159:Y161"/>
    <mergeCell ref="G158:G162"/>
    <mergeCell ref="H153:H157"/>
    <mergeCell ref="I153:I157"/>
    <mergeCell ref="J153:J157"/>
    <mergeCell ref="K153:K157"/>
    <mergeCell ref="L153:L157"/>
    <mergeCell ref="M153:M157"/>
    <mergeCell ref="AF153:AF157"/>
    <mergeCell ref="AG153:AG157"/>
    <mergeCell ref="AH153:AH157"/>
    <mergeCell ref="AI153:AI157"/>
    <mergeCell ref="AJ153:AJ157"/>
    <mergeCell ref="AK153:AK157"/>
    <mergeCell ref="N154:N156"/>
    <mergeCell ref="O154:O156"/>
    <mergeCell ref="P154:P156"/>
    <mergeCell ref="Q154:Q156"/>
    <mergeCell ref="R154:R156"/>
    <mergeCell ref="S154:S156"/>
    <mergeCell ref="T154:T156"/>
    <mergeCell ref="U154:U156"/>
    <mergeCell ref="V154:V156"/>
    <mergeCell ref="W154:W156"/>
    <mergeCell ref="X154:X156"/>
    <mergeCell ref="Y154:Y156"/>
    <mergeCell ref="AH147:AH152"/>
    <mergeCell ref="AI147:AI152"/>
    <mergeCell ref="AJ147:AJ152"/>
    <mergeCell ref="AK147:AK152"/>
    <mergeCell ref="N148:N151"/>
    <mergeCell ref="O148:O151"/>
    <mergeCell ref="P148:P151"/>
    <mergeCell ref="Q148:Q151"/>
    <mergeCell ref="R148:R151"/>
    <mergeCell ref="S148:S151"/>
    <mergeCell ref="T148:T151"/>
    <mergeCell ref="U148:U151"/>
    <mergeCell ref="V148:V151"/>
    <mergeCell ref="W148:W151"/>
    <mergeCell ref="X148:X151"/>
    <mergeCell ref="Y148:Y151"/>
    <mergeCell ref="G147:G152"/>
    <mergeCell ref="R143:R145"/>
    <mergeCell ref="S143:S145"/>
    <mergeCell ref="T143:T145"/>
    <mergeCell ref="U143:U145"/>
    <mergeCell ref="V143:V145"/>
    <mergeCell ref="W143:W145"/>
    <mergeCell ref="X143:X145"/>
    <mergeCell ref="Y143:Y145"/>
    <mergeCell ref="G142:G146"/>
    <mergeCell ref="H147:H152"/>
    <mergeCell ref="I147:I152"/>
    <mergeCell ref="J147:J152"/>
    <mergeCell ref="K147:K152"/>
    <mergeCell ref="L147:L152"/>
    <mergeCell ref="M147:M152"/>
    <mergeCell ref="AF147:AF152"/>
    <mergeCell ref="AG147:AG152"/>
    <mergeCell ref="AI136:AI141"/>
    <mergeCell ref="AJ136:AJ141"/>
    <mergeCell ref="AK136:AK141"/>
    <mergeCell ref="N137:N140"/>
    <mergeCell ref="O137:O140"/>
    <mergeCell ref="P137:P140"/>
    <mergeCell ref="Q137:Q140"/>
    <mergeCell ref="R137:R140"/>
    <mergeCell ref="S137:S140"/>
    <mergeCell ref="T137:T140"/>
    <mergeCell ref="U137:U140"/>
    <mergeCell ref="V137:V140"/>
    <mergeCell ref="W137:W140"/>
    <mergeCell ref="X137:X140"/>
    <mergeCell ref="Y137:Y140"/>
    <mergeCell ref="G136:G141"/>
    <mergeCell ref="H142:H146"/>
    <mergeCell ref="I142:I146"/>
    <mergeCell ref="J142:J146"/>
    <mergeCell ref="K142:K146"/>
    <mergeCell ref="L142:L146"/>
    <mergeCell ref="M142:M146"/>
    <mergeCell ref="AF142:AF146"/>
    <mergeCell ref="AG142:AG146"/>
    <mergeCell ref="AH142:AH146"/>
    <mergeCell ref="AI142:AI146"/>
    <mergeCell ref="AJ142:AJ146"/>
    <mergeCell ref="AK142:AK146"/>
    <mergeCell ref="N143:N145"/>
    <mergeCell ref="O143:O145"/>
    <mergeCell ref="P143:P145"/>
    <mergeCell ref="Q143:Q145"/>
    <mergeCell ref="S130:S134"/>
    <mergeCell ref="T130:T134"/>
    <mergeCell ref="U130:U134"/>
    <mergeCell ref="V130:V134"/>
    <mergeCell ref="W130:W134"/>
    <mergeCell ref="X130:X134"/>
    <mergeCell ref="Y130:Y134"/>
    <mergeCell ref="G129:G135"/>
    <mergeCell ref="H136:H141"/>
    <mergeCell ref="I136:I141"/>
    <mergeCell ref="J136:J141"/>
    <mergeCell ref="K136:K141"/>
    <mergeCell ref="L136:L141"/>
    <mergeCell ref="M136:M141"/>
    <mergeCell ref="AF136:AF141"/>
    <mergeCell ref="AG136:AG141"/>
    <mergeCell ref="AH136:AH141"/>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24:G128"/>
    <mergeCell ref="H129:H135"/>
    <mergeCell ref="I129:I135"/>
    <mergeCell ref="J129:J135"/>
    <mergeCell ref="K129:K135"/>
    <mergeCell ref="L129:L135"/>
    <mergeCell ref="M129:M135"/>
    <mergeCell ref="AF129:AF135"/>
    <mergeCell ref="AG129:AG135"/>
    <mergeCell ref="AH129:AH135"/>
    <mergeCell ref="AI129:AI135"/>
    <mergeCell ref="AJ129:AJ135"/>
    <mergeCell ref="AK129:AK135"/>
    <mergeCell ref="N130:N134"/>
    <mergeCell ref="O130:O134"/>
    <mergeCell ref="P130:P134"/>
    <mergeCell ref="Q130:Q134"/>
    <mergeCell ref="R130:R134"/>
    <mergeCell ref="G107: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H107:H112"/>
    <mergeCell ref="I107:I112"/>
    <mergeCell ref="J107:J112"/>
    <mergeCell ref="K107:K112"/>
    <mergeCell ref="L107:L112"/>
    <mergeCell ref="M107:M112"/>
    <mergeCell ref="AF107:AF112"/>
    <mergeCell ref="AG107:AG112"/>
    <mergeCell ref="AH107:AH112"/>
    <mergeCell ref="AI107:AI112"/>
    <mergeCell ref="AJ107:AJ112"/>
    <mergeCell ref="AK107:AK112"/>
    <mergeCell ref="N108:N111"/>
    <mergeCell ref="O108:O111"/>
    <mergeCell ref="P108:P111"/>
    <mergeCell ref="Q108:Q111"/>
    <mergeCell ref="R108:R111"/>
    <mergeCell ref="S108:S111"/>
    <mergeCell ref="T108:T111"/>
    <mergeCell ref="U108:U111"/>
    <mergeCell ref="V108:V111"/>
    <mergeCell ref="W108:W111"/>
    <mergeCell ref="X108:X111"/>
    <mergeCell ref="Y108:Y111"/>
    <mergeCell ref="G95:G100"/>
    <mergeCell ref="H101:H106"/>
    <mergeCell ref="I101:I106"/>
    <mergeCell ref="J101:J106"/>
    <mergeCell ref="K101:K106"/>
    <mergeCell ref="L101:L106"/>
    <mergeCell ref="M101:M106"/>
    <mergeCell ref="AF101:AF106"/>
    <mergeCell ref="AG101:AG106"/>
    <mergeCell ref="AH101:AH106"/>
    <mergeCell ref="AI101:AI106"/>
    <mergeCell ref="AJ101:AJ106"/>
    <mergeCell ref="AK101:AK106"/>
    <mergeCell ref="N102:N105"/>
    <mergeCell ref="O102:O105"/>
    <mergeCell ref="P102:P105"/>
    <mergeCell ref="Q102:Q105"/>
    <mergeCell ref="R102:R105"/>
    <mergeCell ref="S102:S105"/>
    <mergeCell ref="T102:T105"/>
    <mergeCell ref="U102:U105"/>
    <mergeCell ref="V102:V105"/>
    <mergeCell ref="W102:W105"/>
    <mergeCell ref="X102:X105"/>
    <mergeCell ref="Y102:Y105"/>
    <mergeCell ref="G101:G106"/>
    <mergeCell ref="H95:H100"/>
    <mergeCell ref="I95:I100"/>
    <mergeCell ref="J95:J100"/>
    <mergeCell ref="K95:K100"/>
    <mergeCell ref="L95:L100"/>
    <mergeCell ref="M95:M100"/>
    <mergeCell ref="AF95:AF100"/>
    <mergeCell ref="AG95:AG100"/>
    <mergeCell ref="AH95:AH100"/>
    <mergeCell ref="AI95:AI100"/>
    <mergeCell ref="AJ95:AJ100"/>
    <mergeCell ref="AK95:AK100"/>
    <mergeCell ref="N96:N99"/>
    <mergeCell ref="O96:O99"/>
    <mergeCell ref="P96:P99"/>
    <mergeCell ref="Q96:Q99"/>
    <mergeCell ref="R96:R99"/>
    <mergeCell ref="S96:S99"/>
    <mergeCell ref="T96:T99"/>
    <mergeCell ref="U96:U99"/>
    <mergeCell ref="V96:V99"/>
    <mergeCell ref="W96:W99"/>
    <mergeCell ref="X96:X99"/>
    <mergeCell ref="Y96:Y99"/>
    <mergeCell ref="G84:G88"/>
    <mergeCell ref="H89:H94"/>
    <mergeCell ref="I89:I94"/>
    <mergeCell ref="J89:J94"/>
    <mergeCell ref="K89:K94"/>
    <mergeCell ref="L89:L94"/>
    <mergeCell ref="M89:M94"/>
    <mergeCell ref="AF89:AF94"/>
    <mergeCell ref="AG89:AG94"/>
    <mergeCell ref="AH89:AH94"/>
    <mergeCell ref="AI89:AI94"/>
    <mergeCell ref="AJ89:AJ94"/>
    <mergeCell ref="AK89:AK94"/>
    <mergeCell ref="N90:N93"/>
    <mergeCell ref="O90:O93"/>
    <mergeCell ref="P90:P93"/>
    <mergeCell ref="Q90:Q93"/>
    <mergeCell ref="R90:R93"/>
    <mergeCell ref="S90:S93"/>
    <mergeCell ref="T90:T93"/>
    <mergeCell ref="U90:U93"/>
    <mergeCell ref="V90:V93"/>
    <mergeCell ref="W90:W93"/>
    <mergeCell ref="X90:X93"/>
    <mergeCell ref="Y90:Y93"/>
    <mergeCell ref="G89:G94"/>
    <mergeCell ref="H84:H88"/>
    <mergeCell ref="I84:I88"/>
    <mergeCell ref="J84:J88"/>
    <mergeCell ref="K84:K88"/>
    <mergeCell ref="L84:L88"/>
    <mergeCell ref="M84:M88"/>
    <mergeCell ref="AF84:AF88"/>
    <mergeCell ref="AG84:AG88"/>
    <mergeCell ref="AH84:AH88"/>
    <mergeCell ref="AI84:AI88"/>
    <mergeCell ref="AJ84:AJ88"/>
    <mergeCell ref="AK84:AK88"/>
    <mergeCell ref="N85:N87"/>
    <mergeCell ref="O85:O87"/>
    <mergeCell ref="P85:P87"/>
    <mergeCell ref="Q85:Q87"/>
    <mergeCell ref="R85:R87"/>
    <mergeCell ref="S85:S87"/>
    <mergeCell ref="T85:T87"/>
    <mergeCell ref="U85:U87"/>
    <mergeCell ref="V85:V87"/>
    <mergeCell ref="W85:W87"/>
    <mergeCell ref="X85:X87"/>
    <mergeCell ref="Y85:Y87"/>
    <mergeCell ref="G74:G78"/>
    <mergeCell ref="H79:H83"/>
    <mergeCell ref="I79:I83"/>
    <mergeCell ref="J79:J83"/>
    <mergeCell ref="K79:K83"/>
    <mergeCell ref="L79:L83"/>
    <mergeCell ref="M79:M83"/>
    <mergeCell ref="AF79:AF83"/>
    <mergeCell ref="AG79:AG83"/>
    <mergeCell ref="AH79:AH83"/>
    <mergeCell ref="AI79:AI83"/>
    <mergeCell ref="AJ79:AJ83"/>
    <mergeCell ref="AK79:AK83"/>
    <mergeCell ref="N80:N82"/>
    <mergeCell ref="O80:O82"/>
    <mergeCell ref="P80:P82"/>
    <mergeCell ref="Q80:Q82"/>
    <mergeCell ref="R80:R82"/>
    <mergeCell ref="S80:S82"/>
    <mergeCell ref="T80:T82"/>
    <mergeCell ref="U80:U82"/>
    <mergeCell ref="V80:V82"/>
    <mergeCell ref="W80:W82"/>
    <mergeCell ref="X80:X82"/>
    <mergeCell ref="Y80:Y82"/>
    <mergeCell ref="G79:G83"/>
    <mergeCell ref="H74:H78"/>
    <mergeCell ref="I74:I78"/>
    <mergeCell ref="J74:J78"/>
    <mergeCell ref="K74:K78"/>
    <mergeCell ref="L74:L78"/>
    <mergeCell ref="M74:M78"/>
    <mergeCell ref="AF74:AF78"/>
    <mergeCell ref="AG74:AG78"/>
    <mergeCell ref="AH74:AH78"/>
    <mergeCell ref="AI74:AI78"/>
    <mergeCell ref="AJ74:AJ78"/>
    <mergeCell ref="AK74:AK78"/>
    <mergeCell ref="N75:N77"/>
    <mergeCell ref="O75:O77"/>
    <mergeCell ref="P75:P77"/>
    <mergeCell ref="Q75:Q77"/>
    <mergeCell ref="R75:R77"/>
    <mergeCell ref="S75:S77"/>
    <mergeCell ref="T75:T77"/>
    <mergeCell ref="U75:U77"/>
    <mergeCell ref="V75:V77"/>
    <mergeCell ref="W75:W77"/>
    <mergeCell ref="X75:X77"/>
    <mergeCell ref="Y75:Y77"/>
    <mergeCell ref="G64:G68"/>
    <mergeCell ref="H69:H73"/>
    <mergeCell ref="I69:I73"/>
    <mergeCell ref="J69:J73"/>
    <mergeCell ref="K69:K73"/>
    <mergeCell ref="L69:L73"/>
    <mergeCell ref="M69:M73"/>
    <mergeCell ref="AF69:AF73"/>
    <mergeCell ref="AG69:AG73"/>
    <mergeCell ref="AH69:AH73"/>
    <mergeCell ref="AI69:AI73"/>
    <mergeCell ref="AJ69:AJ73"/>
    <mergeCell ref="AK69:AK73"/>
    <mergeCell ref="N70:N72"/>
    <mergeCell ref="O70:O72"/>
    <mergeCell ref="P70:P72"/>
    <mergeCell ref="Q70:Q72"/>
    <mergeCell ref="R70:R72"/>
    <mergeCell ref="S70:S72"/>
    <mergeCell ref="T70:T72"/>
    <mergeCell ref="U70:U72"/>
    <mergeCell ref="V70:V72"/>
    <mergeCell ref="W70:W72"/>
    <mergeCell ref="X70:X72"/>
    <mergeCell ref="Y70:Y72"/>
    <mergeCell ref="G69:G73"/>
    <mergeCell ref="H64:H68"/>
    <mergeCell ref="I64:I68"/>
    <mergeCell ref="J64:J68"/>
    <mergeCell ref="K64:K68"/>
    <mergeCell ref="L64:L68"/>
    <mergeCell ref="M64:M68"/>
    <mergeCell ref="AF64:AF68"/>
    <mergeCell ref="AG64:AG68"/>
    <mergeCell ref="AH64:AH68"/>
    <mergeCell ref="AI64:AI68"/>
    <mergeCell ref="AJ64:AJ68"/>
    <mergeCell ref="AK64:AK68"/>
    <mergeCell ref="N65:N67"/>
    <mergeCell ref="O65:O67"/>
    <mergeCell ref="P65:P67"/>
    <mergeCell ref="Q65:Q67"/>
    <mergeCell ref="R65:R67"/>
    <mergeCell ref="S65:S67"/>
    <mergeCell ref="T65:T67"/>
    <mergeCell ref="U65:U67"/>
    <mergeCell ref="V65:V67"/>
    <mergeCell ref="W65:W67"/>
    <mergeCell ref="X65:X67"/>
    <mergeCell ref="Y65:Y67"/>
    <mergeCell ref="G53:G57"/>
    <mergeCell ref="H58:H63"/>
    <mergeCell ref="I58:I63"/>
    <mergeCell ref="J58:J63"/>
    <mergeCell ref="K58:K63"/>
    <mergeCell ref="L58:L63"/>
    <mergeCell ref="M58:M63"/>
    <mergeCell ref="AF58:AF63"/>
    <mergeCell ref="AG58:AG63"/>
    <mergeCell ref="AH58:AH63"/>
    <mergeCell ref="AI58:AI63"/>
    <mergeCell ref="AJ58:AJ63"/>
    <mergeCell ref="AK58:AK63"/>
    <mergeCell ref="N59:N62"/>
    <mergeCell ref="O59:O62"/>
    <mergeCell ref="P59:P62"/>
    <mergeCell ref="Q59:Q62"/>
    <mergeCell ref="R59:R62"/>
    <mergeCell ref="S59:S62"/>
    <mergeCell ref="T59:T62"/>
    <mergeCell ref="U59:U62"/>
    <mergeCell ref="V59:V62"/>
    <mergeCell ref="W59:W62"/>
    <mergeCell ref="X59:X62"/>
    <mergeCell ref="Y59:Y62"/>
    <mergeCell ref="G58:G63"/>
    <mergeCell ref="H53:H57"/>
    <mergeCell ref="I53:I57"/>
    <mergeCell ref="J53:J57"/>
    <mergeCell ref="K53:K57"/>
    <mergeCell ref="L53:L57"/>
    <mergeCell ref="M53:M57"/>
    <mergeCell ref="AF53:AF57"/>
    <mergeCell ref="AG53:AG57"/>
    <mergeCell ref="AH53:AH57"/>
    <mergeCell ref="AI53:AI57"/>
    <mergeCell ref="AJ53:AJ57"/>
    <mergeCell ref="AK53:AK57"/>
    <mergeCell ref="N54:N56"/>
    <mergeCell ref="O54:O56"/>
    <mergeCell ref="P54:P56"/>
    <mergeCell ref="Q54:Q56"/>
    <mergeCell ref="R54:R56"/>
    <mergeCell ref="S54:S56"/>
    <mergeCell ref="T54:T56"/>
    <mergeCell ref="U54:U56"/>
    <mergeCell ref="V54:V56"/>
    <mergeCell ref="W54:W56"/>
    <mergeCell ref="X54:X56"/>
    <mergeCell ref="Y54:Y56"/>
    <mergeCell ref="G42:G47"/>
    <mergeCell ref="H48:H52"/>
    <mergeCell ref="I48:I52"/>
    <mergeCell ref="J48:J52"/>
    <mergeCell ref="K48:K52"/>
    <mergeCell ref="L48:L52"/>
    <mergeCell ref="M48:M52"/>
    <mergeCell ref="AF48:AF52"/>
    <mergeCell ref="AG48:AG52"/>
    <mergeCell ref="AH48:AH52"/>
    <mergeCell ref="AI48:AI52"/>
    <mergeCell ref="AJ48:AJ52"/>
    <mergeCell ref="AK48:AK52"/>
    <mergeCell ref="N49:N51"/>
    <mergeCell ref="O49:O51"/>
    <mergeCell ref="P49:P51"/>
    <mergeCell ref="Q49:Q51"/>
    <mergeCell ref="R49:R51"/>
    <mergeCell ref="S49:S51"/>
    <mergeCell ref="T49:T51"/>
    <mergeCell ref="U49:U51"/>
    <mergeCell ref="V49:V51"/>
    <mergeCell ref="W49:W51"/>
    <mergeCell ref="X49:X51"/>
    <mergeCell ref="Y49:Y51"/>
    <mergeCell ref="G48:G52"/>
    <mergeCell ref="H42:H47"/>
    <mergeCell ref="I42:I47"/>
    <mergeCell ref="J42:J47"/>
    <mergeCell ref="K42:K47"/>
    <mergeCell ref="L42:L47"/>
    <mergeCell ref="M42:M47"/>
    <mergeCell ref="AF42:AF47"/>
    <mergeCell ref="AG42:AG47"/>
    <mergeCell ref="AH42:AH47"/>
    <mergeCell ref="AI42:AI47"/>
    <mergeCell ref="AJ42:AJ47"/>
    <mergeCell ref="AK42:AK47"/>
    <mergeCell ref="N43:N46"/>
    <mergeCell ref="O43:O46"/>
    <mergeCell ref="P43:P46"/>
    <mergeCell ref="Q43:Q46"/>
    <mergeCell ref="R43:R46"/>
    <mergeCell ref="S43:S46"/>
    <mergeCell ref="T43:T46"/>
    <mergeCell ref="U43:U46"/>
    <mergeCell ref="V43:V46"/>
    <mergeCell ref="W43:W46"/>
    <mergeCell ref="X43:X46"/>
    <mergeCell ref="Y43:Y46"/>
    <mergeCell ref="G30:G36"/>
    <mergeCell ref="H37:H41"/>
    <mergeCell ref="I37:I41"/>
    <mergeCell ref="J37:J41"/>
    <mergeCell ref="K37:K41"/>
    <mergeCell ref="L37:L41"/>
    <mergeCell ref="M37:M41"/>
    <mergeCell ref="AF37:AF41"/>
    <mergeCell ref="AG37:AG41"/>
    <mergeCell ref="AH37:AH41"/>
    <mergeCell ref="AI37:AI41"/>
    <mergeCell ref="AJ37:AJ41"/>
    <mergeCell ref="AK37:AK41"/>
    <mergeCell ref="N38:N40"/>
    <mergeCell ref="O38:O40"/>
    <mergeCell ref="P38:P40"/>
    <mergeCell ref="Q38:Q40"/>
    <mergeCell ref="R38:R40"/>
    <mergeCell ref="S38:S40"/>
    <mergeCell ref="T38:T40"/>
    <mergeCell ref="U38:U40"/>
    <mergeCell ref="V38:V40"/>
    <mergeCell ref="W38:W40"/>
    <mergeCell ref="X38:X40"/>
    <mergeCell ref="Y38:Y40"/>
    <mergeCell ref="G37:G41"/>
    <mergeCell ref="H30:H36"/>
    <mergeCell ref="I30:I36"/>
    <mergeCell ref="J30:J36"/>
    <mergeCell ref="K30:K36"/>
    <mergeCell ref="L30:L36"/>
    <mergeCell ref="M30:M36"/>
    <mergeCell ref="AF30:AF36"/>
    <mergeCell ref="AG30:AG36"/>
    <mergeCell ref="AH30:AH36"/>
    <mergeCell ref="AI30:AI36"/>
    <mergeCell ref="AJ30:AJ36"/>
    <mergeCell ref="AK30:AK36"/>
    <mergeCell ref="N31:N35"/>
    <mergeCell ref="O31:O35"/>
    <mergeCell ref="P31:P35"/>
    <mergeCell ref="Q31:Q35"/>
    <mergeCell ref="R31:R35"/>
    <mergeCell ref="S31:S35"/>
    <mergeCell ref="T31:T35"/>
    <mergeCell ref="U31:U35"/>
    <mergeCell ref="V31:V35"/>
    <mergeCell ref="W31:W35"/>
    <mergeCell ref="X31:X35"/>
    <mergeCell ref="Y31:Y35"/>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489:P491"/>
    <mergeCell ref="Q489:Q491"/>
    <mergeCell ref="R489:R491"/>
    <mergeCell ref="G488:G492"/>
    <mergeCell ref="AJ488:AJ492"/>
    <mergeCell ref="AK488:AK492"/>
    <mergeCell ref="I588:K588"/>
    <mergeCell ref="F488:F588"/>
    <mergeCell ref="AF488:AF492"/>
    <mergeCell ref="AG488:AG492"/>
    <mergeCell ref="AH488:AH492"/>
    <mergeCell ref="AI488:AI492"/>
    <mergeCell ref="S489:S491"/>
    <mergeCell ref="T489:T491"/>
    <mergeCell ref="U489:U491"/>
    <mergeCell ref="V489:V491"/>
    <mergeCell ref="W489:W491"/>
    <mergeCell ref="X489:X491"/>
    <mergeCell ref="Y489:Y491"/>
    <mergeCell ref="H488:H492"/>
    <mergeCell ref="I488:I492"/>
    <mergeCell ref="J488:J492"/>
    <mergeCell ref="K488:K492"/>
    <mergeCell ref="L488:L492"/>
    <mergeCell ref="M488:M492"/>
    <mergeCell ref="N489:N491"/>
    <mergeCell ref="O489:O491"/>
    <mergeCell ref="H493:H497"/>
    <mergeCell ref="I493:I497"/>
    <mergeCell ref="J493:J497"/>
    <mergeCell ref="K493:K497"/>
    <mergeCell ref="L493:L497"/>
    <mergeCell ref="P390:P392"/>
    <mergeCell ref="Q390:Q392"/>
    <mergeCell ref="R390:R392"/>
    <mergeCell ref="G389:G393"/>
    <mergeCell ref="AJ389:AJ393"/>
    <mergeCell ref="AK389:AK393"/>
    <mergeCell ref="I487:K487"/>
    <mergeCell ref="F389:F487"/>
    <mergeCell ref="AF389:AF393"/>
    <mergeCell ref="AG389:AG393"/>
    <mergeCell ref="AH389:AH393"/>
    <mergeCell ref="AI389:AI393"/>
    <mergeCell ref="S390:S392"/>
    <mergeCell ref="T390:T392"/>
    <mergeCell ref="U390:U392"/>
    <mergeCell ref="V390:V392"/>
    <mergeCell ref="W390:W392"/>
    <mergeCell ref="X390:X392"/>
    <mergeCell ref="Y390:Y392"/>
    <mergeCell ref="H389:H393"/>
    <mergeCell ref="I389:I393"/>
    <mergeCell ref="J389:J393"/>
    <mergeCell ref="K389:K393"/>
    <mergeCell ref="L389:L393"/>
    <mergeCell ref="M389:M393"/>
    <mergeCell ref="N390:N392"/>
    <mergeCell ref="O390:O392"/>
    <mergeCell ref="H394:H398"/>
    <mergeCell ref="I394:I398"/>
    <mergeCell ref="J394:J398"/>
    <mergeCell ref="K394:K398"/>
    <mergeCell ref="L394:L398"/>
    <mergeCell ref="P249:P251"/>
    <mergeCell ref="Q249:Q251"/>
    <mergeCell ref="R249:R251"/>
    <mergeCell ref="G248:G252"/>
    <mergeCell ref="AJ248:AJ252"/>
    <mergeCell ref="AK248:AK252"/>
    <mergeCell ref="I388:K388"/>
    <mergeCell ref="F248:F388"/>
    <mergeCell ref="AF248:AF252"/>
    <mergeCell ref="AG248:AG252"/>
    <mergeCell ref="AH248:AH252"/>
    <mergeCell ref="AI248:AI252"/>
    <mergeCell ref="S249:S251"/>
    <mergeCell ref="T249:T251"/>
    <mergeCell ref="U249:U251"/>
    <mergeCell ref="V249:V251"/>
    <mergeCell ref="W249:W251"/>
    <mergeCell ref="X249:X251"/>
    <mergeCell ref="Y249:Y251"/>
    <mergeCell ref="H248:H252"/>
    <mergeCell ref="I248:I252"/>
    <mergeCell ref="J248:J252"/>
    <mergeCell ref="K248:K252"/>
    <mergeCell ref="L248:L252"/>
    <mergeCell ref="M248:M252"/>
    <mergeCell ref="N249:N251"/>
    <mergeCell ref="O249:O251"/>
    <mergeCell ref="H253:H257"/>
    <mergeCell ref="I253:I257"/>
    <mergeCell ref="J253:J257"/>
    <mergeCell ref="K253:K257"/>
    <mergeCell ref="L253:L257"/>
    <mergeCell ref="AK119:AK123"/>
    <mergeCell ref="I247:K247"/>
    <mergeCell ref="F119:F247"/>
    <mergeCell ref="AF119:AF123"/>
    <mergeCell ref="AG119:AG123"/>
    <mergeCell ref="AH119:AH123"/>
    <mergeCell ref="AI119:AI123"/>
    <mergeCell ref="S120:S122"/>
    <mergeCell ref="T120:T122"/>
    <mergeCell ref="U120:U122"/>
    <mergeCell ref="V120:V122"/>
    <mergeCell ref="W120:W122"/>
    <mergeCell ref="X120:X122"/>
    <mergeCell ref="Y120:Y122"/>
    <mergeCell ref="H119:H123"/>
    <mergeCell ref="I119:I123"/>
    <mergeCell ref="J119:J123"/>
    <mergeCell ref="K119:K123"/>
    <mergeCell ref="L119:L123"/>
    <mergeCell ref="M119:M123"/>
    <mergeCell ref="N120:N122"/>
    <mergeCell ref="O120:O122"/>
    <mergeCell ref="H124:H128"/>
    <mergeCell ref="I124:I128"/>
    <mergeCell ref="J124:J128"/>
    <mergeCell ref="K124:K128"/>
    <mergeCell ref="L124:L128"/>
    <mergeCell ref="M124:M128"/>
    <mergeCell ref="AF124:AF128"/>
    <mergeCell ref="AG124:AG128"/>
    <mergeCell ref="AH124:AH128"/>
    <mergeCell ref="AI124:AI128"/>
    <mergeCell ref="F5:K5"/>
    <mergeCell ref="P16:P18"/>
    <mergeCell ref="Q16:Q18"/>
    <mergeCell ref="R16:R18"/>
    <mergeCell ref="G15:G19"/>
    <mergeCell ref="AJ15:AJ19"/>
    <mergeCell ref="AK15:AK19"/>
    <mergeCell ref="I118:K118"/>
    <mergeCell ref="F15:F118"/>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594:J59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593:J593"/>
    <mergeCell ref="F592:J592"/>
    <mergeCell ref="P120:P122"/>
    <mergeCell ref="Q120:Q122"/>
    <mergeCell ref="R120:R122"/>
    <mergeCell ref="G119:G123"/>
    <mergeCell ref="AJ119:AJ123"/>
  </mergeCells>
  <dataValidations count="2963">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M583">
      <formula1>900</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M383">
      <formula1>900</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M577">
      <formula1>900</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decimal" allowBlank="1" showErrorMessage="1" errorTitle="Ошибка" error="Допускается ввод только неотрицательных чисел!" sqref="AE573">
      <formula1>0</formula1>
      <formula2>9.99999999999999E+23</formula2>
    </dataValidation>
    <dataValidation type="decimal" allowBlank="1" showErrorMessage="1" errorTitle="Ошибка" error="Допускается ввод только неотрицательных чисел!" sqref="AC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M571">
      <formula1>900</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M566">
      <formula1>900</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M561">
      <formula1>900</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M555">
      <formula1>900</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M550">
      <formula1>900</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M545">
      <formula1>900</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decimal" allowBlank="1" showErrorMessage="1" errorTitle="Ошибка" error="Допускается ввод только неотрицательных чисел!" sqref="AE531">
      <formula1>0</formula1>
      <formula2>9.99999999999999E+23</formula2>
    </dataValidation>
    <dataValidation type="decimal" allowBlank="1" showErrorMessage="1" errorTitle="Ошибка" error="Допускается ввод только неотрицательных чисел!" sqref="AC531">
      <formula1>0</formula1>
      <formula2>9.99999999999999E+23</formula2>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decimal" allowBlank="1" showErrorMessage="1" errorTitle="Ошибка" error="Допускается ввод только неотрицательных чисел!" sqref="AE483">
      <formula1>0</formula1>
      <formula2>9.99999999999999E+23</formula2>
    </dataValidation>
    <dataValidation type="decimal" allowBlank="1" showErrorMessage="1" errorTitle="Ошибка" error="Допускается ввод только неотрицательных чисел!" sqref="AC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M481">
      <formula1>900</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M475">
      <formula1>900</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M470">
      <formula1>900</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M464">
      <formula1>900</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M459">
      <formula1>900</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M378">
      <formula1>900</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decimal" allowBlank="1" showErrorMessage="1" errorTitle="Ошибка" error="Допускается ввод только неотрицательных чисел!" sqref="AE347">
      <formula1>0</formula1>
      <formula2>9.99999999999999E+23</formula2>
    </dataValidation>
    <dataValidation type="decimal" allowBlank="1" showErrorMessage="1" errorTitle="Ошибка" error="Допускается ввод только неотрицательных чисел!" sqref="AC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M373">
      <formula1>900</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M368">
      <formula1>900</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decimal" allowBlank="1" showErrorMessage="1" errorTitle="Ошибка" error="Допускается ввод только неотрицательных чисел!" sqref="AE364">
      <formula1>0</formula1>
      <formula2>9.99999999999999E+23</formula2>
    </dataValidation>
    <dataValidation type="decimal" allowBlank="1" showErrorMessage="1" errorTitle="Ошибка" error="Допускается ввод только неотрицательных чисел!" sqref="AC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M362">
      <formula1>900</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textLength" operator="lessThanOrEqual" allowBlank="1" showInputMessage="1" showErrorMessage="1" errorTitle="Ошибка" error="Допускается ввод не более 900 символов!" sqref="M539">
      <formula1>900</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M534">
      <formula1>900</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decimal" allowBlank="1" showErrorMessage="1" errorTitle="Ошибка" error="Допускается ввод только неотрицательных чисел!" sqref="AE530">
      <formula1>0</formula1>
      <formula2>9.99999999999999E+23</formula2>
    </dataValidation>
    <dataValidation type="decimal" allowBlank="1" showErrorMessage="1" errorTitle="Ошибка" error="Допускается ввод только неотрицательных чисел!" sqref="AC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M528">
      <formula1>900</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decimal" allowBlank="1" showErrorMessage="1" errorTitle="Ошибка" error="Допускается ввод только неотрицательных чисел!" sqref="AE525">
      <formula1>0</formula1>
      <formula2>9.99999999999999E+23</formula2>
    </dataValidation>
    <dataValidation type="decimal" allowBlank="1" showErrorMessage="1" errorTitle="Ошибка" error="Допускается ввод только неотрицательных чисел!" sqref="AC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M522">
      <formula1>900</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decimal" allowBlank="1" showErrorMessage="1" errorTitle="Ошибка" error="Допускается ввод только неотрицательных чисел!" sqref="AE518">
      <formula1>0</formula1>
      <formula2>9.99999999999999E+23</formula2>
    </dataValidation>
    <dataValidation type="decimal" allowBlank="1" showErrorMessage="1" errorTitle="Ошибка" error="Допускается ввод только неотрицательных чисел!" sqref="AC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textLength" operator="lessThanOrEqual" allowBlank="1" showInputMessage="1" showErrorMessage="1" errorTitle="Ошибка" error="Допускается ввод не более 900 символов!" sqref="M516">
      <formula1>900</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decimal" allowBlank="1" showErrorMessage="1" errorTitle="Ошибка" error="Допускается ввод только неотрицательных чисел!" sqref="AE513">
      <formula1>0</formula1>
      <formula2>9.99999999999999E+23</formula2>
    </dataValidation>
    <dataValidation type="decimal" allowBlank="1" showErrorMessage="1" errorTitle="Ошибка" error="Допускается ввод только неотрицательных чисел!" sqref="AC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M510">
      <formula1>900</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M415">
      <formula1>900</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M410">
      <formula1>900</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M399">
      <formula1>900</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textLength" operator="lessThanOrEqual" allowBlank="1" showInputMessage="1" showErrorMessage="1" errorTitle="Ошибка" error="Допускается ввод не более 900 символов!" sqref="M394">
      <formula1>900</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M350">
      <formula1>900</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M344">
      <formula1>900</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M276">
      <formula1>900</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M265">
      <formula1>900</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M258">
      <formula1>900</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textLength" operator="lessThanOrEqual" allowBlank="1" showInputMessage="1" showErrorMessage="1" errorTitle="Ошибка" error="Допускается ввод не более 900 символов!" sqref="M253">
      <formula1>900</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M193">
      <formula1>900</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decimal" allowBlank="1" showErrorMessage="1" errorTitle="Ошибка" error="Допускается ввод только неотрицательных чисел!" sqref="AE190">
      <formula1>0</formula1>
      <formula2>9.99999999999999E+23</formula2>
    </dataValidation>
    <dataValidation type="decimal" allowBlank="1" showErrorMessage="1" errorTitle="Ошибка" error="Допускается ввод только неотрицательных чисел!" sqref="AC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M187">
      <formula1>900</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M181">
      <formula1>900</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M163">
      <formula1>900</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M158">
      <formula1>900</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M153">
      <formula1>900</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M147">
      <formula1>900</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M124">
      <formula1>900</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M84">
      <formula1>900</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M79">
      <formula1>900</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M69">
      <formula1>900</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M488">
      <formula1>900</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M389">
      <formula1>900</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M248">
      <formula1>900</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M119">
      <formula1>900</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decimal" allowBlank="1" showErrorMessage="1" errorTitle="Ошибка" error="Допускается ввод только неотрицательных чисел!" sqref="AC45">
      <formula1>0</formula1>
      <formula2>9.99999999999999E+23</formula2>
    </dataValidation>
    <dataValidation type="decimal" allowBlank="1" showErrorMessage="1" errorTitle="Ошибка" error="Допускается ввод только неотрицательных чисел!" sqref="AE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textLength" operator="lessThanOrEqual" allowBlank="1" showInputMessage="1" showErrorMessage="1" errorTitle="Ошибка" error="Допускается ввод не более 900 символов!" sqref="M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textLength" operator="lessThanOrEqual" allowBlank="1" showInputMessage="1" showErrorMessage="1" errorTitle="Ошибка" error="Допускается ввод не более 900 символов!" sqref="M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decimal" allowBlank="1" showErrorMessage="1" errorTitle="Ошибка" error="Допускается ввод только неотрицательных чисел!" sqref="AC61">
      <formula1>0</formula1>
      <formula2>9.99999999999999E+23</formula2>
    </dataValidation>
    <dataValidation type="decimal" allowBlank="1" showErrorMessage="1" errorTitle="Ошибка" error="Допускается ввод только неотрицательных чисел!" sqref="AE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textLength" operator="lessThanOrEqual" allowBlank="1" showInputMessage="1" showErrorMessage="1" errorTitle="Ошибка" error="Допускается ввод не более 900 символов!" sqref="M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textLength" operator="lessThanOrEqual" allowBlank="1" showInputMessage="1" showErrorMessage="1" errorTitle="Ошибка" error="Допускается ввод не более 900 символов!" sqref="M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textLength" operator="lessThanOrEqual" allowBlank="1" showInputMessage="1" showErrorMessage="1" errorTitle="Ошибка" error="Допускается ввод не более 900 символов!" sqref="M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decimal" allowBlank="1" showErrorMessage="1" errorTitle="Ошибка" error="Допускается ввод только неотрицательных чисел!" sqref="AC228">
      <formula1>0</formula1>
      <formula2>9.99999999999999E+23</formula2>
    </dataValidation>
    <dataValidation type="decimal" allowBlank="1" showErrorMessage="1" errorTitle="Ошибка" error="Допускается ввод только неотрицательных чисел!" sqref="AE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textLength" operator="lessThanOrEqual" allowBlank="1" showInputMessage="1" showErrorMessage="1" errorTitle="Ошибка" error="Допускается ввод не более 900 символов!" sqref="M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textLength" operator="lessThanOrEqual" allowBlank="1" showInputMessage="1" showErrorMessage="1" errorTitle="Ошибка" error="Допускается ввод не более 900 символов!" sqref="M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textLength" operator="lessThanOrEqual" allowBlank="1" showInputMessage="1" showErrorMessage="1" errorTitle="Ошибка" error="Допускается ввод не более 900 символов!" sqref="M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decimal" allowBlank="1" showErrorMessage="1" errorTitle="Ошибка" error="Допускается ввод только неотрицательных чисел!" sqref="AC294">
      <formula1>0</formula1>
      <formula2>9.99999999999999E+23</formula2>
    </dataValidation>
    <dataValidation type="decimal" allowBlank="1" showErrorMessage="1" errorTitle="Ошибка" error="Допускается ввод только неотрицательных чисел!" sqref="AE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textLength" operator="lessThanOrEqual" allowBlank="1" showInputMessage="1" showErrorMessage="1" errorTitle="Ошибка" error="Допускается ввод не более 900 символов!" sqref="M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textLength" operator="lessThanOrEqual" allowBlank="1" showInputMessage="1" showErrorMessage="1" errorTitle="Ошибка" error="Допускается ввод не более 900 символов!" sqref="M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decimal" allowBlank="1" showErrorMessage="1" errorTitle="Ошибка" error="Допускается ввод только неотрицательных чисел!" sqref="AC306">
      <formula1>0</formula1>
      <formula2>9.99999999999999E+23</formula2>
    </dataValidation>
    <dataValidation type="decimal" allowBlank="1" showErrorMessage="1" errorTitle="Ошибка" error="Допускается ввод только неотрицательных чисел!" sqref="AE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textLength" operator="lessThanOrEqual" allowBlank="1" showInputMessage="1" showErrorMessage="1" errorTitle="Ошибка" error="Допускается ввод не более 900 символов!" sqref="M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decimal" allowBlank="1" showErrorMessage="1" errorTitle="Ошибка" error="Допускается ввод только неотрицательных чисел!" sqref="AC312">
      <formula1>0</formula1>
      <formula2>9.99999999999999E+23</formula2>
    </dataValidation>
    <dataValidation type="decimal" allowBlank="1" showErrorMessage="1" errorTitle="Ошибка" error="Допускается ввод только неотрицательных чисел!" sqref="AE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textLength" operator="lessThanOrEqual" allowBlank="1" showInputMessage="1" showErrorMessage="1" errorTitle="Ошибка" error="Допускается ввод не более 900 символов!" sqref="M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textLength" operator="lessThanOrEqual" allowBlank="1" showInputMessage="1" showErrorMessage="1" errorTitle="Ошибка" error="Допускается ввод не более 900 символов!" sqref="M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textLength" operator="lessThanOrEqual" allowBlank="1" showInputMessage="1" showErrorMessage="1" errorTitle="Ошибка" error="Допускается ввод не более 900 символов!" sqref="M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textLength" operator="lessThanOrEqual" allowBlank="1" showInputMessage="1" showErrorMessage="1" errorTitle="Ошибка" error="Допускается ввод не более 900 символов!" sqref="M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textLength" operator="lessThanOrEqual" allowBlank="1" showInputMessage="1" showErrorMessage="1" errorTitle="Ошибка" error="Допускается ввод не более 900 символов!" sqref="M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textLength" operator="lessThanOrEqual" allowBlank="1" showInputMessage="1" showErrorMessage="1" errorTitle="Ошибка" error="Допускается ввод не более 900 символов!" sqref="M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textLength" operator="lessThanOrEqual" allowBlank="1" showInputMessage="1" showErrorMessage="1" errorTitle="Ошибка" error="Допускается ввод не более 900 символов!" sqref="M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textLength" operator="lessThanOrEqual" allowBlank="1" showInputMessage="1" showErrorMessage="1" errorTitle="Ошибка" error="Допускается ввод не более 900 символов!" sqref="M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textLength" operator="lessThanOrEqual" allowBlank="1" showInputMessage="1" showErrorMessage="1" errorTitle="Ошибка" error="Допускается ввод не более 900 символов!" sqref="M448">
      <formula1>900</formula1>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textLength" operator="lessThanOrEqual" allowBlank="1" showInputMessage="1" showErrorMessage="1" errorTitle="Ошибка" error="Допускается ввод не более 900 символов!" sqref="M454">
      <formula1>900</formula1>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decimal" allowBlank="1" showErrorMessage="1" errorTitle="Ошибка" error="Допускается ввод только неотрицательных чисел!" sqref="AC456">
      <formula1>0</formula1>
      <formula2>9.99999999999999E+23</formula2>
    </dataValidation>
    <dataValidation type="decimal" allowBlank="1" showErrorMessage="1" errorTitle="Ошибка" error="Допускается ввод только неотрицательных чисел!" sqref="AE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textLength" operator="lessThanOrEqual" allowBlank="1" showInputMessage="1" showErrorMessage="1" errorTitle="Ошибка" error="Допускается ввод не более 900 символов!" sqref="M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decimal" allowBlank="1" showErrorMessage="1" errorTitle="Ошибка" error="Допускается ввод только неотрицательных чисел!" sqref="AC495">
      <formula1>0</formula1>
      <formula2>9.99999999999999E+23</formula2>
    </dataValidation>
    <dataValidation type="decimal" allowBlank="1" showErrorMessage="1" errorTitle="Ошибка" error="Допускается ввод только неотрицательных чисел!" sqref="AE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textLength" operator="lessThanOrEqual" allowBlank="1" showInputMessage="1" showErrorMessage="1" errorTitle="Ошибка" error="Допускается ввод не более 900 символов!" sqref="M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decimal" allowBlank="1" showErrorMessage="1" errorTitle="Ошибка" error="Допускается ввод только неотрицательных чисел!" sqref="AC501">
      <formula1>0</formula1>
      <formula2>9.99999999999999E+23</formula2>
    </dataValidation>
    <dataValidation type="decimal" allowBlank="1" showErrorMessage="1" errorTitle="Ошибка" error="Допускается ввод только неотрицательных чисел!" sqref="AE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textLength" operator="lessThanOrEqual" allowBlank="1" showInputMessage="1" showErrorMessage="1" errorTitle="Ошибка" error="Допускается ввод не более 900 символов!" sqref="M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textLength" operator="lessThanOrEqual" allowBlank="1" showInputMessage="1" showErrorMessage="1" errorTitle="Ошибка" error="Допускается ввод не более 900 символов!" sqref="M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decimal" allowBlank="1" showErrorMessage="1" errorTitle="Ошибка" error="Допускается ввод только неотрицательных чисел!" sqref="AC359">
      <formula1>0</formula1>
      <formula2>9.99999999999999E+23</formula2>
    </dataValidation>
    <dataValidation type="decimal" allowBlank="1" showErrorMessage="1" errorTitle="Ошибка" error="Допускается ввод только неотрицательных чисел!" sqref="AE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2036" hidden="1" customWidth="1"/>
    <col min="4" max="4" width="4.140625" style="2056" hidden="1" customWidth="1"/>
    <col min="5" max="5" width="3" style="2062" customWidth="1"/>
    <col min="6" max="6" width="6" style="2062" customWidth="1"/>
    <col min="7" max="7" width="60" style="2062" customWidth="1"/>
    <col min="8" max="9" width="21.7109375" style="2062" hidden="1" customWidth="1"/>
    <col min="10" max="10" width="0.140625" style="2062" customWidth="1"/>
    <col min="11" max="16" width="21.7109375" style="2062" hidden="1" customWidth="1"/>
    <col min="17" max="17" width="0.140625" style="2062" customWidth="1"/>
    <col min="18" max="18" width="1" style="2062" customWidth="1"/>
    <col min="19" max="29" width="8" style="2062" customWidth="1"/>
    <col min="30" max="30" width="9.140625" style="2062" hidden="1"/>
  </cols>
  <sheetData>
    <row r="1" spans="1:30" s="2056" customFormat="1" ht="10.5" hidden="1" customHeight="1">
      <c r="A1" s="1084"/>
      <c r="B1" s="1084"/>
      <c r="C1" s="1084"/>
      <c r="E1" s="473"/>
      <c r="AD1" s="1078" t="s">
        <v>14</v>
      </c>
    </row>
    <row r="2" spans="1:30" ht="10.5" hidden="1" customHeight="1">
      <c r="AD2" s="1073">
        <v>0</v>
      </c>
    </row>
    <row r="3" spans="1:30" s="2071" customFormat="1" ht="10.5" hidden="1" customHeight="1">
      <c r="A3" s="1084"/>
      <c r="B3" s="1084"/>
      <c r="C3" s="1084"/>
      <c r="D3" s="1078"/>
      <c r="E3" s="298"/>
      <c r="AD3" s="1074">
        <v>0</v>
      </c>
    </row>
    <row r="4" spans="1:30" ht="3" customHeight="1">
      <c r="AD4" s="1073">
        <v>3</v>
      </c>
    </row>
    <row r="5" spans="1:30" ht="27.4" customHeight="1">
      <c r="F5" s="243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37"/>
      <c r="H5" s="2437"/>
      <c r="I5" s="2437"/>
      <c r="J5" s="2437"/>
      <c r="K5" s="2025"/>
      <c r="L5" s="2025"/>
      <c r="M5" s="2025"/>
      <c r="N5" s="2025"/>
      <c r="O5" s="2025"/>
      <c r="P5" s="2025"/>
      <c r="Q5" s="2025"/>
      <c r="AD5" s="1073">
        <v>26</v>
      </c>
    </row>
    <row r="6" spans="1:30" ht="10.5" customHeight="1">
      <c r="F6" s="2409" t="str">
        <f>IF(org=0,"Не определено",org)</f>
        <v>ПАО "ТГК-1" филиал "Невский"</v>
      </c>
      <c r="G6" s="2409"/>
      <c r="H6" s="2409"/>
      <c r="I6" s="2409"/>
      <c r="J6" s="2409"/>
      <c r="K6" s="2026"/>
      <c r="L6" s="2026"/>
      <c r="M6" s="2026"/>
      <c r="N6" s="2026"/>
      <c r="O6" s="2026"/>
      <c r="P6" s="2026"/>
      <c r="Q6" s="2026"/>
      <c r="AD6" s="1073">
        <v>10</v>
      </c>
    </row>
    <row r="7" spans="1:30" ht="11.45" customHeight="1">
      <c r="E7" s="1088"/>
      <c r="F7" s="1145"/>
      <c r="G7" s="1145"/>
      <c r="H7" s="1145"/>
      <c r="I7" s="1145"/>
      <c r="J7" s="1145"/>
      <c r="K7" s="2038" t="s">
        <v>22</v>
      </c>
      <c r="L7" s="2038"/>
      <c r="M7" s="2038" t="s">
        <v>22</v>
      </c>
      <c r="N7" s="2038" t="s">
        <v>22</v>
      </c>
      <c r="O7" s="2038" t="s">
        <v>22</v>
      </c>
      <c r="P7" s="2038" t="s">
        <v>22</v>
      </c>
      <c r="Q7" s="2038"/>
      <c r="R7" s="1075"/>
      <c r="S7" s="1075"/>
      <c r="T7" s="1075"/>
      <c r="U7" s="1075"/>
      <c r="V7" s="1075"/>
      <c r="W7" s="1075"/>
      <c r="X7" s="1075"/>
      <c r="Y7" s="1075"/>
      <c r="Z7" s="1075"/>
      <c r="AA7" s="1075"/>
      <c r="AB7" s="1075"/>
      <c r="AC7" s="1075"/>
      <c r="AD7" s="1073">
        <v>11</v>
      </c>
    </row>
    <row r="8" spans="1:30" s="2034" customFormat="1" ht="4.1500000000000004" customHeight="1">
      <c r="A8" s="1085"/>
      <c r="B8" s="1085"/>
      <c r="C8" s="1085"/>
      <c r="E8" s="1146"/>
      <c r="F8" s="1147"/>
      <c r="G8" s="1147"/>
      <c r="H8" s="1147"/>
      <c r="I8" s="1147"/>
      <c r="J8" s="1147"/>
      <c r="K8" s="2039" t="s">
        <v>992</v>
      </c>
      <c r="L8" s="2039"/>
      <c r="M8" s="2039"/>
      <c r="N8" s="2039"/>
      <c r="O8" s="2039"/>
      <c r="P8" s="2039"/>
      <c r="Q8" s="2039"/>
      <c r="R8" s="1146"/>
      <c r="S8" s="1146"/>
      <c r="T8" s="1146"/>
      <c r="U8" s="1146"/>
      <c r="V8" s="1146"/>
      <c r="W8" s="1146"/>
      <c r="X8" s="1146"/>
      <c r="Y8" s="1146"/>
      <c r="Z8" s="1146"/>
      <c r="AA8" s="1146"/>
      <c r="AB8" s="1146"/>
      <c r="AC8" s="1146"/>
      <c r="AD8" s="447">
        <v>4</v>
      </c>
    </row>
    <row r="9" spans="1:30" ht="10.5" customHeight="1">
      <c r="E9" s="1088"/>
      <c r="F9" s="2628" t="s">
        <v>297</v>
      </c>
      <c r="G9" s="2629"/>
      <c r="H9" s="2629"/>
      <c r="I9" s="2629"/>
      <c r="J9" s="2629"/>
      <c r="K9" s="2040"/>
      <c r="L9" s="2040"/>
      <c r="M9" s="2040"/>
      <c r="N9" s="2040"/>
      <c r="O9" s="2040"/>
      <c r="P9" s="2040"/>
      <c r="Q9" s="2040"/>
      <c r="R9" s="1158"/>
      <c r="S9" s="1075"/>
      <c r="T9" s="1075"/>
      <c r="U9" s="1075"/>
      <c r="V9" s="1075"/>
      <c r="W9" s="1075"/>
      <c r="X9" s="1075"/>
      <c r="Y9" s="1075"/>
      <c r="Z9" s="1075"/>
      <c r="AA9" s="1075"/>
      <c r="AB9" s="1075"/>
      <c r="AC9" s="1075"/>
      <c r="AD9" s="1073">
        <v>10</v>
      </c>
    </row>
    <row r="10" spans="1:30" ht="25.15" customHeight="1">
      <c r="E10" s="1075"/>
      <c r="F10" s="2632" t="s">
        <v>90</v>
      </c>
      <c r="G10" s="2636" t="s">
        <v>1084</v>
      </c>
      <c r="H10" s="2570" t="s">
        <v>1085</v>
      </c>
      <c r="I10" s="2570"/>
      <c r="J10" s="2570"/>
      <c r="K10" s="2570" t="s">
        <v>1085</v>
      </c>
      <c r="L10" s="2570"/>
      <c r="M10" s="2570"/>
      <c r="N10" s="2570"/>
      <c r="O10" s="2570"/>
      <c r="P10" s="2570"/>
      <c r="Q10" s="2570"/>
      <c r="R10" s="1151"/>
      <c r="S10" s="1075"/>
      <c r="T10" s="1075"/>
      <c r="U10" s="1075"/>
      <c r="V10" s="1075"/>
      <c r="W10" s="1075"/>
      <c r="X10" s="1075"/>
      <c r="Y10" s="1075"/>
      <c r="Z10" s="1075"/>
      <c r="AA10" s="1075"/>
      <c r="AB10" s="1075"/>
      <c r="AC10" s="1075"/>
      <c r="AD10" s="1073">
        <v>24</v>
      </c>
    </row>
    <row r="11" spans="1:30" ht="25.5" customHeight="1">
      <c r="E11" s="1075"/>
      <c r="F11" s="2633"/>
      <c r="G11" s="2636"/>
      <c r="H11" s="2635" t="e">
        <f>INDEX(IP_MAIN_LIST_NAME_IP,MATCH(H8,IP_MAIN_LIST_IP_ID,0))&amp;" ("&amp;INDEX(IP_MAIN_START_DATE,MATCH(H8,IP_MAIN_LIST_IP_ID,0))&amp;"-"&amp;INDEX(IP_MAIN_END_DATE,MATCH(H8,IP_MAIN_LIST_IP_ID,0))&amp;")"</f>
        <v>#N/A</v>
      </c>
      <c r="I11" s="2635"/>
      <c r="J11" s="2635"/>
      <c r="K11" s="2635" t="str">
        <f>INDEX(IP_MAIN_LIST_NAME_IP,MATCH(K8,IP_MAIN_LIST_IP_ID,0))&amp;" ("&amp;INDEX(IP_MAIN_START_DATE,MATCH(K8,IP_MAIN_LIST_IP_ID,0))&amp;"-"&amp;INDEX(IP_MAIN_END_DATE,MATCH(K8,IP_MAIN_LIST_IP_ID,0))&amp;")"</f>
        <v>Инвестиционная программа от 30.10.2023 ПАО "ТГК-1" филиал "Невский" в сфере теплоснабжения по комплексному развитию систем теплоснабжения на 2024-2028 годы (01.01.2024-31.12.2028)</v>
      </c>
      <c r="L11" s="2635"/>
      <c r="M11" s="2635"/>
      <c r="N11" s="2635"/>
      <c r="O11" s="2635"/>
      <c r="P11" s="2635"/>
      <c r="Q11" s="2635"/>
      <c r="R11" s="1151"/>
      <c r="S11" s="1075"/>
      <c r="T11" s="1075"/>
      <c r="U11" s="1075"/>
      <c r="V11" s="1075"/>
      <c r="W11" s="1075"/>
      <c r="X11" s="1075"/>
      <c r="Y11" s="1075"/>
      <c r="Z11" s="1075"/>
      <c r="AA11" s="1075"/>
      <c r="AB11" s="1075"/>
      <c r="AC11" s="1075"/>
      <c r="AD11" s="1073">
        <v>24</v>
      </c>
    </row>
    <row r="12" spans="1:30" ht="10.5" customHeight="1">
      <c r="F12" s="2634"/>
      <c r="G12" s="2636"/>
      <c r="H12" s="1144" t="s">
        <v>1086</v>
      </c>
      <c r="I12" s="1150"/>
      <c r="J12" s="1144"/>
      <c r="K12" s="2095" t="s">
        <v>1086</v>
      </c>
      <c r="L12" s="2041">
        <v>2024</v>
      </c>
      <c r="M12" s="2041">
        <v>2025</v>
      </c>
      <c r="N12" s="2041">
        <v>2026</v>
      </c>
      <c r="O12" s="2041">
        <v>2027</v>
      </c>
      <c r="P12" s="2041">
        <v>2028</v>
      </c>
      <c r="Q12" s="2095"/>
      <c r="R12" s="1152"/>
      <c r="AD12" s="1073">
        <v>10</v>
      </c>
    </row>
    <row r="13" spans="1:30" ht="10.5" hidden="1" customHeight="1">
      <c r="F13" s="1144">
        <v>1</v>
      </c>
      <c r="G13" s="1144">
        <v>2</v>
      </c>
      <c r="H13" s="1144">
        <v>3</v>
      </c>
      <c r="I13" s="1144">
        <v>4</v>
      </c>
      <c r="J13" s="1144">
        <v>5</v>
      </c>
      <c r="K13" s="2095">
        <v>3</v>
      </c>
      <c r="L13" s="2095">
        <v>4</v>
      </c>
      <c r="M13" s="2095">
        <v>4</v>
      </c>
      <c r="N13" s="2095">
        <v>4</v>
      </c>
      <c r="O13" s="2095">
        <v>4</v>
      </c>
      <c r="P13" s="2095">
        <v>4</v>
      </c>
      <c r="Q13" s="2095">
        <v>5</v>
      </c>
      <c r="R13" s="1152"/>
      <c r="AD13" s="1073">
        <v>0</v>
      </c>
    </row>
    <row r="14" spans="1:30" ht="11.45" customHeight="1">
      <c r="F14" s="1143" t="s">
        <v>1087</v>
      </c>
      <c r="G14" s="2630" t="s">
        <v>1088</v>
      </c>
      <c r="H14" s="2630"/>
      <c r="I14" s="2630"/>
      <c r="J14" s="2630"/>
      <c r="K14" s="2042"/>
      <c r="L14" s="2042"/>
      <c r="M14" s="2042"/>
      <c r="N14" s="2042"/>
      <c r="O14" s="2042"/>
      <c r="P14" s="2042"/>
      <c r="Q14" s="2042"/>
      <c r="R14" s="1152"/>
      <c r="AD14" s="1073">
        <v>11</v>
      </c>
    </row>
    <row r="15" spans="1:30" ht="11.45" customHeight="1">
      <c r="F15" s="1148">
        <v>1</v>
      </c>
      <c r="G15" s="626" t="s">
        <v>1089</v>
      </c>
      <c r="H15" s="1154">
        <f t="shared" ref="H15:H36" si="0">SUM(I15:J15)</f>
        <v>0</v>
      </c>
      <c r="I15" s="1154">
        <f>SUM(I16:I27)</f>
        <v>0</v>
      </c>
      <c r="J15" s="1143"/>
      <c r="K15" s="2096">
        <f t="shared" ref="K15:K36" si="1">SUM(L15:Q15)</f>
        <v>0</v>
      </c>
      <c r="L15" s="2096">
        <f>SUM(L16:L27)</f>
        <v>0</v>
      </c>
      <c r="M15" s="2096">
        <f>SUM(M16:M27)</f>
        <v>0</v>
      </c>
      <c r="N15" s="2096">
        <f>SUM(N16:N27)</f>
        <v>0</v>
      </c>
      <c r="O15" s="2096">
        <f>SUM(O16:O27)</f>
        <v>0</v>
      </c>
      <c r="P15" s="2096">
        <f>SUM(P16:P27)</f>
        <v>0</v>
      </c>
      <c r="Q15" s="2080"/>
      <c r="R15" s="1152"/>
      <c r="AD15" s="1073">
        <v>11</v>
      </c>
    </row>
    <row r="16" spans="1:30" ht="24" customHeight="1">
      <c r="F16" s="1148" t="s">
        <v>1090</v>
      </c>
      <c r="G16" s="1155" t="s">
        <v>1091</v>
      </c>
      <c r="H16" s="1154">
        <f t="shared" si="0"/>
        <v>0</v>
      </c>
      <c r="I16" s="1153"/>
      <c r="J16" s="1143"/>
      <c r="K16" s="2096">
        <f t="shared" si="1"/>
        <v>0</v>
      </c>
      <c r="L16" s="2043"/>
      <c r="M16" s="2043"/>
      <c r="N16" s="2043"/>
      <c r="O16" s="2043"/>
      <c r="P16" s="2043"/>
      <c r="Q16" s="2080"/>
      <c r="R16" s="1152"/>
      <c r="AD16" s="1073">
        <v>23</v>
      </c>
    </row>
    <row r="17" spans="6:30" ht="24" customHeight="1">
      <c r="F17" s="1148" t="s">
        <v>1092</v>
      </c>
      <c r="G17" s="1155" t="s">
        <v>1093</v>
      </c>
      <c r="H17" s="1154">
        <f t="shared" si="0"/>
        <v>0</v>
      </c>
      <c r="I17" s="1153"/>
      <c r="J17" s="1143"/>
      <c r="K17" s="2096">
        <f t="shared" si="1"/>
        <v>0</v>
      </c>
      <c r="L17" s="2043"/>
      <c r="M17" s="2043"/>
      <c r="N17" s="2043"/>
      <c r="O17" s="2043"/>
      <c r="P17" s="2043"/>
      <c r="Q17" s="2080"/>
      <c r="R17" s="1152"/>
      <c r="AD17" s="1073">
        <v>23</v>
      </c>
    </row>
    <row r="18" spans="6:30" ht="35.65" customHeight="1">
      <c r="F18" s="1148" t="s">
        <v>1094</v>
      </c>
      <c r="G18" s="1155" t="s">
        <v>1095</v>
      </c>
      <c r="H18" s="1154">
        <f t="shared" si="0"/>
        <v>0</v>
      </c>
      <c r="I18" s="1153"/>
      <c r="J18" s="1143"/>
      <c r="K18" s="2096">
        <f t="shared" si="1"/>
        <v>0</v>
      </c>
      <c r="L18" s="2043"/>
      <c r="M18" s="2043"/>
      <c r="N18" s="2043"/>
      <c r="O18" s="2043"/>
      <c r="P18" s="2043"/>
      <c r="Q18" s="2080"/>
      <c r="R18" s="1152"/>
      <c r="AD18" s="1073">
        <v>34</v>
      </c>
    </row>
    <row r="19" spans="6:30" ht="35.65" customHeight="1">
      <c r="F19" s="1148" t="s">
        <v>1096</v>
      </c>
      <c r="G19" s="1155" t="s">
        <v>1097</v>
      </c>
      <c r="H19" s="1154">
        <f t="shared" si="0"/>
        <v>0</v>
      </c>
      <c r="I19" s="1153"/>
      <c r="J19" s="1143"/>
      <c r="K19" s="2096">
        <f t="shared" si="1"/>
        <v>0</v>
      </c>
      <c r="L19" s="2043"/>
      <c r="M19" s="2043"/>
      <c r="N19" s="2043"/>
      <c r="O19" s="2043"/>
      <c r="P19" s="2043"/>
      <c r="Q19" s="2080"/>
      <c r="R19" s="1152"/>
      <c r="AD19" s="1073">
        <v>34</v>
      </c>
    </row>
    <row r="20" spans="6:30" ht="48.2" customHeight="1">
      <c r="F20" s="1148" t="s">
        <v>1098</v>
      </c>
      <c r="G20" s="1155" t="s">
        <v>1099</v>
      </c>
      <c r="H20" s="1154">
        <f t="shared" si="0"/>
        <v>0</v>
      </c>
      <c r="I20" s="1153"/>
      <c r="J20" s="1143"/>
      <c r="K20" s="2096">
        <f t="shared" si="1"/>
        <v>0</v>
      </c>
      <c r="L20" s="2043"/>
      <c r="M20" s="2043"/>
      <c r="N20" s="2043"/>
      <c r="O20" s="2043"/>
      <c r="P20" s="2043"/>
      <c r="Q20" s="2080"/>
      <c r="R20" s="1152"/>
      <c r="AD20" s="1073">
        <v>46</v>
      </c>
    </row>
    <row r="21" spans="6:30" ht="35.65" customHeight="1">
      <c r="F21" s="1148" t="s">
        <v>1100</v>
      </c>
      <c r="G21" s="1155" t="s">
        <v>1101</v>
      </c>
      <c r="H21" s="1154">
        <f t="shared" si="0"/>
        <v>0</v>
      </c>
      <c r="I21" s="1153"/>
      <c r="J21" s="1143"/>
      <c r="K21" s="2096">
        <f t="shared" si="1"/>
        <v>0</v>
      </c>
      <c r="L21" s="2043"/>
      <c r="M21" s="2043"/>
      <c r="N21" s="2043"/>
      <c r="O21" s="2043"/>
      <c r="P21" s="2043"/>
      <c r="Q21" s="2080"/>
      <c r="R21" s="1152"/>
      <c r="AD21" s="1073">
        <v>34</v>
      </c>
    </row>
    <row r="22" spans="6:30" ht="35.65" customHeight="1">
      <c r="F22" s="1148" t="s">
        <v>1102</v>
      </c>
      <c r="G22" s="1155" t="s">
        <v>1103</v>
      </c>
      <c r="H22" s="1154">
        <f t="shared" si="0"/>
        <v>0</v>
      </c>
      <c r="I22" s="1153"/>
      <c r="J22" s="1143"/>
      <c r="K22" s="2096">
        <f t="shared" si="1"/>
        <v>0</v>
      </c>
      <c r="L22" s="2043"/>
      <c r="M22" s="2043"/>
      <c r="N22" s="2043"/>
      <c r="O22" s="2043"/>
      <c r="P22" s="2043"/>
      <c r="Q22" s="2080"/>
      <c r="R22" s="1152"/>
      <c r="AD22" s="1073">
        <v>34</v>
      </c>
    </row>
    <row r="23" spans="6:30" ht="24" customHeight="1">
      <c r="F23" s="1148" t="s">
        <v>1104</v>
      </c>
      <c r="G23" s="1155" t="s">
        <v>1105</v>
      </c>
      <c r="H23" s="1154">
        <f t="shared" si="0"/>
        <v>0</v>
      </c>
      <c r="I23" s="1153"/>
      <c r="J23" s="1143"/>
      <c r="K23" s="2096">
        <f t="shared" si="1"/>
        <v>0</v>
      </c>
      <c r="L23" s="2043"/>
      <c r="M23" s="2043"/>
      <c r="N23" s="2043"/>
      <c r="O23" s="2043"/>
      <c r="P23" s="2043"/>
      <c r="Q23" s="2080"/>
      <c r="R23" s="1152"/>
      <c r="AD23" s="1073">
        <v>23</v>
      </c>
    </row>
    <row r="24" spans="6:30" ht="24" customHeight="1">
      <c r="F24" s="1148" t="s">
        <v>1106</v>
      </c>
      <c r="G24" s="1155" t="s">
        <v>1107</v>
      </c>
      <c r="H24" s="1154">
        <f t="shared" si="0"/>
        <v>0</v>
      </c>
      <c r="I24" s="1153"/>
      <c r="J24" s="1143"/>
      <c r="K24" s="2096">
        <f t="shared" si="1"/>
        <v>0</v>
      </c>
      <c r="L24" s="2043"/>
      <c r="M24" s="2043"/>
      <c r="N24" s="2043"/>
      <c r="O24" s="2043"/>
      <c r="P24" s="2043"/>
      <c r="Q24" s="2080"/>
      <c r="R24" s="1152"/>
      <c r="AD24" s="1073">
        <v>23</v>
      </c>
    </row>
    <row r="25" spans="6:30" ht="35.65" customHeight="1">
      <c r="F25" s="1148" t="s">
        <v>1108</v>
      </c>
      <c r="G25" s="1155" t="s">
        <v>1109</v>
      </c>
      <c r="H25" s="1154">
        <f t="shared" si="0"/>
        <v>0</v>
      </c>
      <c r="I25" s="1153"/>
      <c r="J25" s="1143"/>
      <c r="K25" s="2096">
        <f t="shared" si="1"/>
        <v>0</v>
      </c>
      <c r="L25" s="2043"/>
      <c r="M25" s="2043"/>
      <c r="N25" s="2043"/>
      <c r="O25" s="2043"/>
      <c r="P25" s="2043"/>
      <c r="Q25" s="2080"/>
      <c r="R25" s="1152"/>
      <c r="AD25" s="1073">
        <v>34</v>
      </c>
    </row>
    <row r="26" spans="6:30" ht="35.65" customHeight="1">
      <c r="F26" s="1148" t="s">
        <v>1110</v>
      </c>
      <c r="G26" s="1155" t="s">
        <v>1111</v>
      </c>
      <c r="H26" s="1154">
        <f t="shared" si="0"/>
        <v>0</v>
      </c>
      <c r="I26" s="1153"/>
      <c r="J26" s="1143"/>
      <c r="K26" s="2096">
        <f t="shared" si="1"/>
        <v>0</v>
      </c>
      <c r="L26" s="2043"/>
      <c r="M26" s="2043"/>
      <c r="N26" s="2043"/>
      <c r="O26" s="2043"/>
      <c r="P26" s="2043"/>
      <c r="Q26" s="2080"/>
      <c r="R26" s="1152"/>
      <c r="AD26" s="1073">
        <v>34</v>
      </c>
    </row>
    <row r="27" spans="6:30" ht="11.45" customHeight="1">
      <c r="F27" s="1148" t="s">
        <v>1112</v>
      </c>
      <c r="G27" s="1155" t="s">
        <v>1113</v>
      </c>
      <c r="H27" s="1154">
        <f t="shared" si="0"/>
        <v>0</v>
      </c>
      <c r="I27" s="1153"/>
      <c r="J27" s="1143"/>
      <c r="K27" s="2096">
        <f t="shared" si="1"/>
        <v>0</v>
      </c>
      <c r="L27" s="2043"/>
      <c r="M27" s="2043"/>
      <c r="N27" s="2043"/>
      <c r="O27" s="2043"/>
      <c r="P27" s="2043"/>
      <c r="Q27" s="2080"/>
      <c r="R27" s="1152"/>
      <c r="AD27" s="1073">
        <v>11</v>
      </c>
    </row>
    <row r="28" spans="6:30" ht="11.45" customHeight="1">
      <c r="F28" s="1148">
        <v>2</v>
      </c>
      <c r="G28" s="626" t="s">
        <v>1114</v>
      </c>
      <c r="H28" s="1154">
        <f t="shared" si="0"/>
        <v>0</v>
      </c>
      <c r="I28" s="1154">
        <f>SUM(I29:I31)</f>
        <v>0</v>
      </c>
      <c r="J28" s="1143"/>
      <c r="K28" s="2096">
        <f t="shared" si="1"/>
        <v>0</v>
      </c>
      <c r="L28" s="2096">
        <f>SUM(L29:L31)</f>
        <v>0</v>
      </c>
      <c r="M28" s="2096">
        <f>SUM(M29:M31)</f>
        <v>0</v>
      </c>
      <c r="N28" s="2096">
        <f>SUM(N29:N31)</f>
        <v>0</v>
      </c>
      <c r="O28" s="2096">
        <f>SUM(O29:O31)</f>
        <v>0</v>
      </c>
      <c r="P28" s="2096">
        <f>SUM(P29:P31)</f>
        <v>0</v>
      </c>
      <c r="Q28" s="2080"/>
      <c r="R28" s="1152"/>
      <c r="AD28" s="1073">
        <v>11</v>
      </c>
    </row>
    <row r="29" spans="6:30" ht="11.45" customHeight="1">
      <c r="F29" s="1148" t="s">
        <v>706</v>
      </c>
      <c r="G29" s="1155" t="s">
        <v>1115</v>
      </c>
      <c r="H29" s="1154">
        <f t="shared" si="0"/>
        <v>0</v>
      </c>
      <c r="I29" s="1153"/>
      <c r="J29" s="1143"/>
      <c r="K29" s="2096">
        <f t="shared" si="1"/>
        <v>0</v>
      </c>
      <c r="L29" s="2043"/>
      <c r="M29" s="2043"/>
      <c r="N29" s="2043"/>
      <c r="O29" s="2043"/>
      <c r="P29" s="2043"/>
      <c r="Q29" s="2080"/>
      <c r="R29" s="1152"/>
      <c r="AD29" s="1073">
        <v>11</v>
      </c>
    </row>
    <row r="30" spans="6:30" ht="11.45" customHeight="1">
      <c r="F30" s="1148" t="s">
        <v>304</v>
      </c>
      <c r="G30" s="1155" t="s">
        <v>1116</v>
      </c>
      <c r="H30" s="1154">
        <f t="shared" si="0"/>
        <v>0</v>
      </c>
      <c r="I30" s="1153"/>
      <c r="J30" s="1143"/>
      <c r="K30" s="2096">
        <f t="shared" si="1"/>
        <v>0</v>
      </c>
      <c r="L30" s="2043"/>
      <c r="M30" s="2043"/>
      <c r="N30" s="2043"/>
      <c r="O30" s="2043"/>
      <c r="P30" s="2043"/>
      <c r="Q30" s="2080"/>
      <c r="R30" s="1152"/>
      <c r="AD30" s="1073">
        <v>11</v>
      </c>
    </row>
    <row r="31" spans="6:30" ht="11.45" customHeight="1">
      <c r="F31" s="1148" t="s">
        <v>307</v>
      </c>
      <c r="G31" s="1155" t="s">
        <v>1117</v>
      </c>
      <c r="H31" s="1154">
        <f t="shared" si="0"/>
        <v>0</v>
      </c>
      <c r="I31" s="1153"/>
      <c r="J31" s="1143"/>
      <c r="K31" s="2096">
        <f t="shared" si="1"/>
        <v>0</v>
      </c>
      <c r="L31" s="2043"/>
      <c r="M31" s="2043"/>
      <c r="N31" s="2043"/>
      <c r="O31" s="2043"/>
      <c r="P31" s="2043"/>
      <c r="Q31" s="2080"/>
      <c r="R31" s="1152"/>
      <c r="AD31" s="1073">
        <v>11</v>
      </c>
    </row>
    <row r="32" spans="6:30" ht="11.45" customHeight="1">
      <c r="F32" s="1148">
        <v>3</v>
      </c>
      <c r="G32" s="626" t="s">
        <v>1118</v>
      </c>
      <c r="H32" s="1154">
        <f t="shared" si="0"/>
        <v>0</v>
      </c>
      <c r="I32" s="1154">
        <f>SUM(I33:I34)</f>
        <v>0</v>
      </c>
      <c r="J32" s="1143"/>
      <c r="K32" s="2096">
        <f t="shared" si="1"/>
        <v>0</v>
      </c>
      <c r="L32" s="2096">
        <f>SUM(L33:L34)</f>
        <v>0</v>
      </c>
      <c r="M32" s="2096">
        <f>SUM(M33:M34)</f>
        <v>0</v>
      </c>
      <c r="N32" s="2096">
        <f>SUM(N33:N34)</f>
        <v>0</v>
      </c>
      <c r="O32" s="2096">
        <f>SUM(O33:O34)</f>
        <v>0</v>
      </c>
      <c r="P32" s="2096">
        <f>SUM(P33:P34)</f>
        <v>0</v>
      </c>
      <c r="Q32" s="2080"/>
      <c r="R32" s="1152"/>
      <c r="AD32" s="1073">
        <v>11</v>
      </c>
    </row>
    <row r="33" spans="6:30" ht="48.2" customHeight="1">
      <c r="F33" s="1148" t="s">
        <v>321</v>
      </c>
      <c r="G33" s="1155" t="s">
        <v>1119</v>
      </c>
      <c r="H33" s="1154">
        <f t="shared" si="0"/>
        <v>0</v>
      </c>
      <c r="I33" s="1153"/>
      <c r="J33" s="1143"/>
      <c r="K33" s="2096">
        <f t="shared" si="1"/>
        <v>0</v>
      </c>
      <c r="L33" s="2043"/>
      <c r="M33" s="2043"/>
      <c r="N33" s="2043"/>
      <c r="O33" s="2043"/>
      <c r="P33" s="2043"/>
      <c r="Q33" s="2080"/>
      <c r="R33" s="1152"/>
      <c r="AD33" s="1073">
        <v>46</v>
      </c>
    </row>
    <row r="34" spans="6:30" ht="11.45" customHeight="1">
      <c r="F34" s="1148" t="s">
        <v>329</v>
      </c>
      <c r="G34" s="1155" t="s">
        <v>1120</v>
      </c>
      <c r="H34" s="1154">
        <f t="shared" si="0"/>
        <v>0</v>
      </c>
      <c r="I34" s="1153"/>
      <c r="J34" s="1143"/>
      <c r="K34" s="2096">
        <f t="shared" si="1"/>
        <v>0</v>
      </c>
      <c r="L34" s="2043"/>
      <c r="M34" s="2043"/>
      <c r="N34" s="2043"/>
      <c r="O34" s="2043"/>
      <c r="P34" s="2043"/>
      <c r="Q34" s="2080"/>
      <c r="R34" s="1152"/>
      <c r="AD34" s="1073">
        <v>11</v>
      </c>
    </row>
    <row r="35" spans="6:30" ht="11.45" customHeight="1">
      <c r="F35" s="1148">
        <v>4</v>
      </c>
      <c r="G35" s="626" t="s">
        <v>1121</v>
      </c>
      <c r="H35" s="1154">
        <f t="shared" si="0"/>
        <v>0</v>
      </c>
      <c r="I35" s="1153"/>
      <c r="J35" s="1143"/>
      <c r="K35" s="2096">
        <f t="shared" si="1"/>
        <v>0</v>
      </c>
      <c r="L35" s="2043"/>
      <c r="M35" s="2043"/>
      <c r="N35" s="2043"/>
      <c r="O35" s="2043"/>
      <c r="P35" s="2043"/>
      <c r="Q35" s="2080"/>
      <c r="R35" s="1152"/>
      <c r="AD35" s="1073">
        <v>11</v>
      </c>
    </row>
    <row r="36" spans="6:30" ht="11.45" customHeight="1">
      <c r="F36" s="1148"/>
      <c r="G36" s="629" t="s">
        <v>1122</v>
      </c>
      <c r="H36" s="1154">
        <f t="shared" si="0"/>
        <v>0</v>
      </c>
      <c r="I36" s="1154">
        <f>SUM(I15,I28,I32,I35)</f>
        <v>0</v>
      </c>
      <c r="J36" s="1143"/>
      <c r="K36" s="2096">
        <f t="shared" si="1"/>
        <v>0</v>
      </c>
      <c r="L36" s="2096">
        <f>SUM(L15,L28,L32,L35)</f>
        <v>0</v>
      </c>
      <c r="M36" s="2096">
        <f>SUM(M15,M28,M32,M35)</f>
        <v>0</v>
      </c>
      <c r="N36" s="2096">
        <f>SUM(N15,N28,N32,N35)</f>
        <v>0</v>
      </c>
      <c r="O36" s="2096">
        <f>SUM(O15,O28,O32,O35)</f>
        <v>0</v>
      </c>
      <c r="P36" s="2096">
        <f>SUM(P15,P28,P32,P35)</f>
        <v>0</v>
      </c>
      <c r="Q36" s="2080"/>
      <c r="R36" s="1152"/>
      <c r="AD36" s="1073">
        <v>11</v>
      </c>
    </row>
    <row r="37" spans="6:30" ht="29.25" customHeight="1">
      <c r="F37" s="1149" t="s">
        <v>1123</v>
      </c>
      <c r="G37" s="2631" t="s">
        <v>1124</v>
      </c>
      <c r="H37" s="2631"/>
      <c r="I37" s="2631"/>
      <c r="J37" s="2631"/>
      <c r="K37" s="2044"/>
      <c r="L37" s="2044"/>
      <c r="M37" s="2044"/>
      <c r="N37" s="2044"/>
      <c r="O37" s="2044"/>
      <c r="P37" s="2044"/>
      <c r="Q37" s="2044"/>
      <c r="R37" s="1152"/>
      <c r="AD37" s="1073">
        <v>28</v>
      </c>
    </row>
    <row r="38" spans="6:30" ht="24" customHeight="1">
      <c r="F38" s="1148" t="s">
        <v>108</v>
      </c>
      <c r="G38" s="626" t="s">
        <v>1125</v>
      </c>
      <c r="H38" s="1154">
        <f t="shared" ref="H38:H58" si="2">SUM(I38:J38)</f>
        <v>0</v>
      </c>
      <c r="I38" s="1154">
        <f>SUM(I39,I44,I47)</f>
        <v>0</v>
      </c>
      <c r="J38" s="1143"/>
      <c r="K38" s="2096">
        <f t="shared" ref="K38:K58" si="3">SUM(L38:Q38)</f>
        <v>0</v>
      </c>
      <c r="L38" s="2096">
        <f>SUM(L39,L44,L47)</f>
        <v>0</v>
      </c>
      <c r="M38" s="2096">
        <f>SUM(M39,M44,M47)</f>
        <v>0</v>
      </c>
      <c r="N38" s="2096">
        <f>SUM(N39,N44,N47)</f>
        <v>0</v>
      </c>
      <c r="O38" s="2096">
        <f>SUM(O39,O44,O47)</f>
        <v>0</v>
      </c>
      <c r="P38" s="2096">
        <f>SUM(P39,P44,P47)</f>
        <v>0</v>
      </c>
      <c r="Q38" s="2080"/>
      <c r="R38" s="1152"/>
      <c r="AD38" s="1073">
        <v>23</v>
      </c>
    </row>
    <row r="39" spans="6:30" ht="11.45" customHeight="1">
      <c r="F39" s="1148" t="s">
        <v>1090</v>
      </c>
      <c r="G39" s="1155" t="s">
        <v>1089</v>
      </c>
      <c r="H39" s="1154">
        <f t="shared" si="2"/>
        <v>0</v>
      </c>
      <c r="I39" s="1154">
        <f>SUM(I40:I43)</f>
        <v>0</v>
      </c>
      <c r="J39" s="1143"/>
      <c r="K39" s="2096">
        <f t="shared" si="3"/>
        <v>0</v>
      </c>
      <c r="L39" s="2096">
        <f>SUM(L40:L43)</f>
        <v>0</v>
      </c>
      <c r="M39" s="2096">
        <f>SUM(M40:M43)</f>
        <v>0</v>
      </c>
      <c r="N39" s="2096">
        <f>SUM(N40:N43)</f>
        <v>0</v>
      </c>
      <c r="O39" s="2096">
        <f>SUM(O40:O43)</f>
        <v>0</v>
      </c>
      <c r="P39" s="2096">
        <f>SUM(P40:P43)</f>
        <v>0</v>
      </c>
      <c r="Q39" s="2080"/>
      <c r="R39" s="1152"/>
      <c r="AD39" s="1073">
        <v>11</v>
      </c>
    </row>
    <row r="40" spans="6:30" ht="24" customHeight="1">
      <c r="F40" s="1148" t="s">
        <v>1126</v>
      </c>
      <c r="G40" s="1156" t="s">
        <v>1127</v>
      </c>
      <c r="H40" s="1154">
        <f t="shared" si="2"/>
        <v>0</v>
      </c>
      <c r="I40" s="1153"/>
      <c r="J40" s="1143"/>
      <c r="K40" s="2096">
        <f t="shared" si="3"/>
        <v>0</v>
      </c>
      <c r="L40" s="2043"/>
      <c r="M40" s="2043"/>
      <c r="N40" s="2043"/>
      <c r="O40" s="2043"/>
      <c r="P40" s="2043"/>
      <c r="Q40" s="2080"/>
      <c r="R40" s="1152"/>
      <c r="AD40" s="1073">
        <v>23</v>
      </c>
    </row>
    <row r="41" spans="6:30" ht="11.45" customHeight="1">
      <c r="F41" s="1148" t="s">
        <v>1128</v>
      </c>
      <c r="G41" s="1156" t="s">
        <v>1129</v>
      </c>
      <c r="H41" s="1154">
        <f t="shared" si="2"/>
        <v>0</v>
      </c>
      <c r="I41" s="1153"/>
      <c r="J41" s="1143"/>
      <c r="K41" s="2096">
        <f t="shared" si="3"/>
        <v>0</v>
      </c>
      <c r="L41" s="2043"/>
      <c r="M41" s="2043"/>
      <c r="N41" s="2043"/>
      <c r="O41" s="2043"/>
      <c r="P41" s="2043"/>
      <c r="Q41" s="2080"/>
      <c r="R41" s="1152"/>
      <c r="AD41" s="1073">
        <v>11</v>
      </c>
    </row>
    <row r="42" spans="6:30" ht="11.45" customHeight="1">
      <c r="F42" s="1148" t="s">
        <v>1130</v>
      </c>
      <c r="G42" s="1156" t="s">
        <v>1131</v>
      </c>
      <c r="H42" s="1154">
        <f t="shared" si="2"/>
        <v>0</v>
      </c>
      <c r="I42" s="1153"/>
      <c r="J42" s="1143"/>
      <c r="K42" s="2096">
        <f t="shared" si="3"/>
        <v>0</v>
      </c>
      <c r="L42" s="2043"/>
      <c r="M42" s="2043"/>
      <c r="N42" s="2043"/>
      <c r="O42" s="2043"/>
      <c r="P42" s="2043"/>
      <c r="Q42" s="2080"/>
      <c r="R42" s="1152"/>
      <c r="AD42" s="1073">
        <v>11</v>
      </c>
    </row>
    <row r="43" spans="6:30" ht="35.65" customHeight="1">
      <c r="F43" s="1148" t="s">
        <v>1132</v>
      </c>
      <c r="G43" s="1156" t="s">
        <v>1133</v>
      </c>
      <c r="H43" s="1154">
        <f t="shared" si="2"/>
        <v>0</v>
      </c>
      <c r="I43" s="1153"/>
      <c r="J43" s="1143"/>
      <c r="K43" s="2096">
        <f t="shared" si="3"/>
        <v>0</v>
      </c>
      <c r="L43" s="2043"/>
      <c r="M43" s="2043"/>
      <c r="N43" s="2043"/>
      <c r="O43" s="2043"/>
      <c r="P43" s="2043"/>
      <c r="Q43" s="2080"/>
      <c r="R43" s="1152"/>
      <c r="AD43" s="1073">
        <v>34</v>
      </c>
    </row>
    <row r="44" spans="6:30" ht="11.45" customHeight="1">
      <c r="F44" s="1148" t="s">
        <v>1092</v>
      </c>
      <c r="G44" s="1155" t="s">
        <v>1118</v>
      </c>
      <c r="H44" s="1154">
        <f t="shared" si="2"/>
        <v>0</v>
      </c>
      <c r="I44" s="1154">
        <f>SUM(I45:I46)</f>
        <v>0</v>
      </c>
      <c r="J44" s="1143"/>
      <c r="K44" s="2096">
        <f t="shared" si="3"/>
        <v>0</v>
      </c>
      <c r="L44" s="2096">
        <f>SUM(L45:L46)</f>
        <v>0</v>
      </c>
      <c r="M44" s="2096">
        <f>SUM(M45:M46)</f>
        <v>0</v>
      </c>
      <c r="N44" s="2096">
        <f>SUM(N45:N46)</f>
        <v>0</v>
      </c>
      <c r="O44" s="2096">
        <f>SUM(O45:O46)</f>
        <v>0</v>
      </c>
      <c r="P44" s="2096">
        <f>SUM(P45:P46)</f>
        <v>0</v>
      </c>
      <c r="Q44" s="2080"/>
      <c r="R44" s="1152"/>
      <c r="AD44" s="1073">
        <v>11</v>
      </c>
    </row>
    <row r="45" spans="6:30" ht="48.2" customHeight="1">
      <c r="F45" s="1148" t="s">
        <v>1134</v>
      </c>
      <c r="G45" s="1156" t="s">
        <v>1119</v>
      </c>
      <c r="H45" s="1154">
        <f t="shared" si="2"/>
        <v>0</v>
      </c>
      <c r="I45" s="1153"/>
      <c r="J45" s="1143"/>
      <c r="K45" s="2096">
        <f t="shared" si="3"/>
        <v>0</v>
      </c>
      <c r="L45" s="2043"/>
      <c r="M45" s="2043"/>
      <c r="N45" s="2043"/>
      <c r="O45" s="2043"/>
      <c r="P45" s="2043"/>
      <c r="Q45" s="2080"/>
      <c r="R45" s="1152"/>
      <c r="AD45" s="1073">
        <v>46</v>
      </c>
    </row>
    <row r="46" spans="6:30" ht="11.45" customHeight="1">
      <c r="F46" s="1148" t="s">
        <v>1135</v>
      </c>
      <c r="G46" s="1156" t="s">
        <v>1120</v>
      </c>
      <c r="H46" s="1154">
        <f t="shared" si="2"/>
        <v>0</v>
      </c>
      <c r="I46" s="1153"/>
      <c r="J46" s="1143"/>
      <c r="K46" s="2096">
        <f t="shared" si="3"/>
        <v>0</v>
      </c>
      <c r="L46" s="2043"/>
      <c r="M46" s="2043"/>
      <c r="N46" s="2043"/>
      <c r="O46" s="2043"/>
      <c r="P46" s="2043"/>
      <c r="Q46" s="2080"/>
      <c r="R46" s="1152"/>
      <c r="AD46" s="1073">
        <v>11</v>
      </c>
    </row>
    <row r="47" spans="6:30" ht="11.45" customHeight="1">
      <c r="F47" s="1148" t="s">
        <v>1094</v>
      </c>
      <c r="G47" s="1155" t="s">
        <v>1136</v>
      </c>
      <c r="H47" s="1154">
        <f t="shared" si="2"/>
        <v>0</v>
      </c>
      <c r="I47" s="1153"/>
      <c r="J47" s="1143"/>
      <c r="K47" s="2096">
        <f t="shared" si="3"/>
        <v>0</v>
      </c>
      <c r="L47" s="2043"/>
      <c r="M47" s="2043"/>
      <c r="N47" s="2043"/>
      <c r="O47" s="2043"/>
      <c r="P47" s="2043"/>
      <c r="Q47" s="2080"/>
      <c r="R47" s="1152"/>
      <c r="AD47" s="1073">
        <v>11</v>
      </c>
    </row>
    <row r="48" spans="6:30" ht="24" customHeight="1">
      <c r="F48" s="1148" t="s">
        <v>109</v>
      </c>
      <c r="G48" s="626" t="s">
        <v>1137</v>
      </c>
      <c r="H48" s="1154">
        <f t="shared" si="2"/>
        <v>0</v>
      </c>
      <c r="I48" s="1154">
        <f>SUM(I49,I54,I57)</f>
        <v>0</v>
      </c>
      <c r="J48" s="1143"/>
      <c r="K48" s="2096">
        <f t="shared" si="3"/>
        <v>0</v>
      </c>
      <c r="L48" s="2096">
        <f>SUM(L49,L54,L57)</f>
        <v>0</v>
      </c>
      <c r="M48" s="2096">
        <f>SUM(M49,M54,M57)</f>
        <v>0</v>
      </c>
      <c r="N48" s="2096">
        <f>SUM(N49,N54,N57)</f>
        <v>0</v>
      </c>
      <c r="O48" s="2096">
        <f>SUM(O49,O54,O57)</f>
        <v>0</v>
      </c>
      <c r="P48" s="2096">
        <f>SUM(P49,P54,P57)</f>
        <v>0</v>
      </c>
      <c r="Q48" s="2080"/>
      <c r="R48" s="1152"/>
      <c r="AD48" s="1073">
        <v>23</v>
      </c>
    </row>
    <row r="49" spans="1:30" ht="11.45" customHeight="1">
      <c r="F49" s="1148" t="s">
        <v>706</v>
      </c>
      <c r="G49" s="1155" t="s">
        <v>1089</v>
      </c>
      <c r="H49" s="1154">
        <f t="shared" si="2"/>
        <v>0</v>
      </c>
      <c r="I49" s="1154">
        <f>SUM(I50:I53)</f>
        <v>0</v>
      </c>
      <c r="J49" s="1143"/>
      <c r="K49" s="2096">
        <f t="shared" si="3"/>
        <v>0</v>
      </c>
      <c r="L49" s="2096">
        <f>SUM(L50:L53)</f>
        <v>0</v>
      </c>
      <c r="M49" s="2096">
        <f>SUM(M50:M53)</f>
        <v>0</v>
      </c>
      <c r="N49" s="2096">
        <f>SUM(N50:N53)</f>
        <v>0</v>
      </c>
      <c r="O49" s="2096">
        <f>SUM(O50:O53)</f>
        <v>0</v>
      </c>
      <c r="P49" s="2096">
        <f>SUM(P50:P53)</f>
        <v>0</v>
      </c>
      <c r="Q49" s="2080"/>
      <c r="R49" s="1152"/>
      <c r="AD49" s="1073">
        <v>11</v>
      </c>
    </row>
    <row r="50" spans="1:30" ht="24" customHeight="1">
      <c r="F50" s="1148" t="s">
        <v>709</v>
      </c>
      <c r="G50" s="1156" t="s">
        <v>1127</v>
      </c>
      <c r="H50" s="1154">
        <f t="shared" si="2"/>
        <v>0</v>
      </c>
      <c r="I50" s="1153"/>
      <c r="J50" s="1143"/>
      <c r="K50" s="2096">
        <f t="shared" si="3"/>
        <v>0</v>
      </c>
      <c r="L50" s="2043"/>
      <c r="M50" s="2043"/>
      <c r="N50" s="2043"/>
      <c r="O50" s="2043"/>
      <c r="P50" s="2043"/>
      <c r="Q50" s="2080"/>
      <c r="R50" s="1152"/>
      <c r="AD50" s="1073">
        <v>23</v>
      </c>
    </row>
    <row r="51" spans="1:30" ht="11.45" customHeight="1">
      <c r="F51" s="1148" t="s">
        <v>712</v>
      </c>
      <c r="G51" s="1156" t="s">
        <v>1129</v>
      </c>
      <c r="H51" s="1154">
        <f t="shared" si="2"/>
        <v>0</v>
      </c>
      <c r="I51" s="1153"/>
      <c r="J51" s="1143"/>
      <c r="K51" s="2096">
        <f t="shared" si="3"/>
        <v>0</v>
      </c>
      <c r="L51" s="2043"/>
      <c r="M51" s="2043"/>
      <c r="N51" s="2043"/>
      <c r="O51" s="2043"/>
      <c r="P51" s="2043"/>
      <c r="Q51" s="2080"/>
      <c r="R51" s="1152"/>
      <c r="AD51" s="1073">
        <v>11</v>
      </c>
    </row>
    <row r="52" spans="1:30" ht="11.45" customHeight="1">
      <c r="F52" s="1148" t="s">
        <v>1138</v>
      </c>
      <c r="G52" s="1156" t="s">
        <v>1131</v>
      </c>
      <c r="H52" s="1154">
        <f t="shared" si="2"/>
        <v>0</v>
      </c>
      <c r="I52" s="1153"/>
      <c r="J52" s="1143"/>
      <c r="K52" s="2096">
        <f t="shared" si="3"/>
        <v>0</v>
      </c>
      <c r="L52" s="2043"/>
      <c r="M52" s="2043"/>
      <c r="N52" s="2043"/>
      <c r="O52" s="2043"/>
      <c r="P52" s="2043"/>
      <c r="Q52" s="2080"/>
      <c r="R52" s="1152"/>
      <c r="AD52" s="1073">
        <v>11</v>
      </c>
    </row>
    <row r="53" spans="1:30" ht="35.65" customHeight="1">
      <c r="F53" s="1148" t="s">
        <v>1139</v>
      </c>
      <c r="G53" s="1156" t="s">
        <v>1133</v>
      </c>
      <c r="H53" s="1154">
        <f t="shared" si="2"/>
        <v>0</v>
      </c>
      <c r="I53" s="1153"/>
      <c r="J53" s="1143"/>
      <c r="K53" s="2096">
        <f t="shared" si="3"/>
        <v>0</v>
      </c>
      <c r="L53" s="2043"/>
      <c r="M53" s="2043"/>
      <c r="N53" s="2043"/>
      <c r="O53" s="2043"/>
      <c r="P53" s="2043"/>
      <c r="Q53" s="2080"/>
      <c r="R53" s="1152"/>
      <c r="AD53" s="1073">
        <v>34</v>
      </c>
    </row>
    <row r="54" spans="1:30" ht="11.45" customHeight="1">
      <c r="F54" s="1148" t="s">
        <v>304</v>
      </c>
      <c r="G54" s="1155" t="s">
        <v>1118</v>
      </c>
      <c r="H54" s="1154">
        <f t="shared" si="2"/>
        <v>0</v>
      </c>
      <c r="I54" s="1154">
        <f>SUM(I55:I56)</f>
        <v>0</v>
      </c>
      <c r="J54" s="1143"/>
      <c r="K54" s="2096">
        <f t="shared" si="3"/>
        <v>0</v>
      </c>
      <c r="L54" s="2096">
        <f>SUM(L55:L56)</f>
        <v>0</v>
      </c>
      <c r="M54" s="2096">
        <f>SUM(M55:M56)</f>
        <v>0</v>
      </c>
      <c r="N54" s="2096">
        <f>SUM(N55:N56)</f>
        <v>0</v>
      </c>
      <c r="O54" s="2096">
        <f>SUM(O55:O56)</f>
        <v>0</v>
      </c>
      <c r="P54" s="2096">
        <f>SUM(P55:P56)</f>
        <v>0</v>
      </c>
      <c r="Q54" s="2080"/>
      <c r="R54" s="1152"/>
      <c r="AD54" s="1073">
        <v>11</v>
      </c>
    </row>
    <row r="55" spans="1:30" ht="48.2" customHeight="1">
      <c r="F55" s="1148" t="s">
        <v>716</v>
      </c>
      <c r="G55" s="1156" t="s">
        <v>1119</v>
      </c>
      <c r="H55" s="1154">
        <f t="shared" si="2"/>
        <v>0</v>
      </c>
      <c r="I55" s="1153"/>
      <c r="J55" s="1143"/>
      <c r="K55" s="2096">
        <f t="shared" si="3"/>
        <v>0</v>
      </c>
      <c r="L55" s="2043"/>
      <c r="M55" s="2043"/>
      <c r="N55" s="2043"/>
      <c r="O55" s="2043"/>
      <c r="P55" s="2043"/>
      <c r="Q55" s="2080"/>
      <c r="R55" s="1152"/>
      <c r="AD55" s="1073">
        <v>46</v>
      </c>
    </row>
    <row r="56" spans="1:30" ht="11.45" customHeight="1">
      <c r="F56" s="1148" t="s">
        <v>718</v>
      </c>
      <c r="G56" s="1156" t="s">
        <v>1120</v>
      </c>
      <c r="H56" s="1154">
        <f t="shared" si="2"/>
        <v>0</v>
      </c>
      <c r="I56" s="1153"/>
      <c r="J56" s="1143"/>
      <c r="K56" s="2096">
        <f t="shared" si="3"/>
        <v>0</v>
      </c>
      <c r="L56" s="2043"/>
      <c r="M56" s="2043"/>
      <c r="N56" s="2043"/>
      <c r="O56" s="2043"/>
      <c r="P56" s="2043"/>
      <c r="Q56" s="2080"/>
      <c r="R56" s="1152"/>
      <c r="AD56" s="1073">
        <v>11</v>
      </c>
    </row>
    <row r="57" spans="1:30" ht="11.45" customHeight="1">
      <c r="F57" s="1148" t="s">
        <v>307</v>
      </c>
      <c r="G57" s="1155" t="s">
        <v>1136</v>
      </c>
      <c r="H57" s="1154">
        <f t="shared" si="2"/>
        <v>0</v>
      </c>
      <c r="I57" s="1153"/>
      <c r="J57" s="1143"/>
      <c r="K57" s="2096">
        <f t="shared" si="3"/>
        <v>0</v>
      </c>
      <c r="L57" s="2043"/>
      <c r="M57" s="2043"/>
      <c r="N57" s="2043"/>
      <c r="O57" s="2043"/>
      <c r="P57" s="2043"/>
      <c r="Q57" s="2080"/>
      <c r="R57" s="1152"/>
      <c r="AD57" s="1073">
        <v>11</v>
      </c>
    </row>
    <row r="58" spans="1:30" ht="11.45" customHeight="1">
      <c r="F58" s="1148"/>
      <c r="G58" s="1157" t="s">
        <v>1122</v>
      </c>
      <c r="H58" s="1154">
        <f t="shared" si="2"/>
        <v>0</v>
      </c>
      <c r="I58" s="1154">
        <f>SUM(I38,I48)</f>
        <v>0</v>
      </c>
      <c r="J58" s="1143"/>
      <c r="K58" s="2096">
        <f t="shared" si="3"/>
        <v>0</v>
      </c>
      <c r="L58" s="2096">
        <f>SUM(L38,L48)</f>
        <v>0</v>
      </c>
      <c r="M58" s="2096">
        <f>SUM(M38,M48)</f>
        <v>0</v>
      </c>
      <c r="N58" s="2096">
        <f>SUM(N38,N48)</f>
        <v>0</v>
      </c>
      <c r="O58" s="2096">
        <f>SUM(O38,O48)</f>
        <v>0</v>
      </c>
      <c r="P58" s="2096">
        <f>SUM(P38,P48)</f>
        <v>0</v>
      </c>
      <c r="Q58" s="2080"/>
      <c r="R58" s="1152"/>
      <c r="AD58" s="1073">
        <v>11</v>
      </c>
    </row>
    <row r="59" spans="1:30" ht="10.5" hidden="1" customHeight="1">
      <c r="A59" s="1084" t="s">
        <v>84</v>
      </c>
      <c r="B59" s="1084">
        <v>0</v>
      </c>
      <c r="C59" s="1084">
        <v>0</v>
      </c>
      <c r="D59" s="1078">
        <v>0</v>
      </c>
      <c r="E59" s="445">
        <v>3</v>
      </c>
      <c r="F59" s="1073">
        <v>6</v>
      </c>
      <c r="G59" s="1073">
        <v>60</v>
      </c>
      <c r="H59" s="1073">
        <v>0</v>
      </c>
      <c r="I59" s="1073">
        <v>0</v>
      </c>
      <c r="J59" s="1073">
        <v>0</v>
      </c>
      <c r="K59" s="2062">
        <v>0</v>
      </c>
      <c r="L59" s="2062">
        <v>0</v>
      </c>
      <c r="M59" s="2062">
        <v>0</v>
      </c>
      <c r="N59" s="2062">
        <v>0</v>
      </c>
      <c r="O59" s="2062">
        <v>0</v>
      </c>
      <c r="P59" s="2062">
        <v>0</v>
      </c>
      <c r="Q59" s="2062">
        <v>0</v>
      </c>
      <c r="R59" s="1073">
        <v>1</v>
      </c>
      <c r="S59" s="1073">
        <v>8</v>
      </c>
      <c r="T59" s="1073">
        <v>8</v>
      </c>
      <c r="U59" s="1073">
        <v>8</v>
      </c>
      <c r="V59" s="1073">
        <v>8</v>
      </c>
      <c r="W59" s="1073">
        <v>8</v>
      </c>
      <c r="X59" s="1073">
        <v>8</v>
      </c>
      <c r="Y59" s="1073">
        <v>8</v>
      </c>
      <c r="Z59" s="1073">
        <v>8</v>
      </c>
      <c r="AA59" s="1073">
        <v>8</v>
      </c>
      <c r="AB59" s="1073">
        <v>8</v>
      </c>
      <c r="AC59" s="1073">
        <v>8</v>
      </c>
      <c r="AD59" s="1073">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topLeftCell="E4" zoomScale="90" workbookViewId="0">
      <selection activeCell="T22" sqref="T22"/>
    </sheetView>
  </sheetViews>
  <sheetFormatPr defaultColWidth="9.140625" defaultRowHeight="12" customHeight="1"/>
  <cols>
    <col min="1" max="1" width="4.7109375" style="2052" hidden="1" customWidth="1"/>
    <col min="2" max="2" width="4.7109375" style="2053" hidden="1" customWidth="1"/>
    <col min="3" max="4" width="4.7109375" style="2052" hidden="1" customWidth="1"/>
    <col min="5" max="5" width="3" style="2052" customWidth="1"/>
    <col min="6" max="6" width="6" style="2052" customWidth="1"/>
    <col min="7" max="7" width="18" style="2052" customWidth="1"/>
    <col min="8" max="8" width="27" style="2052" customWidth="1"/>
    <col min="9" max="9" width="18" style="2052" customWidth="1"/>
    <col min="10" max="14" width="0.85546875" style="2052" hidden="1" customWidth="1"/>
    <col min="15" max="28" width="21.7109375" style="2052" customWidth="1"/>
    <col min="29" max="71" width="0.85546875" style="2052" customWidth="1"/>
    <col min="72" max="79" width="21.7109375" style="2052" hidden="1" customWidth="1"/>
    <col min="80" max="81" width="29.140625" style="2052" hidden="1" customWidth="1"/>
    <col min="82" max="89" width="21.7109375" style="2052" hidden="1" customWidth="1"/>
    <col min="90" max="102" width="0.7109375" style="2052" hidden="1" customWidth="1"/>
    <col min="103" max="114" width="21.7109375" style="2052" hidden="1" customWidth="1"/>
    <col min="115" max="178" width="0.7109375" style="2052" hidden="1" customWidth="1"/>
    <col min="179" max="179" width="0.140625" style="2052" customWidth="1"/>
    <col min="180" max="184" width="8" style="2052" customWidth="1"/>
    <col min="185" max="185" width="9.140625" style="2052" hidden="1"/>
  </cols>
  <sheetData>
    <row r="1" spans="2:185" s="2045" customFormat="1" ht="12" hidden="1" customHeight="1">
      <c r="B1" s="848"/>
      <c r="C1" s="849"/>
      <c r="D1" s="849"/>
      <c r="GC1" s="847" t="s">
        <v>14</v>
      </c>
    </row>
    <row r="2" spans="2:185" s="2045"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45"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46" customFormat="1" ht="27.4" customHeight="1">
      <c r="B5" s="1787"/>
      <c r="E5" s="1789"/>
      <c r="F5" s="265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72"/>
      <c r="H5" s="2372"/>
      <c r="I5" s="2372"/>
      <c r="J5" s="2372"/>
      <c r="K5" s="2372"/>
      <c r="L5" s="2372"/>
      <c r="M5" s="2372"/>
      <c r="N5" s="2372"/>
      <c r="O5" s="2372"/>
      <c r="P5" s="2372"/>
      <c r="Q5" s="2372"/>
      <c r="R5" s="2372"/>
      <c r="S5" s="2372"/>
      <c r="T5" s="2372"/>
      <c r="U5" s="2372"/>
      <c r="V5" s="2372"/>
      <c r="W5" s="2372"/>
      <c r="X5" s="2372"/>
      <c r="Y5" s="2372"/>
      <c r="Z5" s="2372"/>
      <c r="AA5" s="2372"/>
      <c r="AB5" s="2372"/>
      <c r="AC5" s="2372"/>
      <c r="AD5" s="2372"/>
      <c r="AE5" s="2372"/>
      <c r="AF5" s="2372"/>
      <c r="AG5" s="2372"/>
      <c r="AH5" s="2372"/>
      <c r="AI5" s="2372"/>
      <c r="AJ5" s="2372"/>
      <c r="AK5" s="2372"/>
      <c r="AL5" s="2372"/>
      <c r="AM5" s="2372"/>
      <c r="AN5" s="2372"/>
      <c r="AO5" s="2372"/>
      <c r="AP5" s="2372"/>
      <c r="AQ5" s="2372"/>
      <c r="AR5" s="2372"/>
      <c r="AS5" s="2372"/>
      <c r="AT5" s="2372"/>
      <c r="AU5" s="2372"/>
      <c r="AV5" s="2372"/>
      <c r="AW5" s="2372"/>
      <c r="AX5" s="2372"/>
      <c r="AY5" s="2372"/>
      <c r="AZ5" s="2372"/>
      <c r="BA5" s="2372"/>
      <c r="BB5" s="2372"/>
      <c r="BC5" s="2372"/>
      <c r="BD5" s="2372"/>
      <c r="BE5" s="2372"/>
      <c r="BF5" s="2372"/>
      <c r="BG5" s="2372"/>
      <c r="BH5" s="2372"/>
      <c r="BI5" s="2372"/>
      <c r="BJ5" s="2372"/>
      <c r="BK5" s="2372"/>
      <c r="BL5" s="2372"/>
      <c r="BM5" s="2372"/>
      <c r="BN5" s="2372"/>
      <c r="BO5" s="2372"/>
      <c r="BP5" s="2372"/>
      <c r="BQ5" s="2372"/>
      <c r="BR5" s="2372"/>
      <c r="BS5" s="2372"/>
      <c r="GC5" s="1788">
        <v>26</v>
      </c>
    </row>
    <row r="6" spans="2:185" s="2099" customFormat="1" ht="18.75" customHeight="1">
      <c r="B6" s="868"/>
      <c r="E6" s="870"/>
      <c r="F6" s="2431" t="str">
        <f>IF(org=0,"Не определено",org)</f>
        <v>ПАО "ТГК-1" филиал "Невский"</v>
      </c>
      <c r="G6" s="2432"/>
      <c r="H6" s="2432"/>
      <c r="I6" s="2432"/>
      <c r="J6" s="2432"/>
      <c r="K6" s="2432"/>
      <c r="L6" s="2432"/>
      <c r="M6" s="2432"/>
      <c r="N6" s="2432"/>
      <c r="O6" s="2432"/>
      <c r="P6" s="2432"/>
      <c r="Q6" s="2432"/>
      <c r="R6" s="2432"/>
      <c r="S6" s="2432"/>
      <c r="T6" s="2432"/>
      <c r="U6" s="2432"/>
      <c r="V6" s="2432"/>
      <c r="W6" s="2432"/>
      <c r="X6" s="2432"/>
      <c r="Y6" s="2432"/>
      <c r="Z6" s="2432"/>
      <c r="AA6" s="2432"/>
      <c r="AB6" s="2432"/>
      <c r="AC6" s="2432"/>
      <c r="AD6" s="2432"/>
      <c r="AE6" s="2432"/>
      <c r="AF6" s="2432"/>
      <c r="AG6" s="2432"/>
      <c r="AH6" s="2432"/>
      <c r="AI6" s="2432"/>
      <c r="AJ6" s="2432"/>
      <c r="AK6" s="2432"/>
      <c r="AL6" s="2432"/>
      <c r="AM6" s="2432"/>
      <c r="AN6" s="2432"/>
      <c r="AO6" s="2432"/>
      <c r="AP6" s="2432"/>
      <c r="AQ6" s="2432"/>
      <c r="AR6" s="2432"/>
      <c r="AS6" s="2432"/>
      <c r="AT6" s="2432"/>
      <c r="AU6" s="2432"/>
      <c r="AV6" s="2432"/>
      <c r="AW6" s="2432"/>
      <c r="AX6" s="2432"/>
      <c r="AY6" s="2432"/>
      <c r="AZ6" s="2432"/>
      <c r="BA6" s="2432"/>
      <c r="BB6" s="2432"/>
      <c r="BC6" s="2432"/>
      <c r="BD6" s="2432"/>
      <c r="BE6" s="2432"/>
      <c r="BF6" s="2432"/>
      <c r="BG6" s="2432"/>
      <c r="BH6" s="2432"/>
      <c r="BI6" s="2432"/>
      <c r="BJ6" s="2432"/>
      <c r="BK6" s="2432"/>
      <c r="BL6" s="2432"/>
      <c r="BM6" s="2432"/>
      <c r="BN6" s="2432"/>
      <c r="BO6" s="2432"/>
      <c r="BP6" s="2432"/>
      <c r="BQ6" s="2432"/>
      <c r="BR6" s="2432"/>
      <c r="BS6" s="2432"/>
      <c r="GC6" s="869">
        <v>18</v>
      </c>
    </row>
    <row r="7" spans="2:185" s="204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47" customFormat="1" ht="11.25" hidden="1" customHeight="1">
      <c r="B8" s="859"/>
      <c r="F8" s="979"/>
      <c r="G8" s="697"/>
      <c r="H8" s="296"/>
      <c r="I8" s="296"/>
      <c r="J8" s="296"/>
      <c r="K8" s="296"/>
      <c r="L8" s="296"/>
      <c r="M8" s="979"/>
      <c r="N8" s="979"/>
      <c r="O8" s="2646" t="s">
        <v>1140</v>
      </c>
      <c r="P8" s="2647"/>
      <c r="Q8" s="2647"/>
      <c r="R8" s="2647"/>
      <c r="S8" s="2647"/>
      <c r="T8" s="2647"/>
      <c r="U8" s="2647"/>
      <c r="V8" s="2647"/>
      <c r="W8" s="2647"/>
      <c r="X8" s="2647"/>
      <c r="Y8" s="2647"/>
      <c r="Z8" s="2647"/>
      <c r="AA8" s="2647"/>
      <c r="AB8" s="2647"/>
      <c r="AC8" s="2647"/>
      <c r="AD8" s="2647"/>
      <c r="AE8" s="2647"/>
      <c r="AF8" s="2647"/>
      <c r="AG8" s="2647"/>
      <c r="AH8" s="2647"/>
      <c r="AI8" s="2647"/>
      <c r="AJ8" s="2647"/>
      <c r="AK8" s="2647"/>
      <c r="AL8" s="2647"/>
      <c r="AM8" s="2647"/>
      <c r="AN8" s="2647"/>
      <c r="AO8" s="2647"/>
      <c r="AP8" s="2647"/>
      <c r="AQ8" s="2647"/>
      <c r="AR8" s="2647"/>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c r="BP8" s="2647"/>
      <c r="BQ8" s="2647"/>
      <c r="BR8" s="2647"/>
      <c r="BS8" s="2648"/>
      <c r="BT8" s="2649"/>
      <c r="BU8" s="2650"/>
      <c r="BV8" s="2650"/>
      <c r="BW8" s="2650"/>
      <c r="BX8" s="2650"/>
      <c r="BY8" s="2650"/>
      <c r="BZ8" s="2650"/>
      <c r="CA8" s="2650"/>
      <c r="CB8" s="2650"/>
      <c r="CC8" s="2650"/>
      <c r="CD8" s="2650"/>
      <c r="CE8" s="2650"/>
      <c r="CF8" s="2650"/>
      <c r="CG8" s="2650"/>
      <c r="CH8" s="2650"/>
      <c r="CI8" s="2650"/>
      <c r="CJ8" s="2650"/>
      <c r="CK8" s="2650"/>
      <c r="CL8" s="2650"/>
      <c r="CM8" s="2650"/>
      <c r="CN8" s="2650"/>
      <c r="CO8" s="2650"/>
      <c r="CP8" s="2650"/>
      <c r="CQ8" s="2650"/>
      <c r="CR8" s="2650"/>
      <c r="CS8" s="2650"/>
      <c r="CT8" s="2650"/>
      <c r="CU8" s="2650"/>
      <c r="CV8" s="2650"/>
      <c r="CW8" s="2650"/>
      <c r="CX8" s="2651"/>
      <c r="CY8" s="2652"/>
      <c r="CZ8" s="2653"/>
      <c r="DA8" s="2653"/>
      <c r="DB8" s="2653"/>
      <c r="DC8" s="2653"/>
      <c r="DD8" s="2653"/>
      <c r="DE8" s="2653"/>
      <c r="DF8" s="2653"/>
      <c r="DG8" s="2653"/>
      <c r="DH8" s="2653"/>
      <c r="DI8" s="2653"/>
      <c r="DJ8" s="2653"/>
      <c r="DK8" s="2653"/>
      <c r="DL8" s="2653"/>
      <c r="DM8" s="2653"/>
      <c r="DN8" s="2653"/>
      <c r="DO8" s="2653"/>
      <c r="DP8" s="2653"/>
      <c r="DQ8" s="2653"/>
      <c r="DR8" s="2653"/>
      <c r="DS8" s="2653"/>
      <c r="DT8" s="2653"/>
      <c r="DU8" s="2653"/>
      <c r="DV8" s="2653"/>
      <c r="DW8" s="2653"/>
      <c r="DX8" s="2654"/>
      <c r="DY8" s="2640" t="s">
        <v>1141</v>
      </c>
      <c r="DZ8" s="2641"/>
      <c r="EA8" s="2641"/>
      <c r="EB8" s="2641"/>
      <c r="EC8" s="2641"/>
      <c r="ED8" s="2641"/>
      <c r="EE8" s="2641"/>
      <c r="EF8" s="2641"/>
      <c r="EG8" s="2641"/>
      <c r="EH8" s="2641"/>
      <c r="EI8" s="2641"/>
      <c r="EJ8" s="2641"/>
      <c r="EK8" s="2641"/>
      <c r="EL8" s="2641"/>
      <c r="EM8" s="2641"/>
      <c r="EN8" s="2641"/>
      <c r="EO8" s="2641"/>
      <c r="EP8" s="2641"/>
      <c r="EQ8" s="2641"/>
      <c r="ER8" s="2641"/>
      <c r="ES8" s="2641"/>
      <c r="ET8" s="2641"/>
      <c r="EU8" s="2641"/>
      <c r="EV8" s="2641"/>
      <c r="EW8" s="2641"/>
      <c r="EX8" s="2641"/>
      <c r="EY8" s="2641"/>
      <c r="EZ8" s="2641"/>
      <c r="FA8" s="2641"/>
      <c r="FB8" s="2641"/>
      <c r="FC8" s="2641"/>
      <c r="FD8" s="2641"/>
      <c r="FE8" s="2641"/>
      <c r="FF8" s="2641"/>
      <c r="FG8" s="2641"/>
      <c r="FH8" s="2641"/>
      <c r="FI8" s="2641"/>
      <c r="FJ8" s="2641"/>
      <c r="FK8" s="2641"/>
      <c r="FL8" s="2641"/>
      <c r="FM8" s="2641"/>
      <c r="FN8" s="2641"/>
      <c r="FO8" s="2641"/>
      <c r="FP8" s="2641"/>
      <c r="FQ8" s="2641"/>
      <c r="FR8" s="2641"/>
      <c r="FS8" s="2641"/>
      <c r="FT8" s="2641"/>
      <c r="FU8" s="2641"/>
      <c r="FV8" s="2641"/>
      <c r="FW8" s="2642"/>
      <c r="FX8" s="979"/>
      <c r="GC8" s="858">
        <v>0</v>
      </c>
    </row>
    <row r="9" spans="2:185" s="2047"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43"/>
      <c r="FX9" s="979"/>
      <c r="GC9" s="858">
        <v>0</v>
      </c>
    </row>
    <row r="10" spans="2:185" s="2047" customFormat="1" ht="11.45" customHeight="1">
      <c r="B10" s="859"/>
      <c r="F10" s="2571" t="s">
        <v>297</v>
      </c>
      <c r="G10" s="2656"/>
      <c r="H10" s="2656"/>
      <c r="I10" s="2656"/>
      <c r="J10" s="2656"/>
      <c r="K10" s="2656"/>
      <c r="L10" s="2656"/>
      <c r="M10" s="2656"/>
      <c r="N10" s="2656"/>
      <c r="O10" s="2656"/>
      <c r="P10" s="2656"/>
      <c r="Q10" s="2656"/>
      <c r="R10" s="2656"/>
      <c r="S10" s="2656"/>
      <c r="T10" s="2656"/>
      <c r="U10" s="2656"/>
      <c r="V10" s="2656"/>
      <c r="W10" s="2656"/>
      <c r="X10" s="2656"/>
      <c r="Y10" s="2656"/>
      <c r="Z10" s="2656"/>
      <c r="AA10" s="2656"/>
      <c r="AB10" s="2656"/>
      <c r="AC10" s="2656"/>
      <c r="AD10" s="2656"/>
      <c r="AE10" s="2656"/>
      <c r="AF10" s="2656"/>
      <c r="AG10" s="2656"/>
      <c r="AH10" s="2656"/>
      <c r="AI10" s="2656"/>
      <c r="AJ10" s="2656"/>
      <c r="AK10" s="2656"/>
      <c r="AL10" s="2656"/>
      <c r="AM10" s="2656"/>
      <c r="AN10" s="2656"/>
      <c r="AO10" s="2656"/>
      <c r="AP10" s="2656"/>
      <c r="AQ10" s="2656"/>
      <c r="AR10" s="2656"/>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c r="BP10" s="2656"/>
      <c r="BQ10" s="2656"/>
      <c r="BR10" s="2656"/>
      <c r="BS10" s="2656"/>
      <c r="BT10" s="2656"/>
      <c r="BU10" s="2656"/>
      <c r="BV10" s="2656"/>
      <c r="BW10" s="2656"/>
      <c r="BX10" s="2656"/>
      <c r="BY10" s="2656"/>
      <c r="BZ10" s="2656"/>
      <c r="CA10" s="2656"/>
      <c r="CB10" s="2656"/>
      <c r="CC10" s="2656"/>
      <c r="CD10" s="2656"/>
      <c r="CE10" s="2656"/>
      <c r="CF10" s="2656"/>
      <c r="CG10" s="2656"/>
      <c r="CH10" s="2656"/>
      <c r="CI10" s="2656"/>
      <c r="CJ10" s="2656"/>
      <c r="CK10" s="2656"/>
      <c r="CL10" s="2656"/>
      <c r="CM10" s="2656"/>
      <c r="CN10" s="2656"/>
      <c r="CO10" s="2656"/>
      <c r="CP10" s="2656"/>
      <c r="CQ10" s="2656"/>
      <c r="CR10" s="2656"/>
      <c r="CS10" s="2656"/>
      <c r="CT10" s="2656"/>
      <c r="CU10" s="2656"/>
      <c r="CV10" s="2656"/>
      <c r="CW10" s="2656"/>
      <c r="CX10" s="2656"/>
      <c r="CY10" s="2656"/>
      <c r="CZ10" s="2656"/>
      <c r="DA10" s="2656"/>
      <c r="DB10" s="2656"/>
      <c r="DC10" s="2656"/>
      <c r="DD10" s="2656"/>
      <c r="DE10" s="2656"/>
      <c r="DF10" s="2656"/>
      <c r="DG10" s="2656"/>
      <c r="DH10" s="2656"/>
      <c r="DI10" s="2656"/>
      <c r="DJ10" s="2656"/>
      <c r="DK10" s="2656"/>
      <c r="DL10" s="2656"/>
      <c r="DM10" s="2656"/>
      <c r="DN10" s="2656"/>
      <c r="DO10" s="2656"/>
      <c r="DP10" s="2656"/>
      <c r="DQ10" s="2656"/>
      <c r="DR10" s="2656"/>
      <c r="DS10" s="2656"/>
      <c r="DT10" s="2656"/>
      <c r="DU10" s="2656"/>
      <c r="DV10" s="2656"/>
      <c r="DW10" s="2656"/>
      <c r="DX10" s="2656"/>
      <c r="DY10" s="2656"/>
      <c r="DZ10" s="2656"/>
      <c r="EA10" s="2656"/>
      <c r="EB10" s="2656"/>
      <c r="EC10" s="2656"/>
      <c r="ED10" s="2656"/>
      <c r="EE10" s="2656"/>
      <c r="EF10" s="2656"/>
      <c r="EG10" s="2656"/>
      <c r="EH10" s="2656"/>
      <c r="EI10" s="2656"/>
      <c r="EJ10" s="2656"/>
      <c r="EK10" s="2656"/>
      <c r="EL10" s="2656"/>
      <c r="EM10" s="2656"/>
      <c r="EN10" s="2656"/>
      <c r="EO10" s="2656"/>
      <c r="EP10" s="2656"/>
      <c r="EQ10" s="2656"/>
      <c r="ER10" s="2656"/>
      <c r="ES10" s="2656"/>
      <c r="ET10" s="2656"/>
      <c r="EU10" s="2656"/>
      <c r="EV10" s="2656"/>
      <c r="EW10" s="2656"/>
      <c r="EX10" s="2656"/>
      <c r="EY10" s="2656"/>
      <c r="EZ10" s="2656"/>
      <c r="FA10" s="2656"/>
      <c r="FB10" s="2656"/>
      <c r="FC10" s="2656"/>
      <c r="FD10" s="2656"/>
      <c r="FE10" s="2656"/>
      <c r="FF10" s="2656"/>
      <c r="FG10" s="2656"/>
      <c r="FH10" s="2656"/>
      <c r="FI10" s="2656"/>
      <c r="FJ10" s="2656"/>
      <c r="FK10" s="2656"/>
      <c r="FL10" s="2656"/>
      <c r="FM10" s="2656"/>
      <c r="FN10" s="2656"/>
      <c r="FO10" s="2656"/>
      <c r="FP10" s="2656"/>
      <c r="FQ10" s="2656"/>
      <c r="FR10" s="2656"/>
      <c r="FS10" s="2656"/>
      <c r="FT10" s="2656"/>
      <c r="FU10" s="2656"/>
      <c r="FV10" s="2601"/>
      <c r="FW10" s="2643"/>
      <c r="FX10" s="979"/>
      <c r="GC10" s="858">
        <v>11</v>
      </c>
    </row>
    <row r="11" spans="2:185" ht="12.75" customHeight="1">
      <c r="E11" s="862"/>
      <c r="F11" s="2413" t="s">
        <v>90</v>
      </c>
      <c r="G11" s="2413" t="s">
        <v>1142</v>
      </c>
      <c r="H11" s="2413" t="s">
        <v>1143</v>
      </c>
      <c r="I11" s="2413" t="s">
        <v>1144</v>
      </c>
      <c r="J11" s="2655"/>
      <c r="K11" s="2655"/>
      <c r="L11" s="2655"/>
      <c r="M11" s="2655"/>
      <c r="N11" s="2655"/>
      <c r="O11" s="2417" t="s">
        <v>1145</v>
      </c>
      <c r="P11" s="2417"/>
      <c r="Q11" s="2417"/>
      <c r="R11" s="2417"/>
      <c r="S11" s="2417"/>
      <c r="T11" s="2417"/>
      <c r="U11" s="2417"/>
      <c r="V11" s="2417"/>
      <c r="W11" s="2417"/>
      <c r="X11" s="2417"/>
      <c r="Y11" s="2417"/>
      <c r="Z11" s="2417"/>
      <c r="AA11" s="2417"/>
      <c r="AB11" s="2417"/>
      <c r="AC11" s="2638"/>
      <c r="AD11" s="2638"/>
      <c r="AE11" s="2638"/>
      <c r="AF11" s="2638"/>
      <c r="AG11" s="2638"/>
      <c r="AH11" s="2638"/>
      <c r="AI11" s="2638"/>
      <c r="AJ11" s="2638"/>
      <c r="AK11" s="2638"/>
      <c r="AL11" s="2638"/>
      <c r="AM11" s="2638"/>
      <c r="AN11" s="2638"/>
      <c r="AO11" s="2638"/>
      <c r="AP11" s="2638"/>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9"/>
      <c r="BT11" s="2557" t="s">
        <v>1145</v>
      </c>
      <c r="BU11" s="2558"/>
      <c r="BV11" s="2558"/>
      <c r="BW11" s="2558"/>
      <c r="BX11" s="2558"/>
      <c r="BY11" s="2558"/>
      <c r="BZ11" s="2558"/>
      <c r="CA11" s="2558"/>
      <c r="CB11" s="2558"/>
      <c r="CC11" s="2558"/>
      <c r="CD11" s="2558"/>
      <c r="CE11" s="2558"/>
      <c r="CF11" s="2558"/>
      <c r="CG11" s="2558"/>
      <c r="CH11" s="2558"/>
      <c r="CI11" s="2558"/>
      <c r="CJ11" s="2558"/>
      <c r="CK11" s="2637"/>
      <c r="CL11" s="2645"/>
      <c r="CM11" s="2638"/>
      <c r="CN11" s="2638"/>
      <c r="CO11" s="2638"/>
      <c r="CP11" s="2638"/>
      <c r="CQ11" s="2638"/>
      <c r="CR11" s="2638"/>
      <c r="CS11" s="2638"/>
      <c r="CT11" s="2638"/>
      <c r="CU11" s="2638"/>
      <c r="CV11" s="2638"/>
      <c r="CW11" s="2638"/>
      <c r="CX11" s="2639"/>
      <c r="CY11" s="2557" t="s">
        <v>1145</v>
      </c>
      <c r="CZ11" s="2558"/>
      <c r="DA11" s="2558"/>
      <c r="DB11" s="2558"/>
      <c r="DC11" s="2558"/>
      <c r="DD11" s="2558"/>
      <c r="DE11" s="2558"/>
      <c r="DF11" s="2558"/>
      <c r="DG11" s="2558"/>
      <c r="DH11" s="2558"/>
      <c r="DI11" s="2558"/>
      <c r="DJ11" s="2637"/>
      <c r="DK11" s="2645"/>
      <c r="DL11" s="2638"/>
      <c r="DM11" s="2638"/>
      <c r="DN11" s="2638"/>
      <c r="DO11" s="2638"/>
      <c r="DP11" s="2638"/>
      <c r="DQ11" s="2638"/>
      <c r="DR11" s="2638"/>
      <c r="DS11" s="2638"/>
      <c r="DT11" s="2638"/>
      <c r="DU11" s="2638"/>
      <c r="DV11" s="2638"/>
      <c r="DW11" s="2638"/>
      <c r="DX11" s="2638"/>
      <c r="DY11" s="2638"/>
      <c r="DZ11" s="2638"/>
      <c r="EA11" s="2638"/>
      <c r="EB11" s="2638"/>
      <c r="EC11" s="2638"/>
      <c r="ED11" s="2638"/>
      <c r="EE11" s="2638"/>
      <c r="EF11" s="2638"/>
      <c r="EG11" s="2638"/>
      <c r="EH11" s="2638"/>
      <c r="EI11" s="2638"/>
      <c r="EJ11" s="2638"/>
      <c r="EK11" s="2638"/>
      <c r="EL11" s="2638"/>
      <c r="EM11" s="2638"/>
      <c r="EN11" s="2638"/>
      <c r="EO11" s="2638"/>
      <c r="EP11" s="2638"/>
      <c r="EQ11" s="2638"/>
      <c r="ER11" s="2638"/>
      <c r="ES11" s="2638"/>
      <c r="ET11" s="2638"/>
      <c r="EU11" s="2638"/>
      <c r="EV11" s="2638"/>
      <c r="EW11" s="2638"/>
      <c r="EX11" s="2638"/>
      <c r="EY11" s="2638"/>
      <c r="EZ11" s="2638"/>
      <c r="FA11" s="2638"/>
      <c r="FB11" s="2638"/>
      <c r="FC11" s="2638"/>
      <c r="FD11" s="2638"/>
      <c r="FE11" s="2638"/>
      <c r="FF11" s="2638"/>
      <c r="FG11" s="2638"/>
      <c r="FH11" s="2638"/>
      <c r="FI11" s="2638"/>
      <c r="FJ11" s="2638"/>
      <c r="FK11" s="2638"/>
      <c r="FL11" s="2638"/>
      <c r="FM11" s="2638"/>
      <c r="FN11" s="2638"/>
      <c r="FO11" s="2638"/>
      <c r="FP11" s="2638"/>
      <c r="FQ11" s="2638"/>
      <c r="FR11" s="2638"/>
      <c r="FS11" s="2638"/>
      <c r="FT11" s="2638"/>
      <c r="FU11" s="2638"/>
      <c r="FV11" s="2638"/>
      <c r="FW11" s="2643"/>
      <c r="FX11" s="696"/>
      <c r="GC11" s="851">
        <v>12</v>
      </c>
    </row>
    <row r="12" spans="2:185" ht="12.75" customHeight="1">
      <c r="D12" s="863"/>
      <c r="E12" s="862"/>
      <c r="F12" s="2413"/>
      <c r="G12" s="2413"/>
      <c r="H12" s="2413"/>
      <c r="I12" s="2413"/>
      <c r="J12" s="2655"/>
      <c r="K12" s="2655"/>
      <c r="L12" s="2655"/>
      <c r="M12" s="2655"/>
      <c r="N12" s="2655"/>
      <c r="O12" s="2417" t="s">
        <v>1146</v>
      </c>
      <c r="P12" s="2417"/>
      <c r="Q12" s="2417"/>
      <c r="R12" s="2417"/>
      <c r="S12" s="2417" t="s">
        <v>1147</v>
      </c>
      <c r="T12" s="2417"/>
      <c r="U12" s="2417"/>
      <c r="V12" s="2417"/>
      <c r="W12" s="2417"/>
      <c r="X12" s="2417"/>
      <c r="Y12" s="2417"/>
      <c r="Z12" s="2417"/>
      <c r="AA12" s="2417"/>
      <c r="AB12" s="2417"/>
      <c r="AC12" s="2638"/>
      <c r="AD12" s="2638"/>
      <c r="AE12" s="2638"/>
      <c r="AF12" s="2638"/>
      <c r="AG12" s="2638"/>
      <c r="AH12" s="2638"/>
      <c r="AI12" s="2638"/>
      <c r="AJ12" s="2638"/>
      <c r="AK12" s="2638"/>
      <c r="AL12" s="2638"/>
      <c r="AM12" s="2638"/>
      <c r="AN12" s="2638"/>
      <c r="AO12" s="2638"/>
      <c r="AP12" s="2638"/>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9"/>
      <c r="BT12" s="2557" t="s">
        <v>1148</v>
      </c>
      <c r="BU12" s="2558"/>
      <c r="BV12" s="2558"/>
      <c r="BW12" s="2637"/>
      <c r="BX12" s="2557" t="s">
        <v>1149</v>
      </c>
      <c r="BY12" s="2558"/>
      <c r="BZ12" s="2558"/>
      <c r="CA12" s="2637"/>
      <c r="CB12" s="2557" t="s">
        <v>1150</v>
      </c>
      <c r="CC12" s="2637"/>
      <c r="CD12" s="2557" t="s">
        <v>1151</v>
      </c>
      <c r="CE12" s="2558"/>
      <c r="CF12" s="2558"/>
      <c r="CG12" s="2558"/>
      <c r="CH12" s="2558"/>
      <c r="CI12" s="2558"/>
      <c r="CJ12" s="2558"/>
      <c r="CK12" s="2637"/>
      <c r="CL12" s="2645"/>
      <c r="CM12" s="2638"/>
      <c r="CN12" s="2638"/>
      <c r="CO12" s="2638"/>
      <c r="CP12" s="2638"/>
      <c r="CQ12" s="2638"/>
      <c r="CR12" s="2638"/>
      <c r="CS12" s="2638"/>
      <c r="CT12" s="2638"/>
      <c r="CU12" s="2638"/>
      <c r="CV12" s="2638"/>
      <c r="CW12" s="2638"/>
      <c r="CX12" s="2639"/>
      <c r="CY12" s="2557" t="s">
        <v>1152</v>
      </c>
      <c r="CZ12" s="2558"/>
      <c r="DA12" s="2558"/>
      <c r="DB12" s="2558"/>
      <c r="DC12" s="2558"/>
      <c r="DD12" s="2637"/>
      <c r="DE12" s="2557" t="s">
        <v>1153</v>
      </c>
      <c r="DF12" s="2637"/>
      <c r="DG12" s="2557" t="s">
        <v>1151</v>
      </c>
      <c r="DH12" s="2558"/>
      <c r="DI12" s="2558"/>
      <c r="DJ12" s="2637"/>
      <c r="DK12" s="2645"/>
      <c r="DL12" s="2638"/>
      <c r="DM12" s="2638"/>
      <c r="DN12" s="2638"/>
      <c r="DO12" s="2638"/>
      <c r="DP12" s="2638"/>
      <c r="DQ12" s="2638"/>
      <c r="DR12" s="2638"/>
      <c r="DS12" s="2638"/>
      <c r="DT12" s="2638"/>
      <c r="DU12" s="2638"/>
      <c r="DV12" s="2638"/>
      <c r="DW12" s="2638"/>
      <c r="DX12" s="2638"/>
      <c r="DY12" s="2638"/>
      <c r="DZ12" s="2638"/>
      <c r="EA12" s="2638"/>
      <c r="EB12" s="2638"/>
      <c r="EC12" s="2638"/>
      <c r="ED12" s="2638"/>
      <c r="EE12" s="2638"/>
      <c r="EF12" s="2638"/>
      <c r="EG12" s="2638"/>
      <c r="EH12" s="2638"/>
      <c r="EI12" s="2638"/>
      <c r="EJ12" s="2638"/>
      <c r="EK12" s="2638"/>
      <c r="EL12" s="2638"/>
      <c r="EM12" s="2638"/>
      <c r="EN12" s="2638"/>
      <c r="EO12" s="2638"/>
      <c r="EP12" s="2638"/>
      <c r="EQ12" s="2638"/>
      <c r="ER12" s="2638"/>
      <c r="ES12" s="2638"/>
      <c r="ET12" s="2638"/>
      <c r="EU12" s="2638"/>
      <c r="EV12" s="2638"/>
      <c r="EW12" s="2638"/>
      <c r="EX12" s="2638"/>
      <c r="EY12" s="2638"/>
      <c r="EZ12" s="2638"/>
      <c r="FA12" s="2638"/>
      <c r="FB12" s="2638"/>
      <c r="FC12" s="2638"/>
      <c r="FD12" s="2638"/>
      <c r="FE12" s="2638"/>
      <c r="FF12" s="2638"/>
      <c r="FG12" s="2638"/>
      <c r="FH12" s="2638"/>
      <c r="FI12" s="2638"/>
      <c r="FJ12" s="2638"/>
      <c r="FK12" s="2638"/>
      <c r="FL12" s="2638"/>
      <c r="FM12" s="2638"/>
      <c r="FN12" s="2638"/>
      <c r="FO12" s="2638"/>
      <c r="FP12" s="2638"/>
      <c r="FQ12" s="2638"/>
      <c r="FR12" s="2638"/>
      <c r="FS12" s="2638"/>
      <c r="FT12" s="2638"/>
      <c r="FU12" s="2638"/>
      <c r="FV12" s="2638"/>
      <c r="FW12" s="2643"/>
      <c r="FX12" s="696"/>
      <c r="GC12" s="851">
        <v>12</v>
      </c>
    </row>
    <row r="13" spans="2:185" ht="37.9" customHeight="1">
      <c r="D13" s="863"/>
      <c r="E13" s="862"/>
      <c r="F13" s="2413"/>
      <c r="G13" s="2413"/>
      <c r="H13" s="2413"/>
      <c r="I13" s="2413"/>
      <c r="J13" s="2655"/>
      <c r="K13" s="2655"/>
      <c r="L13" s="2655"/>
      <c r="M13" s="2655"/>
      <c r="N13" s="2655"/>
      <c r="O13" s="2417" t="s">
        <v>1154</v>
      </c>
      <c r="P13" s="2417"/>
      <c r="Q13" s="2417"/>
      <c r="R13" s="2417"/>
      <c r="S13" s="2518" t="s">
        <v>1155</v>
      </c>
      <c r="T13" s="2559"/>
      <c r="U13" s="2328" t="s">
        <v>1156</v>
      </c>
      <c r="V13" s="2328"/>
      <c r="W13" s="2328"/>
      <c r="X13" s="2328"/>
      <c r="Y13" s="2328" t="s">
        <v>1157</v>
      </c>
      <c r="Z13" s="2328"/>
      <c r="AA13" s="2328"/>
      <c r="AB13" s="2328"/>
      <c r="AC13" s="2638"/>
      <c r="AD13" s="2638"/>
      <c r="AE13" s="2638"/>
      <c r="AF13" s="2638"/>
      <c r="AG13" s="2638"/>
      <c r="AH13" s="2638"/>
      <c r="AI13" s="2638"/>
      <c r="AJ13" s="2638"/>
      <c r="AK13" s="2638"/>
      <c r="AL13" s="2638"/>
      <c r="AM13" s="2638"/>
      <c r="AN13" s="2638"/>
      <c r="AO13" s="2638"/>
      <c r="AP13" s="2638"/>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9"/>
      <c r="BT13" s="2518" t="s">
        <v>1158</v>
      </c>
      <c r="BU13" s="2559"/>
      <c r="BV13" s="2518" t="s">
        <v>1159</v>
      </c>
      <c r="BW13" s="2559"/>
      <c r="BX13" s="2518" t="s">
        <v>1160</v>
      </c>
      <c r="BY13" s="2559"/>
      <c r="BZ13" s="2518" t="s">
        <v>1161</v>
      </c>
      <c r="CA13" s="2559"/>
      <c r="CB13" s="2518" t="s">
        <v>1162</v>
      </c>
      <c r="CC13" s="2559"/>
      <c r="CD13" s="2518" t="s">
        <v>1163</v>
      </c>
      <c r="CE13" s="2559"/>
      <c r="CF13" s="2518" t="s">
        <v>1164</v>
      </c>
      <c r="CG13" s="2559"/>
      <c r="CH13" s="2557" t="s">
        <v>1165</v>
      </c>
      <c r="CI13" s="2558"/>
      <c r="CJ13" s="2558"/>
      <c r="CK13" s="2637"/>
      <c r="CL13" s="2645"/>
      <c r="CM13" s="2638"/>
      <c r="CN13" s="2638"/>
      <c r="CO13" s="2638"/>
      <c r="CP13" s="2638"/>
      <c r="CQ13" s="2638"/>
      <c r="CR13" s="2638"/>
      <c r="CS13" s="2638"/>
      <c r="CT13" s="2638"/>
      <c r="CU13" s="2638"/>
      <c r="CV13" s="2638"/>
      <c r="CW13" s="2638"/>
      <c r="CX13" s="2639"/>
      <c r="CY13" s="2518" t="s">
        <v>1166</v>
      </c>
      <c r="CZ13" s="2559"/>
      <c r="DA13" s="2518" t="s">
        <v>1167</v>
      </c>
      <c r="DB13" s="2559"/>
      <c r="DC13" s="2518" t="s">
        <v>1168</v>
      </c>
      <c r="DD13" s="2559"/>
      <c r="DE13" s="2518" t="s">
        <v>1169</v>
      </c>
      <c r="DF13" s="2559"/>
      <c r="DG13" s="2557" t="s">
        <v>1170</v>
      </c>
      <c r="DH13" s="2558"/>
      <c r="DI13" s="2558"/>
      <c r="DJ13" s="2637"/>
      <c r="DK13" s="2645"/>
      <c r="DL13" s="2638"/>
      <c r="DM13" s="2638"/>
      <c r="DN13" s="2638"/>
      <c r="DO13" s="2638"/>
      <c r="DP13" s="2638"/>
      <c r="DQ13" s="2638"/>
      <c r="DR13" s="2638"/>
      <c r="DS13" s="2638"/>
      <c r="DT13" s="2638"/>
      <c r="DU13" s="2638"/>
      <c r="DV13" s="2638"/>
      <c r="DW13" s="2638"/>
      <c r="DX13" s="2638"/>
      <c r="DY13" s="2638"/>
      <c r="DZ13" s="2638"/>
      <c r="EA13" s="2638"/>
      <c r="EB13" s="2638"/>
      <c r="EC13" s="2638"/>
      <c r="ED13" s="2638"/>
      <c r="EE13" s="2638"/>
      <c r="EF13" s="2638"/>
      <c r="EG13" s="2638"/>
      <c r="EH13" s="2638"/>
      <c r="EI13" s="2638"/>
      <c r="EJ13" s="2638"/>
      <c r="EK13" s="2638"/>
      <c r="EL13" s="2638"/>
      <c r="EM13" s="2638"/>
      <c r="EN13" s="2638"/>
      <c r="EO13" s="2638"/>
      <c r="EP13" s="2638"/>
      <c r="EQ13" s="2638"/>
      <c r="ER13" s="2638"/>
      <c r="ES13" s="2638"/>
      <c r="ET13" s="2638"/>
      <c r="EU13" s="2638"/>
      <c r="EV13" s="2638"/>
      <c r="EW13" s="2638"/>
      <c r="EX13" s="2638"/>
      <c r="EY13" s="2638"/>
      <c r="EZ13" s="2638"/>
      <c r="FA13" s="2638"/>
      <c r="FB13" s="2638"/>
      <c r="FC13" s="2638"/>
      <c r="FD13" s="2638"/>
      <c r="FE13" s="2638"/>
      <c r="FF13" s="2638"/>
      <c r="FG13" s="2638"/>
      <c r="FH13" s="2638"/>
      <c r="FI13" s="2638"/>
      <c r="FJ13" s="2638"/>
      <c r="FK13" s="2638"/>
      <c r="FL13" s="2638"/>
      <c r="FM13" s="2638"/>
      <c r="FN13" s="2638"/>
      <c r="FO13" s="2638"/>
      <c r="FP13" s="2638"/>
      <c r="FQ13" s="2638"/>
      <c r="FR13" s="2638"/>
      <c r="FS13" s="2638"/>
      <c r="FT13" s="2638"/>
      <c r="FU13" s="2638"/>
      <c r="FV13" s="2638"/>
      <c r="FW13" s="2643"/>
      <c r="FX13" s="696"/>
      <c r="GC13" s="851">
        <v>36</v>
      </c>
    </row>
    <row r="14" spans="2:185" ht="37.9" customHeight="1">
      <c r="D14" s="863"/>
      <c r="E14" s="862"/>
      <c r="F14" s="2413"/>
      <c r="G14" s="2413"/>
      <c r="H14" s="2413"/>
      <c r="I14" s="2413"/>
      <c r="J14" s="2655"/>
      <c r="K14" s="2655"/>
      <c r="L14" s="2655"/>
      <c r="M14" s="2655"/>
      <c r="N14" s="2655"/>
      <c r="O14" s="2518" t="s">
        <v>1171</v>
      </c>
      <c r="P14" s="2559"/>
      <c r="Q14" s="2518" t="s">
        <v>1172</v>
      </c>
      <c r="R14" s="2559"/>
      <c r="S14" s="2519"/>
      <c r="T14" s="2421"/>
      <c r="U14" s="2518" t="s">
        <v>833</v>
      </c>
      <c r="V14" s="2559"/>
      <c r="W14" s="2518" t="s">
        <v>836</v>
      </c>
      <c r="X14" s="2559"/>
      <c r="Y14" s="2518" t="s">
        <v>833</v>
      </c>
      <c r="Z14" s="2559"/>
      <c r="AA14" s="2518" t="s">
        <v>843</v>
      </c>
      <c r="AB14" s="2559"/>
      <c r="AC14" s="2638"/>
      <c r="AD14" s="2638"/>
      <c r="AE14" s="2638"/>
      <c r="AF14" s="2638"/>
      <c r="AG14" s="2638"/>
      <c r="AH14" s="2638"/>
      <c r="AI14" s="2638"/>
      <c r="AJ14" s="2638"/>
      <c r="AK14" s="2638"/>
      <c r="AL14" s="2638"/>
      <c r="AM14" s="2638"/>
      <c r="AN14" s="2638"/>
      <c r="AO14" s="2638"/>
      <c r="AP14" s="2638"/>
      <c r="AQ14" s="2638"/>
      <c r="AR14" s="2638"/>
      <c r="AS14" s="2638"/>
      <c r="AT14" s="2638"/>
      <c r="AU14" s="2638"/>
      <c r="AV14" s="2638"/>
      <c r="AW14" s="2638"/>
      <c r="AX14" s="2638"/>
      <c r="AY14" s="2638"/>
      <c r="AZ14" s="2638"/>
      <c r="BA14" s="2638"/>
      <c r="BB14" s="2638"/>
      <c r="BC14" s="2638"/>
      <c r="BD14" s="2638"/>
      <c r="BE14" s="2638"/>
      <c r="BF14" s="2638"/>
      <c r="BG14" s="2638"/>
      <c r="BH14" s="2638"/>
      <c r="BI14" s="2638"/>
      <c r="BJ14" s="2638"/>
      <c r="BK14" s="2638"/>
      <c r="BL14" s="2638"/>
      <c r="BM14" s="2638"/>
      <c r="BN14" s="2638"/>
      <c r="BO14" s="2638"/>
      <c r="BP14" s="2638"/>
      <c r="BQ14" s="2638"/>
      <c r="BR14" s="2638"/>
      <c r="BS14" s="2639"/>
      <c r="BT14" s="2519"/>
      <c r="BU14" s="2421"/>
      <c r="BV14" s="2519"/>
      <c r="BW14" s="2421"/>
      <c r="BX14" s="2519"/>
      <c r="BY14" s="2421"/>
      <c r="BZ14" s="2519"/>
      <c r="CA14" s="2421"/>
      <c r="CB14" s="2519"/>
      <c r="CC14" s="2421"/>
      <c r="CD14" s="2519"/>
      <c r="CE14" s="2421"/>
      <c r="CF14" s="2519"/>
      <c r="CG14" s="2421"/>
      <c r="CH14" s="2518" t="s">
        <v>1173</v>
      </c>
      <c r="CI14" s="2559"/>
      <c r="CJ14" s="2518" t="s">
        <v>1174</v>
      </c>
      <c r="CK14" s="2559"/>
      <c r="CL14" s="2645"/>
      <c r="CM14" s="2638"/>
      <c r="CN14" s="2638"/>
      <c r="CO14" s="2638"/>
      <c r="CP14" s="2638"/>
      <c r="CQ14" s="2638"/>
      <c r="CR14" s="2638"/>
      <c r="CS14" s="2638"/>
      <c r="CT14" s="2638"/>
      <c r="CU14" s="2638"/>
      <c r="CV14" s="2638"/>
      <c r="CW14" s="2638"/>
      <c r="CX14" s="2639"/>
      <c r="CY14" s="2519"/>
      <c r="CZ14" s="2421"/>
      <c r="DA14" s="2519"/>
      <c r="DB14" s="2421"/>
      <c r="DC14" s="2519"/>
      <c r="DD14" s="2421"/>
      <c r="DE14" s="2519"/>
      <c r="DF14" s="2421"/>
      <c r="DG14" s="2518" t="s">
        <v>1175</v>
      </c>
      <c r="DH14" s="2559"/>
      <c r="DI14" s="2518" t="s">
        <v>1176</v>
      </c>
      <c r="DJ14" s="2559"/>
      <c r="DK14" s="2645"/>
      <c r="DL14" s="2638"/>
      <c r="DM14" s="2638"/>
      <c r="DN14" s="2638"/>
      <c r="DO14" s="2638"/>
      <c r="DP14" s="2638"/>
      <c r="DQ14" s="2638"/>
      <c r="DR14" s="2638"/>
      <c r="DS14" s="2638"/>
      <c r="DT14" s="2638"/>
      <c r="DU14" s="2638"/>
      <c r="DV14" s="2638"/>
      <c r="DW14" s="2638"/>
      <c r="DX14" s="2638"/>
      <c r="DY14" s="2638"/>
      <c r="DZ14" s="2638"/>
      <c r="EA14" s="2638"/>
      <c r="EB14" s="2638"/>
      <c r="EC14" s="2638"/>
      <c r="ED14" s="2638"/>
      <c r="EE14" s="2638"/>
      <c r="EF14" s="2638"/>
      <c r="EG14" s="2638"/>
      <c r="EH14" s="2638"/>
      <c r="EI14" s="2638"/>
      <c r="EJ14" s="2638"/>
      <c r="EK14" s="2638"/>
      <c r="EL14" s="2638"/>
      <c r="EM14" s="2638"/>
      <c r="EN14" s="2638"/>
      <c r="EO14" s="2638"/>
      <c r="EP14" s="2638"/>
      <c r="EQ14" s="2638"/>
      <c r="ER14" s="2638"/>
      <c r="ES14" s="2638"/>
      <c r="ET14" s="2638"/>
      <c r="EU14" s="2638"/>
      <c r="EV14" s="2638"/>
      <c r="EW14" s="2638"/>
      <c r="EX14" s="2638"/>
      <c r="EY14" s="2638"/>
      <c r="EZ14" s="2638"/>
      <c r="FA14" s="2638"/>
      <c r="FB14" s="2638"/>
      <c r="FC14" s="2638"/>
      <c r="FD14" s="2638"/>
      <c r="FE14" s="2638"/>
      <c r="FF14" s="2638"/>
      <c r="FG14" s="2638"/>
      <c r="FH14" s="2638"/>
      <c r="FI14" s="2638"/>
      <c r="FJ14" s="2638"/>
      <c r="FK14" s="2638"/>
      <c r="FL14" s="2638"/>
      <c r="FM14" s="2638"/>
      <c r="FN14" s="2638"/>
      <c r="FO14" s="2638"/>
      <c r="FP14" s="2638"/>
      <c r="FQ14" s="2638"/>
      <c r="FR14" s="2638"/>
      <c r="FS14" s="2638"/>
      <c r="FT14" s="2638"/>
      <c r="FU14" s="2638"/>
      <c r="FV14" s="2638"/>
      <c r="FW14" s="2643"/>
      <c r="FX14" s="696"/>
      <c r="GC14" s="851">
        <v>36</v>
      </c>
    </row>
    <row r="15" spans="2:185" ht="37.9" customHeight="1">
      <c r="D15" s="863"/>
      <c r="E15" s="862"/>
      <c r="F15" s="2413"/>
      <c r="G15" s="2413"/>
      <c r="H15" s="2413"/>
      <c r="I15" s="2413"/>
      <c r="J15" s="2655"/>
      <c r="K15" s="2655"/>
      <c r="L15" s="2655"/>
      <c r="M15" s="2655"/>
      <c r="N15" s="2655"/>
      <c r="O15" s="2520"/>
      <c r="P15" s="2593"/>
      <c r="Q15" s="2520"/>
      <c r="R15" s="2593"/>
      <c r="S15" s="2520"/>
      <c r="T15" s="2593"/>
      <c r="U15" s="2520"/>
      <c r="V15" s="2593"/>
      <c r="W15" s="2520"/>
      <c r="X15" s="2593"/>
      <c r="Y15" s="2520"/>
      <c r="Z15" s="2593"/>
      <c r="AA15" s="2520"/>
      <c r="AB15" s="2593"/>
      <c r="AC15" s="2638"/>
      <c r="AD15" s="2638"/>
      <c r="AE15" s="2638"/>
      <c r="AF15" s="2638"/>
      <c r="AG15" s="2638"/>
      <c r="AH15" s="2638"/>
      <c r="AI15" s="2638"/>
      <c r="AJ15" s="2638"/>
      <c r="AK15" s="2638"/>
      <c r="AL15" s="2638"/>
      <c r="AM15" s="2638"/>
      <c r="AN15" s="2638"/>
      <c r="AO15" s="2638"/>
      <c r="AP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9"/>
      <c r="BT15" s="2520"/>
      <c r="BU15" s="2593"/>
      <c r="BV15" s="2520"/>
      <c r="BW15" s="2593"/>
      <c r="BX15" s="2520"/>
      <c r="BY15" s="2593"/>
      <c r="BZ15" s="2520"/>
      <c r="CA15" s="2593"/>
      <c r="CB15" s="2520"/>
      <c r="CC15" s="2593"/>
      <c r="CD15" s="2520"/>
      <c r="CE15" s="2593"/>
      <c r="CF15" s="2520"/>
      <c r="CG15" s="2593"/>
      <c r="CH15" s="2520"/>
      <c r="CI15" s="2593"/>
      <c r="CJ15" s="2520"/>
      <c r="CK15" s="2593"/>
      <c r="CL15" s="2645"/>
      <c r="CM15" s="2638"/>
      <c r="CN15" s="2638"/>
      <c r="CO15" s="2638"/>
      <c r="CP15" s="2638"/>
      <c r="CQ15" s="2638"/>
      <c r="CR15" s="2638"/>
      <c r="CS15" s="2638"/>
      <c r="CT15" s="2638"/>
      <c r="CU15" s="2638"/>
      <c r="CV15" s="2638"/>
      <c r="CW15" s="2638"/>
      <c r="CX15" s="2639"/>
      <c r="CY15" s="2520"/>
      <c r="CZ15" s="2593"/>
      <c r="DA15" s="2520"/>
      <c r="DB15" s="2593"/>
      <c r="DC15" s="2520"/>
      <c r="DD15" s="2593"/>
      <c r="DE15" s="2520"/>
      <c r="DF15" s="2593"/>
      <c r="DG15" s="2520"/>
      <c r="DH15" s="2593"/>
      <c r="DI15" s="2520"/>
      <c r="DJ15" s="2593"/>
      <c r="DK15" s="2645"/>
      <c r="DL15" s="2638"/>
      <c r="DM15" s="2638"/>
      <c r="DN15" s="2638"/>
      <c r="DO15" s="2638"/>
      <c r="DP15" s="2638"/>
      <c r="DQ15" s="2638"/>
      <c r="DR15" s="2638"/>
      <c r="DS15" s="2638"/>
      <c r="DT15" s="2638"/>
      <c r="DU15" s="2638"/>
      <c r="DV15" s="2638"/>
      <c r="DW15" s="2638"/>
      <c r="DX15" s="2638"/>
      <c r="DY15" s="2638"/>
      <c r="DZ15" s="2638"/>
      <c r="EA15" s="2638"/>
      <c r="EB15" s="2638"/>
      <c r="EC15" s="2638"/>
      <c r="ED15" s="2638"/>
      <c r="EE15" s="2638"/>
      <c r="EF15" s="2638"/>
      <c r="EG15" s="2638"/>
      <c r="EH15" s="2638"/>
      <c r="EI15" s="2638"/>
      <c r="EJ15" s="2638"/>
      <c r="EK15" s="2638"/>
      <c r="EL15" s="2638"/>
      <c r="EM15" s="2638"/>
      <c r="EN15" s="2638"/>
      <c r="EO15" s="2638"/>
      <c r="EP15" s="2638"/>
      <c r="EQ15" s="2638"/>
      <c r="ER15" s="2638"/>
      <c r="ES15" s="2638"/>
      <c r="ET15" s="2638"/>
      <c r="EU15" s="2638"/>
      <c r="EV15" s="2638"/>
      <c r="EW15" s="2638"/>
      <c r="EX15" s="2638"/>
      <c r="EY15" s="2638"/>
      <c r="EZ15" s="2638"/>
      <c r="FA15" s="2638"/>
      <c r="FB15" s="2638"/>
      <c r="FC15" s="2638"/>
      <c r="FD15" s="2638"/>
      <c r="FE15" s="2638"/>
      <c r="FF15" s="2638"/>
      <c r="FG15" s="2638"/>
      <c r="FH15" s="2638"/>
      <c r="FI15" s="2638"/>
      <c r="FJ15" s="2638"/>
      <c r="FK15" s="2638"/>
      <c r="FL15" s="2638"/>
      <c r="FM15" s="2638"/>
      <c r="FN15" s="2638"/>
      <c r="FO15" s="2638"/>
      <c r="FP15" s="2638"/>
      <c r="FQ15" s="2638"/>
      <c r="FR15" s="2638"/>
      <c r="FS15" s="2638"/>
      <c r="FT15" s="2638"/>
      <c r="FU15" s="2638"/>
      <c r="FV15" s="2638"/>
      <c r="FW15" s="2643"/>
      <c r="FX15" s="696"/>
      <c r="GC15" s="851">
        <v>36</v>
      </c>
    </row>
    <row r="16" spans="2:185" ht="12.75" customHeight="1">
      <c r="D16" s="863"/>
      <c r="E16" s="862"/>
      <c r="F16" s="2413"/>
      <c r="G16" s="2413"/>
      <c r="H16" s="2413"/>
      <c r="I16" s="2413"/>
      <c r="J16" s="2655"/>
      <c r="K16" s="2655"/>
      <c r="L16" s="2655"/>
      <c r="M16" s="2655"/>
      <c r="N16" s="2655"/>
      <c r="O16" s="2557" t="s">
        <v>823</v>
      </c>
      <c r="P16" s="2637"/>
      <c r="Q16" s="2557" t="s">
        <v>825</v>
      </c>
      <c r="R16" s="2637"/>
      <c r="S16" s="2557" t="s">
        <v>829</v>
      </c>
      <c r="T16" s="2637"/>
      <c r="U16" s="2557" t="s">
        <v>834</v>
      </c>
      <c r="V16" s="2637"/>
      <c r="W16" s="2557" t="s">
        <v>837</v>
      </c>
      <c r="X16" s="2637"/>
      <c r="Y16" s="2557" t="s">
        <v>841</v>
      </c>
      <c r="Z16" s="2637"/>
      <c r="AA16" s="2557" t="s">
        <v>844</v>
      </c>
      <c r="AB16" s="2637"/>
      <c r="AC16" s="2638"/>
      <c r="AD16" s="2638"/>
      <c r="AE16" s="2638"/>
      <c r="AF16" s="2638"/>
      <c r="AG16" s="2638"/>
      <c r="AH16" s="2638"/>
      <c r="AI16" s="2638"/>
      <c r="AJ16" s="2638"/>
      <c r="AK16" s="2638"/>
      <c r="AL16" s="2638"/>
      <c r="AM16" s="2638"/>
      <c r="AN16" s="2638"/>
      <c r="AO16" s="2638"/>
      <c r="AP16" s="2638"/>
      <c r="AQ16" s="2638"/>
      <c r="AR16" s="2638"/>
      <c r="AS16" s="2638"/>
      <c r="AT16" s="2638"/>
      <c r="AU16" s="2638"/>
      <c r="AV16" s="2638"/>
      <c r="AW16" s="2638"/>
      <c r="AX16" s="2638"/>
      <c r="AY16" s="2638"/>
      <c r="AZ16" s="2638"/>
      <c r="BA16" s="2638"/>
      <c r="BB16" s="2638"/>
      <c r="BC16" s="2638"/>
      <c r="BD16" s="2638"/>
      <c r="BE16" s="2638"/>
      <c r="BF16" s="2638"/>
      <c r="BG16" s="2638"/>
      <c r="BH16" s="2638"/>
      <c r="BI16" s="2638"/>
      <c r="BJ16" s="2638"/>
      <c r="BK16" s="2638"/>
      <c r="BL16" s="2638"/>
      <c r="BM16" s="2638"/>
      <c r="BN16" s="2638"/>
      <c r="BO16" s="2638"/>
      <c r="BP16" s="2638"/>
      <c r="BQ16" s="2638"/>
      <c r="BR16" s="2638"/>
      <c r="BS16" s="2639"/>
      <c r="BT16" s="2557" t="s">
        <v>555</v>
      </c>
      <c r="BU16" s="2637"/>
      <c r="BV16" s="2557" t="s">
        <v>555</v>
      </c>
      <c r="BW16" s="2637"/>
      <c r="BX16" s="2557" t="s">
        <v>555</v>
      </c>
      <c r="BY16" s="2637"/>
      <c r="BZ16" s="2557" t="s">
        <v>555</v>
      </c>
      <c r="CA16" s="2637"/>
      <c r="CB16" s="2557" t="s">
        <v>1177</v>
      </c>
      <c r="CC16" s="2637"/>
      <c r="CD16" s="2557" t="s">
        <v>555</v>
      </c>
      <c r="CE16" s="2637"/>
      <c r="CF16" s="2557" t="s">
        <v>1178</v>
      </c>
      <c r="CG16" s="2637"/>
      <c r="CH16" s="2557" t="s">
        <v>1179</v>
      </c>
      <c r="CI16" s="2637"/>
      <c r="CJ16" s="2557" t="s">
        <v>1179</v>
      </c>
      <c r="CK16" s="2637"/>
      <c r="CL16" s="2645"/>
      <c r="CM16" s="2638"/>
      <c r="CN16" s="2638"/>
      <c r="CO16" s="2638"/>
      <c r="CP16" s="2638"/>
      <c r="CQ16" s="2638"/>
      <c r="CR16" s="2638"/>
      <c r="CS16" s="2638"/>
      <c r="CT16" s="2638"/>
      <c r="CU16" s="2638"/>
      <c r="CV16" s="2638"/>
      <c r="CW16" s="2638"/>
      <c r="CX16" s="2639"/>
      <c r="CY16" s="2518" t="s">
        <v>555</v>
      </c>
      <c r="CZ16" s="2559"/>
      <c r="DA16" s="2518" t="s">
        <v>555</v>
      </c>
      <c r="DB16" s="2559"/>
      <c r="DC16" s="2518" t="s">
        <v>555</v>
      </c>
      <c r="DD16" s="2559"/>
      <c r="DE16" s="2557" t="s">
        <v>1177</v>
      </c>
      <c r="DF16" s="2637"/>
      <c r="DG16" s="2557" t="s">
        <v>1180</v>
      </c>
      <c r="DH16" s="2637"/>
      <c r="DI16" s="2557" t="s">
        <v>1180</v>
      </c>
      <c r="DJ16" s="2637"/>
      <c r="DK16" s="2645"/>
      <c r="DL16" s="2638"/>
      <c r="DM16" s="2638"/>
      <c r="DN16" s="2638"/>
      <c r="DO16" s="2638"/>
      <c r="DP16" s="2638"/>
      <c r="DQ16" s="2638"/>
      <c r="DR16" s="2638"/>
      <c r="DS16" s="2638"/>
      <c r="DT16" s="2638"/>
      <c r="DU16" s="2638"/>
      <c r="DV16" s="2638"/>
      <c r="DW16" s="2638"/>
      <c r="DX16" s="2638"/>
      <c r="DY16" s="2638"/>
      <c r="DZ16" s="2638"/>
      <c r="EA16" s="2638"/>
      <c r="EB16" s="2638"/>
      <c r="EC16" s="2638"/>
      <c r="ED16" s="2638"/>
      <c r="EE16" s="2638"/>
      <c r="EF16" s="2638"/>
      <c r="EG16" s="2638"/>
      <c r="EH16" s="2638"/>
      <c r="EI16" s="2638"/>
      <c r="EJ16" s="2638"/>
      <c r="EK16" s="2638"/>
      <c r="EL16" s="2638"/>
      <c r="EM16" s="2638"/>
      <c r="EN16" s="2638"/>
      <c r="EO16" s="2638"/>
      <c r="EP16" s="2638"/>
      <c r="EQ16" s="2638"/>
      <c r="ER16" s="2638"/>
      <c r="ES16" s="2638"/>
      <c r="ET16" s="2638"/>
      <c r="EU16" s="2638"/>
      <c r="EV16" s="2638"/>
      <c r="EW16" s="2638"/>
      <c r="EX16" s="2638"/>
      <c r="EY16" s="2638"/>
      <c r="EZ16" s="2638"/>
      <c r="FA16" s="2638"/>
      <c r="FB16" s="2638"/>
      <c r="FC16" s="2638"/>
      <c r="FD16" s="2638"/>
      <c r="FE16" s="2638"/>
      <c r="FF16" s="2638"/>
      <c r="FG16" s="2638"/>
      <c r="FH16" s="2638"/>
      <c r="FI16" s="2638"/>
      <c r="FJ16" s="2638"/>
      <c r="FK16" s="2638"/>
      <c r="FL16" s="2638"/>
      <c r="FM16" s="2638"/>
      <c r="FN16" s="2638"/>
      <c r="FO16" s="2638"/>
      <c r="FP16" s="2638"/>
      <c r="FQ16" s="2638"/>
      <c r="FR16" s="2638"/>
      <c r="FS16" s="2638"/>
      <c r="FT16" s="2638"/>
      <c r="FU16" s="2638"/>
      <c r="FV16" s="2638"/>
      <c r="FW16" s="2643"/>
      <c r="FX16" s="696"/>
      <c r="GC16" s="851">
        <v>12</v>
      </c>
    </row>
    <row r="17" spans="1:185" ht="15.75" customHeight="1">
      <c r="E17" s="862"/>
      <c r="F17" s="2413"/>
      <c r="G17" s="2413"/>
      <c r="H17" s="2413"/>
      <c r="I17" s="2413"/>
      <c r="J17" s="2655"/>
      <c r="K17" s="2655"/>
      <c r="L17" s="2655"/>
      <c r="M17" s="2655"/>
      <c r="N17" s="2655"/>
      <c r="O17" s="1109" t="s">
        <v>1181</v>
      </c>
      <c r="P17" s="1109" t="s">
        <v>1182</v>
      </c>
      <c r="Q17" s="1109" t="s">
        <v>1181</v>
      </c>
      <c r="R17" s="1109" t="s">
        <v>1182</v>
      </c>
      <c r="S17" s="1109" t="s">
        <v>1181</v>
      </c>
      <c r="T17" s="1109" t="s">
        <v>1182</v>
      </c>
      <c r="U17" s="1109" t="s">
        <v>1181</v>
      </c>
      <c r="V17" s="1109" t="s">
        <v>1182</v>
      </c>
      <c r="W17" s="1109" t="s">
        <v>1181</v>
      </c>
      <c r="X17" s="1109" t="s">
        <v>1182</v>
      </c>
      <c r="Y17" s="1109" t="s">
        <v>1181</v>
      </c>
      <c r="Z17" s="1109" t="s">
        <v>1182</v>
      </c>
      <c r="AA17" s="1109" t="s">
        <v>1181</v>
      </c>
      <c r="AB17" s="1109" t="s">
        <v>1182</v>
      </c>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8"/>
      <c r="AZ17" s="2638"/>
      <c r="BA17" s="2638"/>
      <c r="BB17" s="2638"/>
      <c r="BC17" s="2638"/>
      <c r="BD17" s="2638"/>
      <c r="BE17" s="2638"/>
      <c r="BF17" s="2638"/>
      <c r="BG17" s="2638"/>
      <c r="BH17" s="2638"/>
      <c r="BI17" s="2638"/>
      <c r="BJ17" s="2638"/>
      <c r="BK17" s="2638"/>
      <c r="BL17" s="2638"/>
      <c r="BM17" s="2638"/>
      <c r="BN17" s="2638"/>
      <c r="BO17" s="2638"/>
      <c r="BP17" s="2638"/>
      <c r="BQ17" s="2638"/>
      <c r="BR17" s="2638"/>
      <c r="BS17" s="2639"/>
      <c r="BT17" s="1109" t="s">
        <v>1181</v>
      </c>
      <c r="BU17" s="1109" t="s">
        <v>1182</v>
      </c>
      <c r="BV17" s="1109" t="s">
        <v>1181</v>
      </c>
      <c r="BW17" s="1109" t="s">
        <v>1182</v>
      </c>
      <c r="BX17" s="1109" t="s">
        <v>1181</v>
      </c>
      <c r="BY17" s="1109" t="s">
        <v>1182</v>
      </c>
      <c r="BZ17" s="1109" t="s">
        <v>1181</v>
      </c>
      <c r="CA17" s="1109" t="s">
        <v>1182</v>
      </c>
      <c r="CB17" s="1109" t="s">
        <v>1181</v>
      </c>
      <c r="CC17" s="1109" t="s">
        <v>1182</v>
      </c>
      <c r="CD17" s="1109" t="s">
        <v>1181</v>
      </c>
      <c r="CE17" s="1109" t="s">
        <v>1182</v>
      </c>
      <c r="CF17" s="1109" t="s">
        <v>1181</v>
      </c>
      <c r="CG17" s="1109" t="s">
        <v>1182</v>
      </c>
      <c r="CH17" s="1109" t="s">
        <v>1181</v>
      </c>
      <c r="CI17" s="1109" t="s">
        <v>1182</v>
      </c>
      <c r="CJ17" s="1109" t="s">
        <v>1181</v>
      </c>
      <c r="CK17" s="1109" t="s">
        <v>1182</v>
      </c>
      <c r="CL17" s="2645"/>
      <c r="CM17" s="2638"/>
      <c r="CN17" s="2638"/>
      <c r="CO17" s="2638"/>
      <c r="CP17" s="2638"/>
      <c r="CQ17" s="2638"/>
      <c r="CR17" s="2638"/>
      <c r="CS17" s="2638"/>
      <c r="CT17" s="2638"/>
      <c r="CU17" s="2638"/>
      <c r="CV17" s="2638"/>
      <c r="CW17" s="2638"/>
      <c r="CX17" s="2639"/>
      <c r="CY17" s="1109" t="s">
        <v>1181</v>
      </c>
      <c r="CZ17" s="1109" t="s">
        <v>1182</v>
      </c>
      <c r="DA17" s="1109" t="s">
        <v>1181</v>
      </c>
      <c r="DB17" s="1109" t="s">
        <v>1182</v>
      </c>
      <c r="DC17" s="1109" t="s">
        <v>1181</v>
      </c>
      <c r="DD17" s="1109" t="s">
        <v>1182</v>
      </c>
      <c r="DE17" s="1109" t="s">
        <v>1181</v>
      </c>
      <c r="DF17" s="1109" t="s">
        <v>1182</v>
      </c>
      <c r="DG17" s="1109" t="s">
        <v>1181</v>
      </c>
      <c r="DH17" s="1109" t="s">
        <v>1182</v>
      </c>
      <c r="DI17" s="1109" t="s">
        <v>1181</v>
      </c>
      <c r="DJ17" s="1109" t="s">
        <v>1182</v>
      </c>
      <c r="DK17" s="2645"/>
      <c r="DL17" s="2638"/>
      <c r="DM17" s="2638"/>
      <c r="DN17" s="2638"/>
      <c r="DO17" s="2638"/>
      <c r="DP17" s="2638"/>
      <c r="DQ17" s="2638"/>
      <c r="DR17" s="2638"/>
      <c r="DS17" s="2638"/>
      <c r="DT17" s="2638"/>
      <c r="DU17" s="2638"/>
      <c r="DV17" s="2638"/>
      <c r="DW17" s="2638"/>
      <c r="DX17" s="2638"/>
      <c r="DY17" s="2638"/>
      <c r="DZ17" s="2638"/>
      <c r="EA17" s="2638"/>
      <c r="EB17" s="2638"/>
      <c r="EC17" s="2638"/>
      <c r="ED17" s="2638"/>
      <c r="EE17" s="2638"/>
      <c r="EF17" s="2638"/>
      <c r="EG17" s="2638"/>
      <c r="EH17" s="2638"/>
      <c r="EI17" s="2638"/>
      <c r="EJ17" s="2638"/>
      <c r="EK17" s="2638"/>
      <c r="EL17" s="2638"/>
      <c r="EM17" s="2638"/>
      <c r="EN17" s="2638"/>
      <c r="EO17" s="2638"/>
      <c r="EP17" s="2638"/>
      <c r="EQ17" s="2638"/>
      <c r="ER17" s="2638"/>
      <c r="ES17" s="2638"/>
      <c r="ET17" s="2638"/>
      <c r="EU17" s="2638"/>
      <c r="EV17" s="2638"/>
      <c r="EW17" s="2638"/>
      <c r="EX17" s="2638"/>
      <c r="EY17" s="2638"/>
      <c r="EZ17" s="2638"/>
      <c r="FA17" s="2638"/>
      <c r="FB17" s="2638"/>
      <c r="FC17" s="2638"/>
      <c r="FD17" s="2638"/>
      <c r="FE17" s="2638"/>
      <c r="FF17" s="2638"/>
      <c r="FG17" s="2638"/>
      <c r="FH17" s="2638"/>
      <c r="FI17" s="2638"/>
      <c r="FJ17" s="2638"/>
      <c r="FK17" s="2638"/>
      <c r="FL17" s="2638"/>
      <c r="FM17" s="2638"/>
      <c r="FN17" s="2638"/>
      <c r="FO17" s="2638"/>
      <c r="FP17" s="2638"/>
      <c r="FQ17" s="2638"/>
      <c r="FR17" s="2638"/>
      <c r="FS17" s="2638"/>
      <c r="FT17" s="2638"/>
      <c r="FU17" s="2638"/>
      <c r="FV17" s="2638"/>
      <c r="FW17" s="2644"/>
      <c r="FX17" s="696"/>
      <c r="GC17" s="851">
        <v>15</v>
      </c>
    </row>
    <row r="18" spans="1:185" s="2045" customFormat="1" ht="12" hidden="1" customHeight="1">
      <c r="B18" s="848"/>
      <c r="E18" s="864"/>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9">
        <v>0</v>
      </c>
    </row>
    <row r="19" spans="1:185" s="2045" customFormat="1" ht="11.25" hidden="1" customHeight="1">
      <c r="B19" s="848"/>
      <c r="E19" s="864"/>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9">
        <v>0</v>
      </c>
    </row>
    <row r="20" spans="1:185" s="2045" customFormat="1" ht="11.25" hidden="1" customHeight="1">
      <c r="B20" s="865"/>
      <c r="D20" s="849"/>
      <c r="E20" s="864"/>
      <c r="F20" s="1115" t="s">
        <v>373</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7">
        <v>0</v>
      </c>
    </row>
    <row r="21" spans="1:185" s="2045" customFormat="1" ht="21" customHeight="1">
      <c r="A21" s="2037" t="s">
        <v>992</v>
      </c>
      <c r="B21" s="2049"/>
      <c r="E21" s="2048" t="s">
        <v>22</v>
      </c>
      <c r="F21" s="2081" t="str">
        <f>INDEX(IP_MAIN_LIST_NAME_IP,MATCH(A21,IP_MAIN_LIST_IP_ID,0))&amp;" ("&amp;INDEX(IP_MAIN_START_DATE,MATCH(A21,IP_MAIN_LIST_IP_ID,0))&amp;"-"&amp;INDEX(IP_MAIN_END_DATE,MATCH(A21,IP_MAIN_LIST_IP_ID,0))&amp;")"</f>
        <v>Инвестиционная программа от 30.10.2023 ПАО "ТГК-1" филиал "Невский" в сфере теплоснабжения по комплексному развитию систем теплоснабжения на 2024-2028 годы (01.01.2024-31.12.2028)</v>
      </c>
      <c r="G21" s="2082"/>
      <c r="H21" s="2083"/>
      <c r="I21" s="2083"/>
      <c r="J21" s="2083"/>
      <c r="K21" s="2083"/>
      <c r="L21" s="2083"/>
      <c r="M21" s="2083"/>
      <c r="N21" s="2083"/>
      <c r="O21" s="2082"/>
      <c r="P21" s="2082"/>
      <c r="Q21" s="2082"/>
      <c r="R21" s="2082"/>
      <c r="S21" s="2082"/>
      <c r="T21" s="2082"/>
      <c r="U21" s="2084"/>
      <c r="V21" s="2084"/>
      <c r="W21" s="2084"/>
      <c r="X21" s="2084"/>
      <c r="Y21" s="2084"/>
      <c r="Z21" s="2084"/>
      <c r="AA21" s="2084"/>
      <c r="AB21" s="2082"/>
      <c r="AC21" s="2083"/>
      <c r="AD21" s="2083"/>
      <c r="AE21" s="2083"/>
      <c r="AF21" s="2083"/>
      <c r="AG21" s="2083"/>
      <c r="AH21" s="2083"/>
      <c r="AI21" s="2083"/>
      <c r="AJ21" s="2083"/>
      <c r="AK21" s="2083"/>
      <c r="AL21" s="2083"/>
      <c r="AM21" s="2083"/>
      <c r="AN21" s="2083"/>
      <c r="AO21" s="2083"/>
      <c r="AP21" s="2083"/>
      <c r="AQ21" s="2083"/>
      <c r="AR21" s="2083"/>
      <c r="AS21" s="2083"/>
      <c r="AT21" s="2083"/>
      <c r="AU21" s="2083"/>
      <c r="AV21" s="2083"/>
      <c r="AW21" s="2083"/>
      <c r="AX21" s="2083"/>
      <c r="AY21" s="2083"/>
      <c r="AZ21" s="2083"/>
      <c r="BA21" s="2083"/>
      <c r="BB21" s="2083"/>
      <c r="BC21" s="2083"/>
      <c r="BD21" s="2083"/>
      <c r="BE21" s="2083"/>
      <c r="BF21" s="2083"/>
      <c r="BG21" s="2083"/>
      <c r="BH21" s="2083"/>
      <c r="BI21" s="2083"/>
      <c r="BJ21" s="2083"/>
      <c r="BK21" s="2083"/>
      <c r="BL21" s="2083"/>
      <c r="BM21" s="2083"/>
      <c r="BN21" s="2083"/>
      <c r="BO21" s="2083"/>
      <c r="BP21" s="2083"/>
      <c r="BQ21" s="2083"/>
      <c r="BR21" s="2083"/>
      <c r="BS21" s="2083"/>
      <c r="BT21" s="2083"/>
      <c r="BU21" s="2083"/>
      <c r="BV21" s="2083"/>
      <c r="BW21" s="2083"/>
      <c r="BX21" s="2083"/>
      <c r="BY21" s="2083"/>
      <c r="BZ21" s="2083"/>
      <c r="CA21" s="2083"/>
      <c r="CB21" s="2083"/>
      <c r="CC21" s="2083"/>
      <c r="CD21" s="2083"/>
      <c r="CE21" s="2083"/>
      <c r="CF21" s="2083"/>
      <c r="CG21" s="2083"/>
      <c r="CH21" s="2083"/>
      <c r="CI21" s="2083"/>
      <c r="CJ21" s="2083"/>
      <c r="CK21" s="2083"/>
      <c r="CL21" s="2085"/>
      <c r="CM21" s="2085"/>
      <c r="CN21" s="2085"/>
      <c r="CO21" s="2085"/>
      <c r="CP21" s="2085"/>
      <c r="CQ21" s="2085"/>
      <c r="CR21" s="2085"/>
      <c r="CS21" s="2085"/>
      <c r="CT21" s="2085"/>
      <c r="CU21" s="2085"/>
      <c r="CV21" s="2085"/>
      <c r="CW21" s="2085"/>
      <c r="CX21" s="2085"/>
      <c r="CY21" s="2085"/>
      <c r="CZ21" s="2085"/>
      <c r="DA21" s="2085"/>
      <c r="DB21" s="2085"/>
      <c r="DC21" s="2085"/>
      <c r="DD21" s="2085"/>
      <c r="DE21" s="2085"/>
      <c r="DF21" s="2085"/>
      <c r="DG21" s="2085"/>
      <c r="DH21" s="2085"/>
      <c r="DI21" s="2085"/>
      <c r="DJ21" s="2085"/>
      <c r="DK21" s="2085"/>
      <c r="DL21" s="2085"/>
      <c r="DM21" s="2085"/>
      <c r="DN21" s="2085"/>
      <c r="DO21" s="2085"/>
      <c r="DP21" s="2085"/>
      <c r="DQ21" s="2085"/>
      <c r="DR21" s="2085"/>
      <c r="DS21" s="2085"/>
      <c r="DT21" s="2085"/>
      <c r="DU21" s="2085"/>
      <c r="DV21" s="2085"/>
      <c r="DW21" s="2085"/>
      <c r="DX21" s="2085"/>
      <c r="DY21" s="2085"/>
      <c r="DZ21" s="2085"/>
      <c r="EA21" s="2085"/>
      <c r="EB21" s="2085"/>
      <c r="EC21" s="2085"/>
      <c r="ED21" s="2085"/>
      <c r="EE21" s="2085"/>
      <c r="EF21" s="2085"/>
      <c r="EG21" s="2085"/>
      <c r="EH21" s="2085"/>
      <c r="EI21" s="2085"/>
      <c r="EJ21" s="2085"/>
      <c r="EK21" s="2085"/>
      <c r="EL21" s="2085"/>
      <c r="EM21" s="2085"/>
      <c r="EN21" s="2085"/>
      <c r="EO21" s="2085"/>
      <c r="EP21" s="2085"/>
      <c r="EQ21" s="2085"/>
      <c r="ER21" s="2085"/>
      <c r="ES21" s="2085"/>
      <c r="ET21" s="2085"/>
      <c r="EU21" s="2085"/>
      <c r="EV21" s="2085"/>
      <c r="EW21" s="2085"/>
      <c r="EX21" s="2085"/>
      <c r="EY21" s="2085"/>
      <c r="EZ21" s="2085"/>
      <c r="FA21" s="2085"/>
      <c r="FB21" s="2085"/>
      <c r="FC21" s="2085"/>
      <c r="FD21" s="2085"/>
      <c r="FE21" s="2085"/>
      <c r="FF21" s="2085"/>
      <c r="FG21" s="2085"/>
      <c r="FH21" s="2085"/>
      <c r="FI21" s="2085"/>
      <c r="FJ21" s="2085"/>
      <c r="FK21" s="2085"/>
      <c r="FL21" s="2085"/>
      <c r="FM21" s="2085"/>
      <c r="FN21" s="2085"/>
      <c r="FO21" s="2085"/>
      <c r="FP21" s="2085"/>
      <c r="FQ21" s="2085"/>
      <c r="FR21" s="2085"/>
      <c r="FS21" s="2085"/>
      <c r="FT21" s="2085"/>
      <c r="FU21" s="2085"/>
      <c r="FV21" s="2086"/>
      <c r="FW21" s="2050"/>
      <c r="FX21" s="2051"/>
    </row>
    <row r="22" spans="1:185" s="2045" customFormat="1" ht="93" customHeight="1">
      <c r="A22" s="2045" t="s">
        <v>992</v>
      </c>
      <c r="B22" s="2049"/>
      <c r="E22" s="2114"/>
      <c r="F22" s="2087">
        <v>1</v>
      </c>
      <c r="G22" s="2088" t="s">
        <v>983</v>
      </c>
      <c r="H22" s="2089" t="s">
        <v>1183</v>
      </c>
      <c r="I22" s="2090"/>
      <c r="J22" s="2091"/>
      <c r="K22" s="2091"/>
      <c r="L22" s="2091"/>
      <c r="M22" s="2091"/>
      <c r="N22" s="2091"/>
      <c r="O22" s="2092">
        <v>0</v>
      </c>
      <c r="P22" s="2092">
        <v>0</v>
      </c>
      <c r="Q22" s="2092">
        <v>0</v>
      </c>
      <c r="R22" s="2092">
        <v>0</v>
      </c>
      <c r="S22" s="2092">
        <v>0.16725999999999999</v>
      </c>
      <c r="T22" s="2092">
        <v>0.16697999999999999</v>
      </c>
      <c r="U22" s="2092">
        <v>0</v>
      </c>
      <c r="V22" s="2092">
        <v>0</v>
      </c>
      <c r="W22" s="2092">
        <v>0</v>
      </c>
      <c r="X22" s="2092">
        <v>0</v>
      </c>
      <c r="Y22" s="2092">
        <v>0</v>
      </c>
      <c r="Z22" s="2092">
        <v>0</v>
      </c>
      <c r="AA22" s="2092">
        <v>0</v>
      </c>
      <c r="AB22" s="2092">
        <v>0</v>
      </c>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1"/>
      <c r="AY22" s="2091"/>
      <c r="AZ22" s="2091"/>
      <c r="BA22" s="2091"/>
      <c r="BB22" s="2091"/>
      <c r="BC22" s="2091"/>
      <c r="BD22" s="2091"/>
      <c r="BE22" s="2091"/>
      <c r="BF22" s="2091"/>
      <c r="BG22" s="2091"/>
      <c r="BH22" s="2091"/>
      <c r="BI22" s="2091"/>
      <c r="BJ22" s="2091"/>
      <c r="BK22" s="2091"/>
      <c r="BL22" s="2091"/>
      <c r="BM22" s="2091"/>
      <c r="BN22" s="2091"/>
      <c r="BO22" s="2091"/>
      <c r="BP22" s="2091"/>
      <c r="BQ22" s="2091"/>
      <c r="BR22" s="2091"/>
      <c r="BS22" s="2091"/>
      <c r="BT22" s="2092"/>
      <c r="BU22" s="2092"/>
      <c r="BV22" s="2092"/>
      <c r="BW22" s="2092"/>
      <c r="BX22" s="2092"/>
      <c r="BY22" s="2092"/>
      <c r="BZ22" s="2092"/>
      <c r="CA22" s="2092"/>
      <c r="CB22" s="2092"/>
      <c r="CC22" s="2092"/>
      <c r="CD22" s="2092"/>
      <c r="CE22" s="2092"/>
      <c r="CF22" s="2092"/>
      <c r="CG22" s="2092"/>
      <c r="CH22" s="2092"/>
      <c r="CI22" s="2092"/>
      <c r="CJ22" s="2092"/>
      <c r="CK22" s="2092"/>
      <c r="CL22" s="2091"/>
      <c r="CM22" s="2091"/>
      <c r="CN22" s="2091"/>
      <c r="CO22" s="2091"/>
      <c r="CP22" s="2091"/>
      <c r="CQ22" s="2091"/>
      <c r="CR22" s="2091"/>
      <c r="CS22" s="2091"/>
      <c r="CT22" s="2091"/>
      <c r="CU22" s="2091"/>
      <c r="CV22" s="2091"/>
      <c r="CW22" s="2091"/>
      <c r="CX22" s="2091"/>
      <c r="CY22" s="2092"/>
      <c r="CZ22" s="2092"/>
      <c r="DA22" s="2092"/>
      <c r="DB22" s="2092"/>
      <c r="DC22" s="2092"/>
      <c r="DD22" s="2092"/>
      <c r="DE22" s="2092"/>
      <c r="DF22" s="2092"/>
      <c r="DG22" s="2092"/>
      <c r="DH22" s="2092"/>
      <c r="DI22" s="2092"/>
      <c r="DJ22" s="2092"/>
      <c r="DK22" s="2091"/>
      <c r="DL22" s="2091"/>
      <c r="DM22" s="2091"/>
      <c r="DN22" s="2091"/>
      <c r="DO22" s="2091"/>
      <c r="DP22" s="2091"/>
      <c r="DQ22" s="2091"/>
      <c r="DR22" s="2091"/>
      <c r="DS22" s="2091"/>
      <c r="DT22" s="2091"/>
      <c r="DU22" s="2091"/>
      <c r="DV22" s="2091"/>
      <c r="DW22" s="2091"/>
      <c r="DX22" s="2091"/>
      <c r="DY22" s="2091"/>
      <c r="DZ22" s="2091"/>
      <c r="EA22" s="2091"/>
      <c r="EB22" s="2091"/>
      <c r="EC22" s="2091"/>
      <c r="ED22" s="2091"/>
      <c r="EE22" s="2091"/>
      <c r="EF22" s="2091"/>
      <c r="EG22" s="2091"/>
      <c r="EH22" s="2091"/>
      <c r="EI22" s="2091"/>
      <c r="EJ22" s="2091"/>
      <c r="EK22" s="2091"/>
      <c r="EL22" s="2091"/>
      <c r="EM22" s="2091"/>
      <c r="EN22" s="2091"/>
      <c r="EO22" s="2091"/>
      <c r="EP22" s="2091"/>
      <c r="EQ22" s="2091"/>
      <c r="ER22" s="2091"/>
      <c r="ES22" s="2091"/>
      <c r="ET22" s="2091"/>
      <c r="EU22" s="2091"/>
      <c r="EV22" s="2091"/>
      <c r="EW22" s="2091"/>
      <c r="EX22" s="2091"/>
      <c r="EY22" s="2091"/>
      <c r="EZ22" s="2091"/>
      <c r="FA22" s="2091"/>
      <c r="FB22" s="2091"/>
      <c r="FC22" s="2091"/>
      <c r="FD22" s="2091"/>
      <c r="FE22" s="2091"/>
      <c r="FF22" s="2091"/>
      <c r="FG22" s="2091"/>
      <c r="FH22" s="2091"/>
      <c r="FI22" s="2091"/>
      <c r="FJ22" s="2091"/>
      <c r="FK22" s="2091"/>
      <c r="FL22" s="2091"/>
      <c r="FM22" s="2091"/>
      <c r="FN22" s="2091"/>
      <c r="FO22" s="2091"/>
      <c r="FP22" s="2091"/>
      <c r="FQ22" s="2091"/>
      <c r="FR22" s="2091"/>
      <c r="FS22" s="2091"/>
      <c r="FT22" s="2091"/>
      <c r="FU22" s="2091"/>
      <c r="FV22" s="2091"/>
      <c r="FW22" s="2091"/>
      <c r="FX22" s="2051"/>
    </row>
    <row r="23" spans="1:185" s="2045" customFormat="1" ht="12" customHeight="1">
      <c r="A23" s="2045" t="s">
        <v>992</v>
      </c>
      <c r="B23" s="2049"/>
      <c r="F23" s="2118"/>
      <c r="G23" s="2119" t="s">
        <v>1184</v>
      </c>
      <c r="H23" s="2120"/>
      <c r="I23" s="2121"/>
      <c r="J23" s="2122"/>
      <c r="K23" s="2123"/>
      <c r="L23" s="2124"/>
      <c r="M23" s="2125"/>
      <c r="N23" s="2126"/>
      <c r="O23" s="2127"/>
      <c r="P23" s="2128"/>
      <c r="Q23" s="2129"/>
      <c r="R23" s="2130"/>
      <c r="S23" s="2131"/>
      <c r="T23" s="2132"/>
      <c r="U23" s="2133"/>
      <c r="V23" s="2134"/>
      <c r="W23" s="2135"/>
      <c r="X23" s="2136"/>
      <c r="Y23" s="2137"/>
      <c r="Z23" s="2138"/>
      <c r="AA23" s="2139"/>
      <c r="AB23" s="2140"/>
      <c r="AC23" s="2141"/>
      <c r="AD23" s="2142"/>
      <c r="AE23" s="2143"/>
      <c r="AF23" s="2144"/>
      <c r="AG23" s="2145"/>
      <c r="AH23" s="2146"/>
      <c r="AI23" s="2147"/>
      <c r="AJ23" s="2148"/>
      <c r="AK23" s="2149"/>
      <c r="AL23" s="2150"/>
      <c r="AM23" s="2151"/>
      <c r="AN23" s="2152"/>
      <c r="AO23" s="2153"/>
      <c r="AP23" s="2154"/>
      <c r="AQ23" s="2155"/>
      <c r="AR23" s="2156"/>
      <c r="AS23" s="2157"/>
      <c r="AT23" s="2158"/>
      <c r="AU23" s="2159"/>
      <c r="AV23" s="2160"/>
      <c r="AW23" s="2161"/>
      <c r="AX23" s="2162"/>
      <c r="AY23" s="2163"/>
      <c r="AZ23" s="2164"/>
      <c r="BA23" s="2165"/>
      <c r="BB23" s="2166"/>
      <c r="BC23" s="2167"/>
      <c r="BD23" s="2168"/>
      <c r="BE23" s="2169"/>
      <c r="BF23" s="2170"/>
      <c r="BG23" s="2171"/>
      <c r="BH23" s="2172"/>
      <c r="BI23" s="2173"/>
      <c r="BJ23" s="2174"/>
      <c r="BK23" s="2175"/>
      <c r="BL23" s="2176"/>
      <c r="BM23" s="2177"/>
      <c r="BN23" s="2178"/>
      <c r="BO23" s="2179"/>
      <c r="BP23" s="2180"/>
      <c r="BQ23" s="2181"/>
      <c r="BR23" s="2182"/>
      <c r="BS23" s="2183"/>
      <c r="BT23" s="2184"/>
      <c r="BU23" s="2185"/>
      <c r="BV23" s="2186"/>
      <c r="BW23" s="2187"/>
      <c r="BX23" s="2188"/>
      <c r="BY23" s="2189"/>
      <c r="BZ23" s="2190"/>
      <c r="CA23" s="2191"/>
      <c r="CB23" s="2192"/>
      <c r="CC23" s="2193"/>
      <c r="CD23" s="2194"/>
      <c r="CE23" s="2195"/>
      <c r="CF23" s="2196"/>
      <c r="CG23" s="2197"/>
      <c r="CH23" s="2198"/>
      <c r="CI23" s="2199"/>
      <c r="CJ23" s="2200"/>
      <c r="CK23" s="2201"/>
      <c r="CL23" s="2202"/>
      <c r="CM23" s="2203"/>
      <c r="CN23" s="2204"/>
      <c r="CO23" s="2205"/>
      <c r="CP23" s="2206"/>
      <c r="CQ23" s="2207"/>
      <c r="CR23" s="2208"/>
      <c r="CS23" s="2209"/>
      <c r="CT23" s="2210"/>
      <c r="CU23" s="2211"/>
      <c r="CV23" s="2212"/>
      <c r="CW23" s="2213"/>
      <c r="CX23" s="2214"/>
      <c r="CY23" s="2215"/>
      <c r="CZ23" s="2216"/>
      <c r="DA23" s="2217"/>
      <c r="DB23" s="2218"/>
      <c r="DC23" s="2219"/>
      <c r="DD23" s="2220"/>
      <c r="DE23" s="2221"/>
      <c r="DF23" s="2222"/>
      <c r="DG23" s="2223"/>
      <c r="DH23" s="2224"/>
      <c r="DI23" s="2225"/>
      <c r="DJ23" s="2226"/>
      <c r="DK23" s="2227"/>
      <c r="DL23" s="2228"/>
      <c r="DM23" s="2229"/>
      <c r="DN23" s="2230"/>
      <c r="DO23" s="2231"/>
      <c r="DP23" s="2232"/>
      <c r="DQ23" s="2233"/>
      <c r="DR23" s="2234"/>
      <c r="DS23" s="2235"/>
      <c r="DT23" s="2236"/>
      <c r="DU23" s="2237"/>
      <c r="DV23" s="2238"/>
      <c r="DW23" s="2239"/>
      <c r="DX23" s="2240"/>
      <c r="DY23" s="2241"/>
      <c r="DZ23" s="2242"/>
      <c r="EA23" s="2243"/>
      <c r="EB23" s="2244"/>
      <c r="EC23" s="2245"/>
      <c r="ED23" s="2246"/>
      <c r="EE23" s="2247"/>
      <c r="EF23" s="2248"/>
      <c r="EG23" s="2249"/>
      <c r="EH23" s="2250"/>
      <c r="EI23" s="2251"/>
      <c r="EJ23" s="2252"/>
      <c r="EK23" s="2253"/>
      <c r="EL23" s="2254"/>
      <c r="EM23" s="2255"/>
      <c r="EN23" s="2256"/>
      <c r="EO23" s="2257"/>
      <c r="EP23" s="2258"/>
      <c r="EQ23" s="2259"/>
      <c r="ER23" s="2260"/>
      <c r="ES23" s="2261"/>
      <c r="ET23" s="2262"/>
      <c r="EU23" s="2263"/>
      <c r="EV23" s="2264"/>
      <c r="EW23" s="2265"/>
      <c r="EX23" s="2266"/>
      <c r="EY23" s="2267"/>
      <c r="EZ23" s="2268"/>
      <c r="FA23" s="2269"/>
      <c r="FB23" s="2270"/>
      <c r="FC23" s="2271"/>
      <c r="FD23" s="2272"/>
      <c r="FE23" s="2273"/>
      <c r="FF23" s="2274"/>
      <c r="FG23" s="2275"/>
      <c r="FH23" s="2276"/>
      <c r="FI23" s="2277"/>
      <c r="FJ23" s="2278"/>
      <c r="FK23" s="2279"/>
      <c r="FL23" s="2280"/>
      <c r="FM23" s="2281"/>
      <c r="FN23" s="2282"/>
      <c r="FO23" s="2283"/>
      <c r="FP23" s="2284"/>
      <c r="FQ23" s="2285"/>
      <c r="FR23" s="2286"/>
      <c r="FS23" s="2287"/>
      <c r="FT23" s="2288"/>
      <c r="FU23" s="2289"/>
      <c r="FV23" s="2290"/>
      <c r="FW23" s="2291"/>
      <c r="FX23" s="2093"/>
      <c r="FY23" s="2075"/>
      <c r="FZ23" s="2075"/>
      <c r="GA23" s="2075"/>
      <c r="GB23" s="2075"/>
    </row>
    <row r="24" spans="1:185" s="2045"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045" customFormat="1" ht="12.75" customHeight="1">
      <c r="A25" s="866"/>
      <c r="B25" s="866"/>
      <c r="C25" s="866"/>
      <c r="D25" s="866"/>
      <c r="E25" s="866"/>
      <c r="FX25" s="866"/>
      <c r="FY25" s="866"/>
      <c r="FZ25" s="866"/>
      <c r="GA25" s="866"/>
      <c r="GB25" s="866"/>
      <c r="GC25" s="847">
        <v>12</v>
      </c>
    </row>
    <row r="26" spans="1:185" s="2052" customFormat="1" ht="12.75" customHeight="1">
      <c r="A26" s="985"/>
      <c r="B26" s="985"/>
      <c r="C26" s="985"/>
      <c r="D26" s="985"/>
      <c r="E26" s="985"/>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c r="AL26" s="987"/>
      <c r="AM26" s="987"/>
      <c r="AN26" s="987"/>
      <c r="AO26" s="987"/>
      <c r="AP26" s="987"/>
      <c r="AQ26" s="987"/>
      <c r="AR26" s="987"/>
      <c r="AS26" s="987"/>
      <c r="AT26" s="987"/>
      <c r="AU26" s="987"/>
      <c r="AV26" s="987"/>
      <c r="AW26" s="987"/>
      <c r="AX26" s="987"/>
      <c r="AY26" s="987"/>
      <c r="AZ26" s="987"/>
      <c r="BA26" s="987"/>
      <c r="BB26" s="987"/>
      <c r="BC26" s="987"/>
      <c r="BD26" s="987"/>
      <c r="BE26" s="987"/>
      <c r="BF26" s="987"/>
      <c r="BG26" s="987"/>
      <c r="BH26" s="987"/>
      <c r="BI26" s="987"/>
      <c r="BJ26" s="987"/>
      <c r="BK26" s="987"/>
      <c r="BL26" s="987"/>
      <c r="BM26" s="987"/>
      <c r="BN26" s="987"/>
      <c r="BO26" s="987"/>
      <c r="BP26" s="987"/>
      <c r="BQ26" s="987"/>
      <c r="BR26" s="987"/>
      <c r="BS26" s="987"/>
      <c r="BT26" s="988"/>
      <c r="BU26" s="988"/>
      <c r="BV26" s="988"/>
      <c r="BW26" s="988"/>
      <c r="BX26" s="988"/>
      <c r="BY26" s="988"/>
      <c r="BZ26" s="988"/>
      <c r="CA26" s="988"/>
      <c r="CB26" s="988"/>
      <c r="CC26" s="988"/>
      <c r="CD26" s="988"/>
      <c r="CE26" s="988"/>
      <c r="CF26" s="988"/>
      <c r="CG26" s="988"/>
      <c r="CH26" s="988"/>
      <c r="CI26" s="988"/>
      <c r="CJ26" s="988"/>
      <c r="CK26" s="988"/>
      <c r="CL26" s="988"/>
      <c r="CM26" s="988"/>
      <c r="CN26" s="988"/>
      <c r="CO26" s="988"/>
      <c r="CP26" s="988"/>
      <c r="CQ26" s="988"/>
      <c r="CR26" s="988"/>
      <c r="CS26" s="988"/>
      <c r="CT26" s="988"/>
      <c r="CU26" s="988"/>
      <c r="CV26" s="988"/>
      <c r="CW26" s="988"/>
      <c r="CX26" s="988"/>
      <c r="CY26" s="988"/>
      <c r="CZ26" s="988"/>
      <c r="DA26" s="988"/>
      <c r="DB26" s="988"/>
      <c r="DC26" s="988"/>
      <c r="DD26" s="988"/>
      <c r="DE26" s="988"/>
      <c r="DF26" s="988"/>
      <c r="DG26" s="988"/>
      <c r="DH26" s="988"/>
      <c r="DI26" s="988"/>
      <c r="DJ26" s="988"/>
      <c r="DK26" s="988"/>
      <c r="DL26" s="988"/>
      <c r="DM26" s="988"/>
      <c r="DN26" s="988"/>
      <c r="DO26" s="988"/>
      <c r="DP26" s="988"/>
      <c r="DQ26" s="988"/>
      <c r="DR26" s="988"/>
      <c r="DS26" s="988"/>
      <c r="DT26" s="988"/>
      <c r="DU26" s="988"/>
      <c r="DV26" s="988"/>
      <c r="DW26" s="988"/>
      <c r="DX26" s="988"/>
      <c r="FX26" s="985"/>
      <c r="FY26" s="985"/>
      <c r="FZ26" s="985"/>
      <c r="GA26" s="985"/>
      <c r="GB26" s="985"/>
      <c r="GC26" s="986">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84</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71" hidden="1" customWidth="1"/>
    <col min="2" max="2" width="9.140625" style="2062" hidden="1" customWidth="1"/>
    <col min="3" max="3" width="4" style="2054" customWidth="1"/>
    <col min="4" max="4" width="6" style="2062" customWidth="1"/>
    <col min="5" max="5" width="36" style="2062" customWidth="1"/>
    <col min="6" max="6" width="9" style="2062" customWidth="1"/>
    <col min="7" max="7" width="42.42578125" style="2062" hidden="1" customWidth="1"/>
    <col min="8" max="8" width="40.7109375" style="2062" customWidth="1"/>
    <col min="9" max="9" width="93" style="2056" customWidth="1"/>
    <col min="10" max="17" width="10" style="2062" customWidth="1"/>
    <col min="18" max="18" width="10" style="2063" customWidth="1"/>
    <col min="19" max="19" width="10.5703125" style="2062" hidden="1"/>
  </cols>
  <sheetData>
    <row r="1" spans="1:19" s="2056" customFormat="1" ht="15" hidden="1" customHeight="1">
      <c r="C1" s="608"/>
      <c r="H1" s="353">
        <v>4</v>
      </c>
      <c r="R1" s="356"/>
      <c r="S1" s="353" t="s">
        <v>14</v>
      </c>
    </row>
    <row r="2" spans="1:19" ht="22.5" hidden="1" customHeight="1">
      <c r="C2" s="1840" t="s">
        <v>686</v>
      </c>
      <c r="D2" s="475"/>
      <c r="E2" s="599"/>
      <c r="F2" s="1678" t="str">
        <f>IF(TEMPLATE_SPHERE="HEAT","Гкал/час","тыс. куб. м/сутки")</f>
        <v>Гкал/час</v>
      </c>
      <c r="G2" s="616"/>
      <c r="H2" s="616"/>
      <c r="I2" s="226"/>
      <c r="S2" s="441">
        <v>0</v>
      </c>
    </row>
    <row r="3" spans="1:19" s="2056" customFormat="1" ht="15" hidden="1" customHeight="1">
      <c r="C3" s="608"/>
      <c r="R3" s="356"/>
      <c r="S3" s="353">
        <v>0</v>
      </c>
    </row>
    <row r="4" spans="1:19" ht="15.75" customHeight="1">
      <c r="C4" s="113"/>
      <c r="D4" s="445"/>
      <c r="E4" s="445"/>
      <c r="F4" s="445"/>
      <c r="G4" s="445"/>
      <c r="H4" s="445"/>
      <c r="S4" s="441">
        <v>15</v>
      </c>
    </row>
    <row r="5" spans="1:19" ht="39.75" customHeight="1">
      <c r="C5" s="113"/>
      <c r="D5" s="243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37"/>
      <c r="F5" s="2437"/>
      <c r="G5" s="2437"/>
      <c r="H5" s="2437"/>
      <c r="I5" s="473"/>
      <c r="S5" s="441">
        <v>38</v>
      </c>
    </row>
    <row r="6" spans="1:19" ht="15.75" customHeight="1">
      <c r="C6" s="113"/>
      <c r="D6" s="2409" t="str">
        <f>IF(org=0,"Не определено",org)</f>
        <v>ПАО "ТГК-1" филиал "Невский"</v>
      </c>
      <c r="E6" s="2409"/>
      <c r="F6" s="2409"/>
      <c r="G6" s="2409"/>
      <c r="H6" s="2409"/>
      <c r="I6" s="473"/>
      <c r="S6" s="441">
        <v>15</v>
      </c>
    </row>
    <row r="7" spans="1:19" s="2062" customFormat="1" ht="15.75" customHeight="1">
      <c r="A7" s="693"/>
      <c r="C7" s="113"/>
      <c r="D7" s="612"/>
      <c r="E7" s="612"/>
      <c r="F7" s="612"/>
      <c r="G7" s="612"/>
      <c r="H7" s="688"/>
      <c r="I7" s="473"/>
      <c r="R7" s="611"/>
      <c r="S7" s="692">
        <v>15</v>
      </c>
    </row>
    <row r="8" spans="1:19" ht="1.1499999999999999" customHeight="1">
      <c r="C8" s="113"/>
      <c r="D8" s="445"/>
      <c r="E8" s="445"/>
      <c r="F8" s="445"/>
      <c r="G8" s="445"/>
      <c r="H8" s="473" t="s">
        <v>116</v>
      </c>
      <c r="S8" s="441">
        <v>1</v>
      </c>
    </row>
    <row r="9" spans="1:19" ht="15.75" customHeight="1">
      <c r="C9" s="113"/>
      <c r="D9" s="647"/>
      <c r="E9" s="2543" t="s">
        <v>104</v>
      </c>
      <c r="F9" s="2544"/>
      <c r="G9" s="746" t="str">
        <f>IF(G8="","",INDEX(DIFFERENTIATION_UNMERGE_VD,MATCH(G8,DIFFERENTIATION_ID_DIFF,0)))</f>
        <v/>
      </c>
      <c r="H9" s="746">
        <f>IF(H8="","",INDEX(DIFFERENTIATION_UNMERGE_VD,MATCH(H8,DIFFERENTIATION_ID_DIFF,0)))</f>
        <v>0</v>
      </c>
      <c r="I9" s="2328" t="s">
        <v>298</v>
      </c>
      <c r="S9" s="441">
        <v>15</v>
      </c>
    </row>
    <row r="10" spans="1:19" s="2062" customFormat="1" ht="15.75" customHeight="1">
      <c r="A10" s="693"/>
      <c r="C10" s="113"/>
      <c r="D10" s="647"/>
      <c r="E10" s="2543" t="s">
        <v>561</v>
      </c>
      <c r="F10" s="2544"/>
      <c r="G10" s="746" t="str">
        <f>IF(G8="","",INDEX(DIFFERENTIATION_UNMERGE_AREA,MATCH(G8,DIFFERENTIATION_ID_DIFF,0)))</f>
        <v/>
      </c>
      <c r="H10" s="746" t="str">
        <f>IF(H8="","",INDEX(DIFFERENTIATION_UNMERGE_AREA,MATCH(H8,DIFFERENTIATION_ID_DIFF,0)))</f>
        <v/>
      </c>
      <c r="I10" s="2328"/>
      <c r="R10" s="611"/>
      <c r="S10" s="692">
        <v>15</v>
      </c>
    </row>
    <row r="11" spans="1:19" s="2062" customFormat="1" ht="15.75" customHeight="1">
      <c r="A11" s="693"/>
      <c r="C11" s="113"/>
      <c r="D11" s="647"/>
      <c r="E11" s="2543" t="s">
        <v>562</v>
      </c>
      <c r="F11" s="2544"/>
      <c r="G11" s="746" t="str">
        <f>IF(G8="","",INDEX(DIFFERENTIATION_UNMERGE_SYSTEM,MATCH(G8,DIFFERENTIATION_ID_DIFF,0)))</f>
        <v/>
      </c>
      <c r="H11" s="746" t="str">
        <f>IF(H8="","",INDEX(DIFFERENTIATION_UNMERGE_SYSTEM,MATCH(H8,DIFFERENTIATION_ID_DIFF,0)))</f>
        <v>без дифференциации</v>
      </c>
      <c r="I11" s="2328"/>
      <c r="R11" s="611"/>
      <c r="S11" s="692">
        <v>15</v>
      </c>
    </row>
    <row r="12" spans="1:19" s="2062" customFormat="1" ht="15.75" customHeight="1">
      <c r="A12" s="693"/>
      <c r="C12" s="113"/>
      <c r="D12" s="2545" t="s">
        <v>297</v>
      </c>
      <c r="E12" s="2546"/>
      <c r="F12" s="2546"/>
      <c r="G12" s="812"/>
      <c r="H12" s="812"/>
      <c r="I12" s="2328"/>
      <c r="R12" s="611"/>
      <c r="S12" s="692">
        <v>15</v>
      </c>
    </row>
    <row r="13" spans="1:19" ht="35.65" customHeight="1">
      <c r="C13" s="113"/>
      <c r="D13" s="695" t="s">
        <v>90</v>
      </c>
      <c r="E13" s="694" t="s">
        <v>299</v>
      </c>
      <c r="F13" s="694" t="s">
        <v>563</v>
      </c>
      <c r="G13" s="738" t="s">
        <v>300</v>
      </c>
      <c r="H13" s="690" t="s">
        <v>300</v>
      </c>
      <c r="I13" s="2328"/>
      <c r="S13" s="441">
        <v>34</v>
      </c>
    </row>
    <row r="14" spans="1:19" ht="15" hidden="1" customHeight="1">
      <c r="C14" s="113"/>
      <c r="D14" s="529" t="s">
        <v>108</v>
      </c>
      <c r="E14" s="529" t="s">
        <v>109</v>
      </c>
      <c r="F14" s="529" t="s">
        <v>92</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1185</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1185</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1185</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1186</v>
      </c>
      <c r="E20" s="624"/>
      <c r="F20" s="445"/>
      <c r="G20" s="445"/>
      <c r="H20" s="445"/>
      <c r="I20" s="1680"/>
      <c r="S20" s="441">
        <v>0</v>
      </c>
    </row>
    <row r="21" spans="1:19" ht="29.25" customHeight="1">
      <c r="C21" s="387"/>
      <c r="D21" s="475" t="s">
        <v>310</v>
      </c>
      <c r="E21" s="606"/>
      <c r="F21" s="1678" t="str">
        <f>IF(TEMPLATE_SPHERE="HEAT","Гкал/час","тыс. куб. м/сутки")</f>
        <v>Гкал/час</v>
      </c>
      <c r="G21" s="616"/>
      <c r="H21" s="616"/>
      <c r="I21" s="237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1187</v>
      </c>
      <c r="F22" s="508"/>
      <c r="G22" s="508"/>
      <c r="H22" s="508"/>
      <c r="I22" s="2374"/>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09" hidden="1" customWidth="1"/>
    <col min="2" max="2" width="9.140625" style="2056" hidden="1" customWidth="1"/>
    <col min="3" max="3" width="3" style="2059" customWidth="1"/>
    <col min="4" max="4" width="6" style="2062" customWidth="1"/>
    <col min="5" max="6" width="64" style="2062" customWidth="1"/>
    <col min="7" max="7" width="140" style="2062" customWidth="1"/>
    <col min="8" max="8" width="10" style="2062" customWidth="1"/>
    <col min="9" max="10" width="10" style="2057" customWidth="1"/>
    <col min="11" max="16" width="10" style="2062" customWidth="1"/>
    <col min="17" max="17" width="10.5703125" style="20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79"/>
      <c r="F5" s="2379"/>
      <c r="G5" s="2380"/>
      <c r="Q5" s="23">
        <v>28</v>
      </c>
    </row>
    <row r="6" spans="1:17" s="2062" customFormat="1" ht="18.75" customHeight="1">
      <c r="A6" s="807"/>
      <c r="B6" s="353"/>
      <c r="C6" s="312"/>
      <c r="D6" s="2431" t="str">
        <f>IF(org=0,"Не определено",org)</f>
        <v>ПАО "ТГК-1" филиал "Невский"</v>
      </c>
      <c r="E6" s="2432"/>
      <c r="F6" s="2432"/>
      <c r="G6" s="2433"/>
      <c r="I6" s="436"/>
      <c r="J6" s="436"/>
      <c r="Q6" s="692">
        <v>18</v>
      </c>
    </row>
    <row r="7" spans="1:17" ht="14.65" customHeight="1">
      <c r="C7" s="36"/>
      <c r="D7" s="24"/>
      <c r="E7" s="35"/>
      <c r="F7" s="688"/>
      <c r="G7" s="130"/>
      <c r="Q7" s="23">
        <v>14</v>
      </c>
    </row>
    <row r="8" spans="1:17" s="2062" customFormat="1" ht="1.1499999999999999" customHeight="1">
      <c r="A8" s="1587"/>
      <c r="B8" s="1078"/>
      <c r="C8" s="312"/>
      <c r="D8" s="299"/>
      <c r="E8" s="325"/>
      <c r="F8" s="688"/>
      <c r="G8" s="130"/>
      <c r="I8" s="1542"/>
      <c r="J8" s="1542"/>
      <c r="Q8" s="1549">
        <v>1</v>
      </c>
    </row>
    <row r="9" spans="1:17" ht="14.65" customHeight="1">
      <c r="C9" s="36"/>
      <c r="D9" s="2417" t="s">
        <v>297</v>
      </c>
      <c r="E9" s="2417"/>
      <c r="F9" s="2417"/>
      <c r="G9" s="2560" t="s">
        <v>298</v>
      </c>
      <c r="Q9" s="23">
        <v>14</v>
      </c>
    </row>
    <row r="10" spans="1:17" ht="24" customHeight="1">
      <c r="C10" s="36"/>
      <c r="D10" s="45" t="s">
        <v>90</v>
      </c>
      <c r="E10" s="48" t="s">
        <v>299</v>
      </c>
      <c r="F10" s="48" t="s">
        <v>387</v>
      </c>
      <c r="G10" s="256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303</v>
      </c>
      <c r="G12" s="89"/>
      <c r="Q12" s="23">
        <v>62</v>
      </c>
    </row>
    <row r="13" spans="1:17" ht="24" customHeight="1">
      <c r="A13" s="129"/>
      <c r="C13" s="36"/>
      <c r="D13" s="85" t="s">
        <v>1090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9"/>
      <c r="Q13" s="23">
        <v>23</v>
      </c>
    </row>
    <row r="14" spans="1:17" ht="14.65" customHeight="1">
      <c r="A14" s="129"/>
      <c r="C14" s="36"/>
      <c r="D14" s="85" t="s">
        <v>1126</v>
      </c>
      <c r="E14" s="132"/>
      <c r="F14" s="150"/>
      <c r="G14" s="23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1188</v>
      </c>
      <c r="F15" s="138"/>
      <c r="G15" s="2374"/>
      <c r="Q15" s="23">
        <v>15</v>
      </c>
    </row>
    <row r="16" spans="1:17" ht="14.65" customHeight="1">
      <c r="A16" s="129"/>
      <c r="C16" s="36"/>
      <c r="D16" s="85" t="s">
        <v>1092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303</v>
      </c>
      <c r="G16" s="274"/>
      <c r="Q16" s="23">
        <v>14</v>
      </c>
    </row>
    <row r="17" spans="1:17" ht="14.65" customHeight="1">
      <c r="A17" s="129"/>
      <c r="C17" s="36"/>
      <c r="D17" s="85" t="s">
        <v>1134</v>
      </c>
      <c r="E17" s="132"/>
      <c r="F17" s="321"/>
      <c r="G17" s="23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62" customFormat="1" ht="21.95" customHeight="1">
      <c r="A18" s="280"/>
      <c r="B18" s="84"/>
      <c r="C18" s="244"/>
      <c r="D18" s="284"/>
      <c r="E18" s="285" t="s">
        <v>1189</v>
      </c>
      <c r="F18" s="275"/>
      <c r="G18" s="2374"/>
      <c r="I18" s="286"/>
      <c r="J18" s="286"/>
      <c r="Q18" s="279">
        <v>21</v>
      </c>
    </row>
    <row r="19" spans="1:17" s="2062" customFormat="1" ht="256.5" hidden="1" customHeight="1">
      <c r="A19" s="280"/>
      <c r="B19" s="353"/>
      <c r="C19" s="312"/>
      <c r="D19" s="809" t="s">
        <v>1094</v>
      </c>
      <c r="E19" s="808" t="s">
        <v>1190</v>
      </c>
      <c r="F19" s="321"/>
      <c r="G19" s="274" t="s">
        <v>1191</v>
      </c>
      <c r="I19" s="436"/>
      <c r="J19" s="436"/>
      <c r="Q19" s="692">
        <v>0</v>
      </c>
    </row>
    <row r="20" spans="1:17" s="2062" customFormat="1" ht="14.65" customHeight="1">
      <c r="A20" s="280"/>
      <c r="B20" s="84"/>
      <c r="C20" s="244"/>
      <c r="D20" s="810">
        <v>2</v>
      </c>
      <c r="E20" s="267" t="s">
        <v>1192</v>
      </c>
      <c r="F20" s="135" t="s">
        <v>303</v>
      </c>
      <c r="G20" s="274"/>
      <c r="I20" s="286"/>
      <c r="J20" s="286"/>
      <c r="Q20" s="279">
        <v>14</v>
      </c>
    </row>
    <row r="21" spans="1:17" s="2062" customFormat="1" ht="18.75" hidden="1" customHeight="1">
      <c r="A21" s="280"/>
      <c r="B21" s="84"/>
      <c r="C21" s="244"/>
      <c r="D21" s="270" t="s">
        <v>633</v>
      </c>
      <c r="E21" s="269"/>
      <c r="F21" s="268"/>
      <c r="G21" s="278"/>
      <c r="H21" s="271"/>
      <c r="I21" s="286"/>
      <c r="J21" s="286"/>
      <c r="Q21" s="279">
        <v>0</v>
      </c>
    </row>
    <row r="22" spans="1:17" ht="15.75" customHeight="1">
      <c r="A22" s="129"/>
      <c r="C22" s="36"/>
      <c r="D22" s="49"/>
      <c r="E22" s="140" t="s">
        <v>319</v>
      </c>
      <c r="F22" s="275"/>
      <c r="G22" s="276"/>
      <c r="Q22" s="23">
        <v>15</v>
      </c>
    </row>
    <row r="23" spans="1:17" s="2062" customFormat="1" ht="22.5" hidden="1" customHeight="1">
      <c r="A23" s="280"/>
      <c r="B23" s="1078"/>
      <c r="C23" s="312"/>
      <c r="D23" s="1591" t="s">
        <v>109</v>
      </c>
      <c r="E23" s="134" t="s">
        <v>1193</v>
      </c>
      <c r="F23" s="1588" t="s">
        <v>303</v>
      </c>
      <c r="G23" s="282"/>
      <c r="I23" s="1542"/>
      <c r="J23" s="1542"/>
      <c r="Q23" s="1549">
        <v>0</v>
      </c>
    </row>
    <row r="24" spans="1:17" s="2062" customFormat="1" ht="14.25" hidden="1" customHeight="1">
      <c r="A24" s="280"/>
      <c r="B24" s="1078"/>
      <c r="C24" s="312"/>
      <c r="D24" s="1591" t="s">
        <v>706</v>
      </c>
      <c r="E24" s="1590" t="s">
        <v>1194</v>
      </c>
      <c r="F24" s="1588" t="s">
        <v>303</v>
      </c>
      <c r="G24" s="274"/>
      <c r="I24" s="1542"/>
      <c r="J24" s="1542"/>
      <c r="Q24" s="1549">
        <v>0</v>
      </c>
    </row>
    <row r="25" spans="1:17" s="2062" customFormat="1" ht="14.25" hidden="1" customHeight="1">
      <c r="A25" s="280"/>
      <c r="B25" s="1078"/>
      <c r="C25" s="312"/>
      <c r="D25" s="1591" t="s">
        <v>709</v>
      </c>
      <c r="E25" s="132"/>
      <c r="F25" s="321"/>
      <c r="G25" s="2372" t="s">
        <v>1195</v>
      </c>
      <c r="I25" s="1542"/>
      <c r="J25" s="1542"/>
      <c r="Q25" s="1549">
        <v>0</v>
      </c>
    </row>
    <row r="26" spans="1:17" s="2062" customFormat="1" ht="22.5" hidden="1" customHeight="1">
      <c r="A26" s="280"/>
      <c r="B26" s="1078"/>
      <c r="C26" s="312"/>
      <c r="D26" s="284"/>
      <c r="E26" s="285" t="s">
        <v>1196</v>
      </c>
      <c r="F26" s="275"/>
      <c r="G26" s="2374"/>
      <c r="I26" s="1542"/>
      <c r="J26" s="1542"/>
      <c r="Q26" s="1549">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29" hidden="1" customWidth="1"/>
    <col min="2" max="2" width="9.140625" style="2056" hidden="1" customWidth="1"/>
    <col min="3" max="3" width="3" style="2059" customWidth="1"/>
    <col min="4" max="4" width="6" style="2062" customWidth="1"/>
    <col min="5" max="5" width="63" style="2062" customWidth="1"/>
    <col min="6" max="6" width="1.7109375" style="2062" hidden="1" customWidth="1"/>
    <col min="7" max="8" width="35" style="2062" customWidth="1"/>
    <col min="9" max="9" width="91" style="2062" customWidth="1"/>
    <col min="10" max="10" width="68" style="2062" customWidth="1"/>
    <col min="11" max="12" width="10" style="2057" customWidth="1"/>
    <col min="13" max="13" width="10.5703125" style="2062" hidden="1"/>
  </cols>
  <sheetData>
    <row r="1" spans="1:13" ht="22.5" hidden="1" customHeight="1">
      <c r="M1" s="23" t="s">
        <v>14</v>
      </c>
    </row>
    <row r="2" spans="1:13" s="2062" customFormat="1" ht="18.75" hidden="1" customHeight="1">
      <c r="A2" s="1601"/>
      <c r="B2" s="1078"/>
      <c r="C2" s="1647" t="s">
        <v>686</v>
      </c>
      <c r="D2" s="1591"/>
      <c r="E2" s="136"/>
      <c r="F2" s="1588"/>
      <c r="G2" s="1588" t="s">
        <v>303</v>
      </c>
      <c r="H2" s="1079"/>
      <c r="K2" s="1542"/>
      <c r="L2" s="1542"/>
      <c r="M2" s="1549">
        <v>0</v>
      </c>
    </row>
    <row r="3" spans="1:13" s="2062" customFormat="1" ht="14.25" hidden="1" customHeight="1">
      <c r="A3" s="1280"/>
      <c r="B3" s="1078"/>
      <c r="C3" s="281"/>
      <c r="K3" s="1542"/>
      <c r="L3" s="1542"/>
      <c r="M3" s="1549">
        <v>0</v>
      </c>
    </row>
    <row r="4" spans="1:13" s="2062" customFormat="1" ht="18.75" hidden="1" customHeight="1">
      <c r="A4" s="1601"/>
      <c r="B4" s="1078"/>
      <c r="C4" s="1647" t="s">
        <v>686</v>
      </c>
      <c r="D4" s="1591"/>
      <c r="E4" s="142" t="s">
        <v>1197</v>
      </c>
      <c r="F4" s="1588"/>
      <c r="G4" s="194"/>
      <c r="H4" s="1588" t="s">
        <v>303</v>
      </c>
      <c r="K4" s="1542"/>
      <c r="L4" s="1542"/>
      <c r="M4" s="1549">
        <v>0</v>
      </c>
    </row>
    <row r="5" spans="1:13" s="2062" customFormat="1" ht="14.25" hidden="1" customHeight="1">
      <c r="A5" s="1280"/>
      <c r="B5" s="1078"/>
      <c r="C5" s="281"/>
      <c r="K5" s="1542"/>
      <c r="L5" s="1542"/>
      <c r="M5" s="1549">
        <v>0</v>
      </c>
    </row>
    <row r="6" spans="1:13" s="2062" customFormat="1" ht="18.75" hidden="1" customHeight="1">
      <c r="A6" s="1601"/>
      <c r="B6" s="1078"/>
      <c r="C6" s="1647" t="s">
        <v>686</v>
      </c>
      <c r="D6" s="1591"/>
      <c r="E6" s="143" t="s">
        <v>1198</v>
      </c>
      <c r="F6" s="1588"/>
      <c r="G6" s="194"/>
      <c r="H6" s="1588" t="s">
        <v>303</v>
      </c>
      <c r="K6" s="1542"/>
      <c r="L6" s="1542"/>
      <c r="M6" s="1549">
        <v>0</v>
      </c>
    </row>
    <row r="7" spans="1:13" s="2062" customFormat="1" ht="14.25" hidden="1" customHeight="1">
      <c r="A7" s="1280"/>
      <c r="B7" s="1078"/>
      <c r="C7" s="281"/>
      <c r="K7" s="1542"/>
      <c r="L7" s="1542"/>
      <c r="M7" s="1549">
        <v>0</v>
      </c>
    </row>
    <row r="8" spans="1:13" s="2062" customFormat="1" ht="18.75" hidden="1" customHeight="1">
      <c r="A8" s="1601"/>
      <c r="B8" s="1078"/>
      <c r="C8" s="1647" t="s">
        <v>686</v>
      </c>
      <c r="D8" s="1591"/>
      <c r="E8" s="143" t="s">
        <v>1199</v>
      </c>
      <c r="F8" s="1588"/>
      <c r="G8" s="194"/>
      <c r="H8" s="1588" t="s">
        <v>303</v>
      </c>
      <c r="K8" s="1542"/>
      <c r="L8" s="1542"/>
      <c r="M8" s="1549">
        <v>0</v>
      </c>
    </row>
    <row r="9" spans="1:13" s="2062" customFormat="1" ht="14.25" hidden="1" customHeight="1">
      <c r="A9" s="1280"/>
      <c r="B9" s="1078"/>
      <c r="C9" s="281"/>
      <c r="K9" s="1542"/>
      <c r="L9" s="1542"/>
      <c r="M9" s="1549">
        <v>0</v>
      </c>
    </row>
    <row r="10" spans="1:13" s="2062" customFormat="1" ht="18.75" hidden="1" customHeight="1">
      <c r="A10" s="1601"/>
      <c r="B10" s="1078"/>
      <c r="C10" s="1647" t="s">
        <v>686</v>
      </c>
      <c r="D10" s="1591"/>
      <c r="E10" s="143" t="s">
        <v>1200</v>
      </c>
      <c r="F10" s="1588"/>
      <c r="G10" s="1592"/>
      <c r="H10" s="1588" t="s">
        <v>303</v>
      </c>
      <c r="K10" s="1542"/>
      <c r="L10" s="1542" t="s">
        <v>1201</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79"/>
      <c r="F14" s="2379"/>
      <c r="G14" s="2379"/>
      <c r="H14" s="2380"/>
      <c r="J14" s="1549"/>
      <c r="M14" s="23">
        <v>28</v>
      </c>
    </row>
    <row r="15" spans="1:13" s="2062" customFormat="1" ht="14.65" customHeight="1">
      <c r="A15" s="1280"/>
      <c r="B15" s="1078"/>
      <c r="C15" s="312"/>
      <c r="D15" s="2431" t="str">
        <f>IF(org=0,"Не определено",org)</f>
        <v>ПАО "ТГК-1" филиал "Невский"</v>
      </c>
      <c r="E15" s="2432"/>
      <c r="F15" s="2432"/>
      <c r="G15" s="2432"/>
      <c r="H15" s="2433"/>
      <c r="J15" s="778"/>
      <c r="K15" s="1542"/>
      <c r="L15" s="1542"/>
      <c r="M15" s="1549">
        <v>14</v>
      </c>
    </row>
    <row r="16" spans="1:13" ht="14.65" customHeight="1">
      <c r="C16" s="36"/>
      <c r="D16" s="24"/>
      <c r="E16" s="35"/>
      <c r="F16" s="35"/>
      <c r="G16" s="35"/>
      <c r="H16" s="688"/>
      <c r="I16" s="130"/>
      <c r="M16" s="23">
        <v>14</v>
      </c>
    </row>
    <row r="17" spans="1:13" s="2062" customFormat="1" ht="14.25" hidden="1" customHeight="1">
      <c r="A17" s="1280"/>
      <c r="B17" s="1078"/>
      <c r="C17" s="312"/>
      <c r="D17" s="299"/>
      <c r="E17" s="325"/>
      <c r="F17" s="325"/>
      <c r="G17" s="325"/>
      <c r="H17" s="688"/>
      <c r="I17" s="130"/>
      <c r="K17" s="1542"/>
      <c r="L17" s="1542"/>
      <c r="M17" s="1549">
        <v>0</v>
      </c>
    </row>
    <row r="18" spans="1:13" ht="21.95" customHeight="1">
      <c r="C18" s="36"/>
      <c r="D18" s="2417" t="s">
        <v>297</v>
      </c>
      <c r="E18" s="2417"/>
      <c r="F18" s="2417"/>
      <c r="G18" s="2417"/>
      <c r="H18" s="2417"/>
      <c r="I18" s="2560" t="s">
        <v>298</v>
      </c>
      <c r="M18" s="23">
        <v>21</v>
      </c>
    </row>
    <row r="19" spans="1:13" ht="21.95" customHeight="1">
      <c r="C19" s="36"/>
      <c r="D19" s="45" t="s">
        <v>90</v>
      </c>
      <c r="E19" s="48" t="s">
        <v>299</v>
      </c>
      <c r="F19" s="48"/>
      <c r="G19" s="48" t="s">
        <v>300</v>
      </c>
      <c r="H19" s="48" t="s">
        <v>387</v>
      </c>
      <c r="I19" s="2560"/>
      <c r="M19" s="23">
        <v>21</v>
      </c>
    </row>
    <row r="20" spans="1:13" ht="12" hidden="1" customHeight="1">
      <c r="C20" s="36"/>
      <c r="D20" s="27"/>
      <c r="E20" s="27"/>
      <c r="F20" s="27"/>
      <c r="G20" s="27"/>
      <c r="H20" s="27"/>
      <c r="I20" s="27"/>
      <c r="M20" s="23">
        <v>0</v>
      </c>
    </row>
    <row r="21" spans="1:13" ht="14.65" customHeight="1">
      <c r="A21" s="1601"/>
      <c r="C21" s="36"/>
      <c r="D21" s="85">
        <v>1</v>
      </c>
      <c r="E21" s="2658" t="s">
        <v>1202</v>
      </c>
      <c r="F21" s="2658"/>
      <c r="G21" s="2658"/>
      <c r="H21" s="2658"/>
      <c r="I21" s="145"/>
      <c r="M21" s="23">
        <v>14</v>
      </c>
    </row>
    <row r="22" spans="1:13" ht="21" customHeight="1">
      <c r="A22" s="1601"/>
      <c r="C22" s="36"/>
      <c r="D22" s="85" t="s">
        <v>1090</v>
      </c>
      <c r="E22" s="131" t="s">
        <v>1203</v>
      </c>
      <c r="F22" s="135"/>
      <c r="G22" s="1654"/>
      <c r="H22" s="135" t="s">
        <v>303</v>
      </c>
      <c r="I22" s="89" t="s">
        <v>1204</v>
      </c>
      <c r="M22" s="23">
        <v>20</v>
      </c>
    </row>
    <row r="23" spans="1:13" ht="60" customHeight="1">
      <c r="A23" s="1601"/>
      <c r="C23" s="36"/>
      <c r="D23" s="85" t="s">
        <v>1092</v>
      </c>
      <c r="E23" s="131" t="s">
        <v>1205</v>
      </c>
      <c r="F23" s="135"/>
      <c r="G23" s="194"/>
      <c r="H23" s="150"/>
      <c r="I23" s="195" t="s">
        <v>1206</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303</v>
      </c>
      <c r="H24" s="150"/>
      <c r="I24" s="196" t="s">
        <v>628</v>
      </c>
      <c r="M24" s="23">
        <v>14</v>
      </c>
    </row>
    <row r="25" spans="1:13" ht="48.2" customHeight="1">
      <c r="A25" s="1601"/>
      <c r="C25" s="36"/>
      <c r="D25" s="85">
        <v>3</v>
      </c>
      <c r="E25" s="265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58"/>
      <c r="G25" s="2658"/>
      <c r="H25" s="2658"/>
      <c r="I25" s="193"/>
      <c r="M25" s="23">
        <v>46</v>
      </c>
    </row>
    <row r="26" spans="1:13" ht="14.65" customHeight="1">
      <c r="A26" s="1601"/>
      <c r="C26" s="36"/>
      <c r="D26" s="85" t="s">
        <v>321</v>
      </c>
      <c r="E26" s="136"/>
      <c r="F26" s="135"/>
      <c r="G26" s="135" t="s">
        <v>303</v>
      </c>
      <c r="H26" s="150"/>
      <c r="I26" s="2372" t="s">
        <v>1207</v>
      </c>
      <c r="M26" s="23">
        <v>14</v>
      </c>
    </row>
    <row r="27" spans="1:13" ht="15.75" customHeight="1">
      <c r="A27" s="1601" t="s">
        <v>108</v>
      </c>
      <c r="C27" s="36"/>
      <c r="D27" s="49"/>
      <c r="E27" s="140" t="s">
        <v>319</v>
      </c>
      <c r="F27" s="141"/>
      <c r="G27" s="141"/>
      <c r="H27" s="138"/>
      <c r="I27" s="2374"/>
      <c r="M27" s="23">
        <v>15</v>
      </c>
    </row>
    <row r="28" spans="1:13" ht="39.75" customHeight="1">
      <c r="A28" s="1601"/>
      <c r="B28" s="84">
        <v>3</v>
      </c>
      <c r="C28" s="36"/>
      <c r="D28" s="85">
        <v>4</v>
      </c>
      <c r="E28" s="265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58"/>
      <c r="G28" s="2658"/>
      <c r="H28" s="2658"/>
      <c r="I28" s="193"/>
      <c r="M28" s="23">
        <v>38</v>
      </c>
    </row>
    <row r="29" spans="1:13" ht="21" customHeight="1">
      <c r="A29" s="1601"/>
      <c r="C29" s="36"/>
      <c r="D29" s="85" t="s">
        <v>751</v>
      </c>
      <c r="E29" s="142" t="s">
        <v>1197</v>
      </c>
      <c r="F29" s="135"/>
      <c r="G29" s="194"/>
      <c r="H29" s="135" t="s">
        <v>303</v>
      </c>
      <c r="I29" s="2372" t="s">
        <v>1208</v>
      </c>
      <c r="M29" s="23">
        <v>20</v>
      </c>
    </row>
    <row r="30" spans="1:13" ht="15.75" customHeight="1">
      <c r="A30" s="1601" t="s">
        <v>109</v>
      </c>
      <c r="C30" s="36"/>
      <c r="D30" s="49"/>
      <c r="E30" s="140" t="s">
        <v>319</v>
      </c>
      <c r="F30" s="141"/>
      <c r="G30" s="141"/>
      <c r="H30" s="138"/>
      <c r="I30" s="2374"/>
      <c r="M30" s="23">
        <v>15</v>
      </c>
    </row>
    <row r="31" spans="1:13" ht="31.5" customHeight="1">
      <c r="A31" s="1601"/>
      <c r="B31" s="84">
        <v>3</v>
      </c>
      <c r="C31" s="36"/>
      <c r="D31" s="85">
        <v>5</v>
      </c>
      <c r="E31" s="265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58"/>
      <c r="G31" s="2658"/>
      <c r="H31" s="2658"/>
      <c r="I31" s="193"/>
      <c r="M31" s="23">
        <v>30</v>
      </c>
    </row>
    <row r="32" spans="1:13" ht="27.4" customHeight="1">
      <c r="A32" s="1601"/>
      <c r="C32" s="36"/>
      <c r="D32" s="85" t="s">
        <v>310</v>
      </c>
      <c r="E32" s="25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74"/>
      <c r="G32" s="2574"/>
      <c r="H32" s="2574"/>
      <c r="I32" s="193"/>
      <c r="M32" s="23">
        <v>26</v>
      </c>
    </row>
    <row r="33" spans="1:13" ht="14.65" customHeight="1">
      <c r="A33" s="1601"/>
      <c r="C33" s="36"/>
      <c r="D33" s="85" t="s">
        <v>1209</v>
      </c>
      <c r="E33" s="143" t="s">
        <v>1198</v>
      </c>
      <c r="F33" s="135"/>
      <c r="G33" s="194"/>
      <c r="H33" s="135" t="s">
        <v>303</v>
      </c>
      <c r="I33" s="2372" t="s">
        <v>1210</v>
      </c>
      <c r="M33" s="23">
        <v>14</v>
      </c>
    </row>
    <row r="34" spans="1:13" ht="15.75" customHeight="1">
      <c r="A34" s="1601" t="s">
        <v>92</v>
      </c>
      <c r="C34" s="36"/>
      <c r="D34" s="49"/>
      <c r="E34" s="141" t="s">
        <v>319</v>
      </c>
      <c r="F34" s="137"/>
      <c r="G34" s="137"/>
      <c r="H34" s="138"/>
      <c r="I34" s="2374"/>
      <c r="M34" s="23">
        <v>15</v>
      </c>
    </row>
    <row r="35" spans="1:13" ht="25.15" customHeight="1">
      <c r="A35" s="1601"/>
      <c r="C35" s="36"/>
      <c r="D35" s="85" t="s">
        <v>879</v>
      </c>
      <c r="E35" s="25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74"/>
      <c r="G35" s="2574"/>
      <c r="H35" s="2574"/>
      <c r="I35" s="193"/>
      <c r="M35" s="23">
        <v>24</v>
      </c>
    </row>
    <row r="36" spans="1:13" ht="14.65" customHeight="1">
      <c r="A36" s="1601"/>
      <c r="C36" s="36"/>
      <c r="D36" s="85" t="s">
        <v>1211</v>
      </c>
      <c r="E36" s="143" t="s">
        <v>1199</v>
      </c>
      <c r="F36" s="135"/>
      <c r="G36" s="194"/>
      <c r="H36" s="135" t="s">
        <v>303</v>
      </c>
      <c r="I36" s="2350" t="s">
        <v>1212</v>
      </c>
      <c r="M36" s="23">
        <v>14</v>
      </c>
    </row>
    <row r="37" spans="1:13" ht="15.75" customHeight="1">
      <c r="A37" s="1601" t="s">
        <v>93</v>
      </c>
      <c r="C37" s="36"/>
      <c r="D37" s="49"/>
      <c r="E37" s="141" t="s">
        <v>319</v>
      </c>
      <c r="F37" s="137"/>
      <c r="G37" s="137"/>
      <c r="H37" s="138"/>
      <c r="I37" s="2350"/>
      <c r="M37" s="23">
        <v>15</v>
      </c>
    </row>
    <row r="38" spans="1:13" ht="27.4" customHeight="1">
      <c r="A38" s="1601"/>
      <c r="C38" s="36"/>
      <c r="D38" s="85" t="s">
        <v>880</v>
      </c>
      <c r="E38" s="25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74"/>
      <c r="G38" s="2574"/>
      <c r="H38" s="2574"/>
      <c r="I38" s="193"/>
      <c r="M38" s="23">
        <v>26</v>
      </c>
    </row>
    <row r="39" spans="1:13" ht="14.65" customHeight="1">
      <c r="A39" s="1601"/>
      <c r="C39" s="36"/>
      <c r="D39" s="85" t="s">
        <v>881</v>
      </c>
      <c r="E39" s="143" t="s">
        <v>1200</v>
      </c>
      <c r="F39" s="135"/>
      <c r="G39" s="144"/>
      <c r="H39" s="135" t="s">
        <v>303</v>
      </c>
      <c r="I39" s="2372" t="s">
        <v>1213</v>
      </c>
      <c r="L39" s="93" t="s">
        <v>1201</v>
      </c>
      <c r="M39" s="23">
        <v>14</v>
      </c>
    </row>
    <row r="40" spans="1:13" ht="15.75" customHeight="1">
      <c r="A40" s="1601" t="s">
        <v>110</v>
      </c>
      <c r="C40" s="36"/>
      <c r="D40" s="49"/>
      <c r="E40" s="141" t="s">
        <v>319</v>
      </c>
      <c r="F40" s="137"/>
      <c r="G40" s="137"/>
      <c r="H40" s="138"/>
      <c r="I40" s="2374"/>
      <c r="M40" s="23">
        <v>15</v>
      </c>
    </row>
    <row r="41" spans="1:13" s="2093" customFormat="1" ht="3" customHeight="1">
      <c r="A41" s="1601"/>
      <c r="K41" s="133"/>
      <c r="L41" s="133"/>
      <c r="M41" s="79">
        <v>3</v>
      </c>
    </row>
    <row r="42" spans="1:13" ht="26.25" customHeight="1">
      <c r="D42" s="1599" t="s">
        <v>801</v>
      </c>
      <c r="E42" s="245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55"/>
      <c r="G42" s="2455"/>
      <c r="H42" s="2455"/>
      <c r="I42" s="2455"/>
      <c r="M42" s="23">
        <v>25</v>
      </c>
    </row>
    <row r="43" spans="1:13" ht="22.5" hidden="1" customHeight="1">
      <c r="A43" s="1280"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1" hidden="1" customWidth="1"/>
    <col min="3" max="3" width="9.140625" style="2058" hidden="1" customWidth="1"/>
    <col min="4" max="4" width="3" style="2059" customWidth="1"/>
    <col min="5" max="5" width="6" style="2062" customWidth="1"/>
    <col min="6" max="6" width="46.7109375" style="2062" customWidth="1"/>
    <col min="7" max="7" width="35" style="2062" customWidth="1"/>
    <col min="8" max="8" width="3" style="2062" customWidth="1"/>
    <col min="9" max="10" width="11" style="2062" customWidth="1"/>
    <col min="11" max="12" width="35" style="2062" customWidth="1"/>
    <col min="13" max="13" width="84" style="2062" customWidth="1"/>
    <col min="14" max="14" width="10" style="2062" customWidth="1"/>
    <col min="15" max="16" width="10" style="2057" customWidth="1"/>
    <col min="17" max="33" width="10" style="2062" customWidth="1"/>
    <col min="34" max="34" width="10.5703125" style="2062" hidden="1"/>
  </cols>
  <sheetData>
    <row r="1" spans="1:34" s="2062" customFormat="1" ht="22.5" hidden="1" customHeight="1">
      <c r="A1" s="1696"/>
      <c r="B1" s="1696"/>
      <c r="C1" s="305"/>
      <c r="D1" s="281"/>
      <c r="N1" s="1554">
        <f>IFERROR(MATCH("метод экономически обоснованных расходов (затрат)",OFFER_METHOD,0),0)</f>
        <v>0</v>
      </c>
      <c r="O1" s="1542"/>
      <c r="P1" s="1542"/>
      <c r="T1" s="761"/>
      <c r="AG1" s="192"/>
      <c r="AH1" s="1549" t="s">
        <v>14</v>
      </c>
    </row>
    <row r="2" spans="1:34" s="2062" customFormat="1" ht="18.75" hidden="1" customHeight="1">
      <c r="A2" s="1697" t="s">
        <v>154</v>
      </c>
      <c r="B2" s="1697" t="s">
        <v>155</v>
      </c>
      <c r="C2" s="305"/>
      <c r="D2" s="281"/>
      <c r="E2" s="954"/>
      <c r="F2" s="954"/>
      <c r="G2" s="2635" t="str">
        <f>INDEX(PT_DIFFERENTIATION_NTAR,MATCH(B2,PT_DIFFERENTIATION_NTAR_ID,0))</f>
        <v/>
      </c>
      <c r="H2" s="1779"/>
      <c r="I2" s="1656"/>
      <c r="J2" s="1690"/>
      <c r="K2" s="1780"/>
      <c r="L2" s="1779" t="s">
        <v>303</v>
      </c>
      <c r="M2" s="1790"/>
      <c r="N2" s="271"/>
      <c r="O2" s="1542"/>
      <c r="P2" s="1542"/>
      <c r="AH2" s="1549">
        <v>0</v>
      </c>
    </row>
    <row r="3" spans="1:34" s="2062" customFormat="1" ht="18.75" hidden="1" customHeight="1">
      <c r="A3" s="1697"/>
      <c r="B3" s="1697"/>
      <c r="C3" s="305" t="s">
        <v>1214</v>
      </c>
      <c r="D3" s="281"/>
      <c r="E3" s="954"/>
      <c r="F3" s="954"/>
      <c r="G3" s="2635"/>
      <c r="H3" s="1418"/>
      <c r="I3" s="587" t="s">
        <v>1215</v>
      </c>
      <c r="J3" s="507"/>
      <c r="K3" s="1418"/>
      <c r="L3" s="151"/>
      <c r="M3" s="1790"/>
      <c r="N3" s="271"/>
      <c r="O3" s="1542"/>
      <c r="P3" s="1542"/>
      <c r="AH3" s="1549">
        <v>0</v>
      </c>
    </row>
    <row r="4" spans="1:34" s="2062" customFormat="1" ht="14.25" hidden="1" customHeight="1">
      <c r="A4" s="1696"/>
      <c r="B4" s="1696"/>
      <c r="C4" s="305"/>
      <c r="D4" s="281"/>
      <c r="N4" s="1554">
        <f>IFERROR(MATCH("метод экономически обоснованных расходов (затрат)",OFFER_METHOD,0),0)</f>
        <v>0</v>
      </c>
      <c r="O4" s="1542"/>
      <c r="P4" s="1542"/>
      <c r="T4" s="761"/>
      <c r="AG4" s="192"/>
      <c r="AH4" s="1549">
        <v>0</v>
      </c>
    </row>
    <row r="5" spans="1:34" s="2062" customFormat="1" ht="18.75" hidden="1" customHeight="1">
      <c r="A5" s="1697" t="s">
        <v>154</v>
      </c>
      <c r="B5" s="1697" t="s">
        <v>155</v>
      </c>
      <c r="C5" s="305"/>
      <c r="D5" s="281"/>
      <c r="E5" s="954"/>
      <c r="F5" s="954"/>
      <c r="G5" s="2635" t="str">
        <f>INDEX(PT_DIFFERENTIATION_NTAR,MATCH(B5,PT_DIFFERENTIATION_NTAR_ID,0))</f>
        <v/>
      </c>
      <c r="H5" s="1779"/>
      <c r="I5" s="1656"/>
      <c r="J5" s="1690"/>
      <c r="K5" s="1695"/>
      <c r="L5" s="1779" t="s">
        <v>303</v>
      </c>
      <c r="M5" s="1790"/>
      <c r="N5" s="271"/>
      <c r="O5" s="1542"/>
      <c r="P5" s="1542"/>
      <c r="AH5" s="1549">
        <v>0</v>
      </c>
    </row>
    <row r="6" spans="1:34" s="2062" customFormat="1" ht="18.75" hidden="1" customHeight="1">
      <c r="A6" s="1697"/>
      <c r="B6" s="1697"/>
      <c r="C6" s="305" t="s">
        <v>1216</v>
      </c>
      <c r="D6" s="281"/>
      <c r="E6" s="954"/>
      <c r="F6" s="954"/>
      <c r="G6" s="2635"/>
      <c r="H6" s="1418"/>
      <c r="I6" s="587" t="s">
        <v>1215</v>
      </c>
      <c r="J6" s="507"/>
      <c r="K6" s="1418"/>
      <c r="L6" s="151"/>
      <c r="M6" s="1790"/>
      <c r="N6" s="271"/>
      <c r="O6" s="1542"/>
      <c r="P6" s="1542"/>
      <c r="AH6" s="1549">
        <v>0</v>
      </c>
    </row>
    <row r="7" spans="1:34" s="2062" customFormat="1" ht="14.25" hidden="1" customHeight="1">
      <c r="A7" s="1696"/>
      <c r="B7" s="1696"/>
      <c r="C7" s="305"/>
      <c r="D7" s="281"/>
      <c r="N7" s="1554">
        <f>IFERROR(MATCH("метод экономически обоснованных расходов (затрат)",OFFER_METHOD,0),0)</f>
        <v>0</v>
      </c>
      <c r="O7" s="1542"/>
      <c r="P7" s="1542"/>
      <c r="T7" s="761"/>
      <c r="AG7" s="192"/>
      <c r="AH7" s="1549">
        <v>0</v>
      </c>
    </row>
    <row r="8" spans="1:34" s="2062" customFormat="1" ht="56.25" hidden="1" customHeight="1">
      <c r="A8" s="1697"/>
      <c r="B8" s="1697"/>
      <c r="C8" s="305"/>
      <c r="D8" s="281"/>
      <c r="E8" s="954"/>
      <c r="F8" s="954"/>
      <c r="G8" s="954"/>
      <c r="H8" s="1688"/>
      <c r="I8" s="1656"/>
      <c r="J8" s="1690"/>
      <c r="K8" s="1780"/>
      <c r="L8" s="1688" t="s">
        <v>303</v>
      </c>
      <c r="M8" s="1790"/>
      <c r="N8" s="271"/>
      <c r="O8" s="1542"/>
      <c r="P8" s="1542"/>
      <c r="AH8" s="1549">
        <v>0</v>
      </c>
    </row>
    <row r="9" spans="1:34" ht="14.25" hidden="1" customHeight="1">
      <c r="T9" s="333"/>
      <c r="AG9" s="192"/>
      <c r="AH9" s="310">
        <v>0</v>
      </c>
    </row>
    <row r="10" spans="1:34" s="2062" customFormat="1" ht="56.25" hidden="1" customHeight="1">
      <c r="A10" s="1697"/>
      <c r="B10" s="1697"/>
      <c r="C10" s="305"/>
      <c r="D10" s="281"/>
      <c r="E10" s="954"/>
      <c r="F10" s="954"/>
      <c r="G10" s="954"/>
      <c r="H10" s="1687"/>
      <c r="I10" s="1656"/>
      <c r="J10" s="1690"/>
      <c r="K10" s="1695"/>
      <c r="L10" s="1688" t="s">
        <v>303</v>
      </c>
      <c r="M10" s="1790"/>
      <c r="N10" s="271"/>
      <c r="O10" s="1542"/>
      <c r="P10" s="1542"/>
      <c r="AH10" s="1549">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6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60"/>
      <c r="G14" s="2660"/>
      <c r="H14" s="2660"/>
      <c r="I14" s="2660"/>
      <c r="J14" s="2660"/>
      <c r="K14" s="2660"/>
      <c r="L14" s="266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48" t="str">
        <f>IF(TITLE_DATE_PR_CHANGE="",IF(TITLE_DATE_PR="","",TITLE_DATE_PR),TITLE_DATE_PR_CHANGE)</f>
        <v/>
      </c>
      <c r="H16" s="2448"/>
      <c r="I16" s="2448"/>
      <c r="J16" s="2448"/>
      <c r="K16" s="2448"/>
      <c r="L16" s="244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49" t="str">
        <f>IF(TITLE_NUMBER_PR_CHANGE="",IF(TITLE_NUMBER_PR="","",TITLE_NUMBER_PR),TITLE_NUMBER_PR_CHANGE)</f>
        <v/>
      </c>
      <c r="H17" s="2449"/>
      <c r="I17" s="2449"/>
      <c r="J17" s="2449"/>
      <c r="K17" s="2449"/>
      <c r="L17" s="244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17" t="s">
        <v>297</v>
      </c>
      <c r="F19" s="2417"/>
      <c r="G19" s="2417"/>
      <c r="H19" s="2417"/>
      <c r="I19" s="2417"/>
      <c r="J19" s="2417"/>
      <c r="K19" s="2417"/>
      <c r="L19" s="2417"/>
      <c r="M19" s="2560" t="s">
        <v>298</v>
      </c>
      <c r="AH19" s="310">
        <v>21</v>
      </c>
    </row>
    <row r="20" spans="1:34" ht="21.95" customHeight="1">
      <c r="D20" s="312"/>
      <c r="E20" s="2473" t="s">
        <v>90</v>
      </c>
      <c r="F20" s="2423" t="s">
        <v>121</v>
      </c>
      <c r="G20" s="2423" t="s">
        <v>122</v>
      </c>
      <c r="H20" s="2557" t="s">
        <v>1217</v>
      </c>
      <c r="I20" s="2558"/>
      <c r="J20" s="2637"/>
      <c r="K20" s="2423" t="s">
        <v>300</v>
      </c>
      <c r="L20" s="2423" t="s">
        <v>387</v>
      </c>
      <c r="M20" s="2560"/>
      <c r="AH20" s="310">
        <v>21</v>
      </c>
    </row>
    <row r="21" spans="1:34" ht="21.95" customHeight="1">
      <c r="D21" s="312"/>
      <c r="E21" s="2475"/>
      <c r="F21" s="2424"/>
      <c r="G21" s="2424"/>
      <c r="H21" s="2422" t="s">
        <v>1218</v>
      </c>
      <c r="I21" s="2436"/>
      <c r="J21" s="48" t="s">
        <v>1219</v>
      </c>
      <c r="K21" s="2424"/>
      <c r="L21" s="2424"/>
      <c r="M21" s="2560"/>
      <c r="AH21" s="310">
        <v>21</v>
      </c>
    </row>
    <row r="22" spans="1:34" ht="12.75" customHeight="1">
      <c r="D22" s="312"/>
      <c r="E22" s="218"/>
      <c r="F22" s="218"/>
      <c r="G22" s="218"/>
      <c r="H22" s="2662"/>
      <c r="I22" s="2662"/>
      <c r="J22" s="218"/>
      <c r="K22" s="218"/>
      <c r="L22" s="218"/>
      <c r="M22" s="218"/>
      <c r="AH22" s="310">
        <v>12</v>
      </c>
    </row>
    <row r="23" spans="1:34" ht="19.899999999999999" customHeight="1">
      <c r="A23" s="1697"/>
      <c r="B23" s="1697"/>
      <c r="D23" s="312"/>
      <c r="E23" s="1781" t="s">
        <v>108</v>
      </c>
      <c r="F23" s="2663" t="str">
        <f>"Предлагаемый метод регулирования"&amp;IF(TEMPLATE_SPHERE="HEAT"," в сфере "&amp;TEMPLATE_SPHERE_RUS,"")</f>
        <v>Предлагаемый метод регулирования в сфере теплоснабжения</v>
      </c>
      <c r="G23" s="2663"/>
      <c r="H23" s="2658"/>
      <c r="I23" s="2658"/>
      <c r="J23" s="2658"/>
      <c r="K23" s="2663" t="s">
        <v>303</v>
      </c>
      <c r="L23" s="2658"/>
      <c r="M23" s="1686"/>
      <c r="N23" s="271"/>
      <c r="AH23" s="310">
        <v>19</v>
      </c>
    </row>
    <row r="24" spans="1:34" ht="60.75" hidden="1" customHeight="1">
      <c r="A24" s="1697" t="s">
        <v>154</v>
      </c>
      <c r="B24" s="1697" t="s">
        <v>155</v>
      </c>
      <c r="D24" s="2661"/>
      <c r="E24" s="2412"/>
      <c r="F24" s="266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35" t="str">
        <f>INDEX(PT_DIFFERENTIATION_NTAR,MATCH(B24,PT_DIFFERENTIATION_NTAR_ID,0))</f>
        <v/>
      </c>
      <c r="H24" s="1777"/>
      <c r="I24" s="1656"/>
      <c r="J24" s="1690"/>
      <c r="K24" s="1780"/>
      <c r="L24" s="1685" t="s">
        <v>303</v>
      </c>
      <c r="M24" s="23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62" customFormat="1" ht="18.75" hidden="1" customHeight="1">
      <c r="A25" s="1697"/>
      <c r="B25" s="1697"/>
      <c r="C25" s="305" t="s">
        <v>1214</v>
      </c>
      <c r="D25" s="2661"/>
      <c r="E25" s="2412"/>
      <c r="F25" s="2664"/>
      <c r="G25" s="2635"/>
      <c r="H25" s="1418"/>
      <c r="I25" s="587" t="s">
        <v>1215</v>
      </c>
      <c r="J25" s="507"/>
      <c r="K25" s="1418"/>
      <c r="L25" s="151"/>
      <c r="M25" s="2373"/>
      <c r="N25" s="271"/>
      <c r="O25" s="1542"/>
      <c r="P25" s="1542"/>
      <c r="AH25" s="1549">
        <v>0</v>
      </c>
    </row>
    <row r="26" spans="1:34" ht="0.75" hidden="1" customHeight="1">
      <c r="A26" s="1697"/>
      <c r="B26" s="1697"/>
      <c r="C26" s="305" t="s">
        <v>1220</v>
      </c>
      <c r="D26" s="2661"/>
      <c r="E26" s="2412"/>
      <c r="F26" s="2550"/>
      <c r="G26" s="336"/>
      <c r="H26" s="1418"/>
      <c r="I26" s="331"/>
      <c r="J26" s="285"/>
      <c r="K26" s="1418"/>
      <c r="L26" s="138"/>
      <c r="M26" s="2373"/>
      <c r="N26" s="271"/>
      <c r="AH26" s="310">
        <v>0</v>
      </c>
    </row>
    <row r="27" spans="1:34" s="2062" customFormat="1" ht="45" hidden="1" customHeight="1">
      <c r="A27" s="1697" t="s">
        <v>159</v>
      </c>
      <c r="B27" s="1697" t="s">
        <v>160</v>
      </c>
      <c r="C27" s="305"/>
      <c r="D27" s="2659"/>
      <c r="E27" s="2665"/>
      <c r="F27" s="2666" t="str">
        <f>INDEX(PT_DIFFERENTIATION_VTAR,MATCH(A27,PT_DIFFERENTIATION_VTAR_ID,0))</f>
        <v/>
      </c>
      <c r="G27" s="2635" t="str">
        <f>INDEX(PT_DIFFERENTIATION_NTAR,MATCH(B27,PT_DIFFERENTIATION_NTAR_ID,0))</f>
        <v/>
      </c>
      <c r="H27" s="1777"/>
      <c r="I27" s="1656"/>
      <c r="J27" s="1690"/>
      <c r="K27" s="1780"/>
      <c r="L27" s="1777" t="s">
        <v>303</v>
      </c>
      <c r="M27" s="2373"/>
      <c r="N27" s="271"/>
      <c r="O27" s="1542"/>
      <c r="P27" s="1542"/>
      <c r="AH27" s="1549">
        <v>0</v>
      </c>
    </row>
    <row r="28" spans="1:34" s="2062" customFormat="1" ht="18.75" hidden="1" customHeight="1">
      <c r="A28" s="1697"/>
      <c r="B28" s="1697"/>
      <c r="C28" s="305" t="s">
        <v>1214</v>
      </c>
      <c r="D28" s="2659"/>
      <c r="E28" s="2665"/>
      <c r="F28" s="2666"/>
      <c r="G28" s="2635"/>
      <c r="H28" s="1418"/>
      <c r="I28" s="587" t="s">
        <v>1215</v>
      </c>
      <c r="J28" s="507"/>
      <c r="K28" s="1418"/>
      <c r="L28" s="151"/>
      <c r="M28" s="2373"/>
      <c r="N28" s="271"/>
      <c r="O28" s="1542"/>
      <c r="P28" s="1542"/>
      <c r="AH28" s="1549">
        <v>0</v>
      </c>
    </row>
    <row r="29" spans="1:34" s="2062" customFormat="1" ht="0.75" hidden="1" customHeight="1">
      <c r="A29" s="1697"/>
      <c r="B29" s="1697"/>
      <c r="C29" s="305" t="s">
        <v>1220</v>
      </c>
      <c r="D29" s="2659"/>
      <c r="E29" s="2412"/>
      <c r="F29" s="2550"/>
      <c r="G29" s="336"/>
      <c r="H29" s="1418"/>
      <c r="I29" s="587"/>
      <c r="J29" s="507"/>
      <c r="K29" s="1418"/>
      <c r="L29" s="151"/>
      <c r="M29" s="2373"/>
      <c r="N29" s="271"/>
      <c r="O29" s="1542"/>
      <c r="P29" s="1542"/>
      <c r="AH29" s="1549">
        <v>0</v>
      </c>
    </row>
    <row r="30" spans="1:34" s="2062" customFormat="1" ht="45" hidden="1" customHeight="1">
      <c r="A30" s="1697" t="s">
        <v>166</v>
      </c>
      <c r="B30" s="1697" t="s">
        <v>167</v>
      </c>
      <c r="C30" s="305"/>
      <c r="D30" s="2659"/>
      <c r="E30" s="2412"/>
      <c r="F30" s="25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35" t="str">
        <f>INDEX(PT_DIFFERENTIATION_NTAR,MATCH(B30,PT_DIFFERENTIATION_NTAR_ID,0))</f>
        <v/>
      </c>
      <c r="H30" s="1777"/>
      <c r="I30" s="1656"/>
      <c r="J30" s="1690"/>
      <c r="K30" s="1780"/>
      <c r="L30" s="1777" t="s">
        <v>303</v>
      </c>
      <c r="M30" s="2373"/>
      <c r="N30" s="271"/>
      <c r="O30" s="1542"/>
      <c r="P30" s="1542"/>
      <c r="AH30" s="1549">
        <v>0</v>
      </c>
    </row>
    <row r="31" spans="1:34" s="2062" customFormat="1" ht="18.75" hidden="1" customHeight="1">
      <c r="A31" s="1697"/>
      <c r="B31" s="1697"/>
      <c r="C31" s="305" t="s">
        <v>1214</v>
      </c>
      <c r="D31" s="2659"/>
      <c r="E31" s="2412"/>
      <c r="F31" s="2550"/>
      <c r="G31" s="2635"/>
      <c r="H31" s="1418"/>
      <c r="I31" s="587" t="s">
        <v>1215</v>
      </c>
      <c r="J31" s="507"/>
      <c r="K31" s="1418"/>
      <c r="L31" s="151"/>
      <c r="M31" s="2373"/>
      <c r="N31" s="271"/>
      <c r="O31" s="1542"/>
      <c r="P31" s="1542"/>
      <c r="AH31" s="1549">
        <v>0</v>
      </c>
    </row>
    <row r="32" spans="1:34" s="2062" customFormat="1" ht="0.75" hidden="1" customHeight="1">
      <c r="A32" s="1697"/>
      <c r="B32" s="1697"/>
      <c r="C32" s="305" t="s">
        <v>1220</v>
      </c>
      <c r="D32" s="2659"/>
      <c r="E32" s="2412"/>
      <c r="F32" s="2550"/>
      <c r="G32" s="336"/>
      <c r="H32" s="1418"/>
      <c r="I32" s="587"/>
      <c r="J32" s="507"/>
      <c r="K32" s="1418"/>
      <c r="L32" s="151"/>
      <c r="M32" s="2373"/>
      <c r="N32" s="271"/>
      <c r="O32" s="1542"/>
      <c r="P32" s="1542"/>
      <c r="AH32" s="1549">
        <v>0</v>
      </c>
    </row>
    <row r="33" spans="1:34" s="2062" customFormat="1" ht="45" hidden="1" customHeight="1">
      <c r="A33" s="1697" t="s">
        <v>172</v>
      </c>
      <c r="B33" s="1697" t="s">
        <v>173</v>
      </c>
      <c r="C33" s="305"/>
      <c r="D33" s="2659"/>
      <c r="E33" s="2412"/>
      <c r="F33" s="25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35" t="str">
        <f>INDEX(PT_DIFFERENTIATION_NTAR,MATCH(B33,PT_DIFFERENTIATION_NTAR_ID,0))</f>
        <v/>
      </c>
      <c r="H33" s="1777"/>
      <c r="I33" s="1656"/>
      <c r="J33" s="1690"/>
      <c r="K33" s="1780"/>
      <c r="L33" s="1777" t="s">
        <v>303</v>
      </c>
      <c r="M33" s="2373"/>
      <c r="N33" s="271"/>
      <c r="O33" s="1542"/>
      <c r="P33" s="1542"/>
      <c r="AH33" s="1549">
        <v>0</v>
      </c>
    </row>
    <row r="34" spans="1:34" s="2062" customFormat="1" ht="18.75" hidden="1" customHeight="1">
      <c r="A34" s="1697"/>
      <c r="B34" s="1697"/>
      <c r="C34" s="305" t="s">
        <v>1214</v>
      </c>
      <c r="D34" s="2659"/>
      <c r="E34" s="2412"/>
      <c r="F34" s="2550"/>
      <c r="G34" s="2635"/>
      <c r="H34" s="1418"/>
      <c r="I34" s="587" t="s">
        <v>1215</v>
      </c>
      <c r="J34" s="507"/>
      <c r="K34" s="1418"/>
      <c r="L34" s="151"/>
      <c r="M34" s="2373"/>
      <c r="N34" s="271"/>
      <c r="O34" s="1542"/>
      <c r="P34" s="1542"/>
      <c r="AH34" s="1549">
        <v>0</v>
      </c>
    </row>
    <row r="35" spans="1:34" s="2062" customFormat="1" ht="0.75" hidden="1" customHeight="1">
      <c r="A35" s="1697"/>
      <c r="B35" s="1697"/>
      <c r="C35" s="305" t="s">
        <v>1220</v>
      </c>
      <c r="D35" s="2659"/>
      <c r="E35" s="2412"/>
      <c r="F35" s="2550"/>
      <c r="G35" s="336"/>
      <c r="H35" s="1418"/>
      <c r="I35" s="587"/>
      <c r="J35" s="507"/>
      <c r="K35" s="1418"/>
      <c r="L35" s="151"/>
      <c r="M35" s="2373"/>
      <c r="N35" s="271"/>
      <c r="O35" s="1542"/>
      <c r="P35" s="1542"/>
      <c r="AH35" s="1549">
        <v>0</v>
      </c>
    </row>
    <row r="36" spans="1:34" s="2062" customFormat="1" ht="18.75" hidden="1" customHeight="1">
      <c r="A36" s="1697" t="s">
        <v>178</v>
      </c>
      <c r="B36" s="1697" t="s">
        <v>179</v>
      </c>
      <c r="C36" s="305"/>
      <c r="D36" s="2659"/>
      <c r="E36" s="2412"/>
      <c r="F36" s="2550" t="str">
        <f>INDEX(PT_DIFFERENTIATION_VTAR,MATCH(A36,PT_DIFFERENTIATION_VTAR_ID,0))</f>
        <v>Тарифы на услуги по передаче тепловой энергии</v>
      </c>
      <c r="G36" s="2635" t="str">
        <f>INDEX(PT_DIFFERENTIATION_NTAR,MATCH(B36,PT_DIFFERENTIATION_NTAR_ID,0))</f>
        <v/>
      </c>
      <c r="H36" s="1777"/>
      <c r="I36" s="1656"/>
      <c r="J36" s="1690"/>
      <c r="K36" s="1780"/>
      <c r="L36" s="1777" t="s">
        <v>303</v>
      </c>
      <c r="M36" s="2373"/>
      <c r="N36" s="271"/>
      <c r="O36" s="1542"/>
      <c r="P36" s="1542"/>
      <c r="AH36" s="1549">
        <v>0</v>
      </c>
    </row>
    <row r="37" spans="1:34" s="2062" customFormat="1" ht="18.75" hidden="1" customHeight="1">
      <c r="A37" s="1697"/>
      <c r="B37" s="1697"/>
      <c r="C37" s="305" t="s">
        <v>1214</v>
      </c>
      <c r="D37" s="2659"/>
      <c r="E37" s="2412"/>
      <c r="F37" s="2550"/>
      <c r="G37" s="2635"/>
      <c r="H37" s="1418"/>
      <c r="I37" s="587" t="s">
        <v>1215</v>
      </c>
      <c r="J37" s="507"/>
      <c r="K37" s="1418"/>
      <c r="L37" s="151"/>
      <c r="M37" s="2373"/>
      <c r="N37" s="271"/>
      <c r="O37" s="1542"/>
      <c r="P37" s="1542"/>
      <c r="AH37" s="1549">
        <v>0</v>
      </c>
    </row>
    <row r="38" spans="1:34" s="2062" customFormat="1" ht="0.75" hidden="1" customHeight="1">
      <c r="A38" s="1697"/>
      <c r="B38" s="1697"/>
      <c r="C38" s="305" t="s">
        <v>1220</v>
      </c>
      <c r="D38" s="2659"/>
      <c r="E38" s="2412"/>
      <c r="F38" s="2550"/>
      <c r="G38" s="336"/>
      <c r="H38" s="1418"/>
      <c r="I38" s="587"/>
      <c r="J38" s="507"/>
      <c r="K38" s="1418"/>
      <c r="L38" s="151"/>
      <c r="M38" s="2373"/>
      <c r="N38" s="271"/>
      <c r="O38" s="1542"/>
      <c r="P38" s="1542"/>
      <c r="AH38" s="1549">
        <v>0</v>
      </c>
    </row>
    <row r="39" spans="1:34" s="2062" customFormat="1" ht="18.75" hidden="1" customHeight="1">
      <c r="A39" s="1697" t="s">
        <v>184</v>
      </c>
      <c r="B39" s="1697" t="s">
        <v>185</v>
      </c>
      <c r="C39" s="305"/>
      <c r="D39" s="2659"/>
      <c r="E39" s="2412"/>
      <c r="F39" s="2550" t="str">
        <f>INDEX(PT_DIFFERENTIATION_VTAR,MATCH(A39,PT_DIFFERENTIATION_VTAR_ID,0))</f>
        <v>Тарифы на услуги по передаче теплоносителя</v>
      </c>
      <c r="G39" s="2635" t="str">
        <f>INDEX(PT_DIFFERENTIATION_NTAR,MATCH(B39,PT_DIFFERENTIATION_NTAR_ID,0))</f>
        <v/>
      </c>
      <c r="H39" s="1777"/>
      <c r="I39" s="1656"/>
      <c r="J39" s="1690"/>
      <c r="K39" s="1780"/>
      <c r="L39" s="1777" t="s">
        <v>303</v>
      </c>
      <c r="M39" s="2373"/>
      <c r="N39" s="271"/>
      <c r="O39" s="1542"/>
      <c r="P39" s="1542"/>
      <c r="AH39" s="1549">
        <v>0</v>
      </c>
    </row>
    <row r="40" spans="1:34" s="2062" customFormat="1" ht="18.75" hidden="1" customHeight="1">
      <c r="A40" s="1697"/>
      <c r="B40" s="1697"/>
      <c r="C40" s="305" t="s">
        <v>1214</v>
      </c>
      <c r="D40" s="2659"/>
      <c r="E40" s="2412"/>
      <c r="F40" s="2550"/>
      <c r="G40" s="2635"/>
      <c r="H40" s="1418"/>
      <c r="I40" s="587" t="s">
        <v>1215</v>
      </c>
      <c r="J40" s="507"/>
      <c r="K40" s="1418"/>
      <c r="L40" s="151"/>
      <c r="M40" s="2373"/>
      <c r="N40" s="271"/>
      <c r="O40" s="1542"/>
      <c r="P40" s="1542"/>
      <c r="AH40" s="1549">
        <v>0</v>
      </c>
    </row>
    <row r="41" spans="1:34" s="2062" customFormat="1" ht="0.75" hidden="1" customHeight="1">
      <c r="A41" s="1697"/>
      <c r="B41" s="1697"/>
      <c r="C41" s="305" t="s">
        <v>1220</v>
      </c>
      <c r="D41" s="2659"/>
      <c r="E41" s="2412"/>
      <c r="F41" s="2550"/>
      <c r="G41" s="336"/>
      <c r="H41" s="1418"/>
      <c r="I41" s="587"/>
      <c r="J41" s="507"/>
      <c r="K41" s="1418"/>
      <c r="L41" s="151"/>
      <c r="M41" s="2373"/>
      <c r="N41" s="271"/>
      <c r="O41" s="1542"/>
      <c r="P41" s="1542"/>
      <c r="AH41" s="1549">
        <v>0</v>
      </c>
    </row>
    <row r="42" spans="1:34" s="2062" customFormat="1" ht="18.75" hidden="1" customHeight="1">
      <c r="A42" s="1697" t="s">
        <v>190</v>
      </c>
      <c r="B42" s="1697" t="s">
        <v>191</v>
      </c>
      <c r="C42" s="305"/>
      <c r="D42" s="2659"/>
      <c r="E42" s="2412"/>
      <c r="F42" s="25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35" t="str">
        <f>INDEX(PT_DIFFERENTIATION_NTAR,MATCH(B42,PT_DIFFERENTIATION_NTAR_ID,0))</f>
        <v/>
      </c>
      <c r="H42" s="1777"/>
      <c r="I42" s="1656"/>
      <c r="J42" s="1690"/>
      <c r="K42" s="1780"/>
      <c r="L42" s="1777" t="s">
        <v>303</v>
      </c>
      <c r="M42" s="2373"/>
      <c r="N42" s="271"/>
      <c r="O42" s="1542"/>
      <c r="P42" s="1542"/>
      <c r="AH42" s="1549">
        <v>0</v>
      </c>
    </row>
    <row r="43" spans="1:34" s="2062" customFormat="1" ht="18.75" hidden="1" customHeight="1">
      <c r="A43" s="1697"/>
      <c r="B43" s="1697"/>
      <c r="C43" s="305" t="s">
        <v>1214</v>
      </c>
      <c r="D43" s="2659"/>
      <c r="E43" s="2412"/>
      <c r="F43" s="2550"/>
      <c r="G43" s="2635"/>
      <c r="H43" s="1418"/>
      <c r="I43" s="587" t="s">
        <v>1215</v>
      </c>
      <c r="J43" s="507"/>
      <c r="K43" s="1418"/>
      <c r="L43" s="151"/>
      <c r="M43" s="2373"/>
      <c r="N43" s="271"/>
      <c r="O43" s="1542"/>
      <c r="P43" s="1542"/>
      <c r="AH43" s="1549">
        <v>0</v>
      </c>
    </row>
    <row r="44" spans="1:34" s="2062" customFormat="1" ht="0.75" hidden="1" customHeight="1">
      <c r="A44" s="1697"/>
      <c r="B44" s="1697"/>
      <c r="C44" s="305" t="s">
        <v>1220</v>
      </c>
      <c r="D44" s="2659"/>
      <c r="E44" s="2412"/>
      <c r="F44" s="2550"/>
      <c r="G44" s="336"/>
      <c r="H44" s="1418"/>
      <c r="I44" s="587"/>
      <c r="J44" s="507"/>
      <c r="K44" s="1418"/>
      <c r="L44" s="151"/>
      <c r="M44" s="2373"/>
      <c r="N44" s="271"/>
      <c r="O44" s="1542"/>
      <c r="P44" s="1542"/>
      <c r="AH44" s="1549">
        <v>0</v>
      </c>
    </row>
    <row r="45" spans="1:34" s="2062" customFormat="1" ht="18.75" hidden="1" customHeight="1">
      <c r="A45" s="1697" t="s">
        <v>196</v>
      </c>
      <c r="B45" s="1697" t="s">
        <v>197</v>
      </c>
      <c r="C45" s="305"/>
      <c r="D45" s="2659"/>
      <c r="E45" s="2412"/>
      <c r="F45" s="2550" t="str">
        <f>INDEX(PT_DIFFERENTIATION_VTAR,MATCH(A45,PT_DIFFERENTIATION_VTAR_ID,0))</f>
        <v>Плата за подключение (технологическое присоединение) к системе теплоснабжения</v>
      </c>
      <c r="G45" s="2635" t="str">
        <f>INDEX(PT_DIFFERENTIATION_NTAR,MATCH(B45,PT_DIFFERENTIATION_NTAR_ID,0))</f>
        <v/>
      </c>
      <c r="H45" s="1777"/>
      <c r="I45" s="1656"/>
      <c r="J45" s="1690"/>
      <c r="K45" s="1780"/>
      <c r="L45" s="1777" t="s">
        <v>303</v>
      </c>
      <c r="M45" s="2373"/>
      <c r="N45" s="271"/>
      <c r="O45" s="1542"/>
      <c r="P45" s="1542"/>
      <c r="AH45" s="1549">
        <v>0</v>
      </c>
    </row>
    <row r="46" spans="1:34" s="2062" customFormat="1" ht="18.75" hidden="1" customHeight="1">
      <c r="A46" s="1697"/>
      <c r="B46" s="1697"/>
      <c r="C46" s="305" t="s">
        <v>1214</v>
      </c>
      <c r="D46" s="2659"/>
      <c r="E46" s="2412"/>
      <c r="F46" s="2550"/>
      <c r="G46" s="2635"/>
      <c r="H46" s="1418"/>
      <c r="I46" s="587" t="s">
        <v>1215</v>
      </c>
      <c r="J46" s="507"/>
      <c r="K46" s="1418"/>
      <c r="L46" s="151"/>
      <c r="M46" s="2373"/>
      <c r="N46" s="271"/>
      <c r="O46" s="1542"/>
      <c r="P46" s="1542"/>
      <c r="AH46" s="1549">
        <v>0</v>
      </c>
    </row>
    <row r="47" spans="1:34" s="2062" customFormat="1" ht="0.75" hidden="1" customHeight="1">
      <c r="A47" s="1697"/>
      <c r="B47" s="1697"/>
      <c r="C47" s="305" t="s">
        <v>1220</v>
      </c>
      <c r="D47" s="2659"/>
      <c r="E47" s="2412"/>
      <c r="F47" s="2550"/>
      <c r="G47" s="336"/>
      <c r="H47" s="1418"/>
      <c r="I47" s="587"/>
      <c r="J47" s="507"/>
      <c r="K47" s="1418"/>
      <c r="L47" s="151"/>
      <c r="M47" s="2373"/>
      <c r="N47" s="271"/>
      <c r="O47" s="1542"/>
      <c r="P47" s="1542"/>
      <c r="AH47" s="1549">
        <v>0</v>
      </c>
    </row>
    <row r="48" spans="1:34" s="2062" customFormat="1" ht="18.75" hidden="1" customHeight="1">
      <c r="A48" s="1697" t="s">
        <v>202</v>
      </c>
      <c r="B48" s="1697" t="s">
        <v>203</v>
      </c>
      <c r="C48" s="305"/>
      <c r="D48" s="2659"/>
      <c r="E48" s="2412"/>
      <c r="F48" s="2550" t="str">
        <f>INDEX(PT_DIFFERENTIATION_VTAR,MATCH(A48,PT_DIFFERENTIATION_VTAR_ID,0))</f>
        <v>Плата за подключение (технологическое присоединение) к системе теплоснабжения (индивидуальная)</v>
      </c>
      <c r="G48" s="2635" t="str">
        <f>INDEX(PT_DIFFERENTIATION_NTAR,MATCH(B48,PT_DIFFERENTIATION_NTAR_ID,0))</f>
        <v/>
      </c>
      <c r="H48" s="1901"/>
      <c r="I48" s="1656"/>
      <c r="J48" s="1690"/>
      <c r="K48" s="1780"/>
      <c r="L48" s="1901" t="s">
        <v>303</v>
      </c>
      <c r="M48" s="2373"/>
      <c r="N48" s="271"/>
      <c r="O48" s="1542"/>
      <c r="P48" s="1542"/>
      <c r="AH48" s="1549">
        <v>0</v>
      </c>
    </row>
    <row r="49" spans="1:34" s="2062" customFormat="1" ht="18.75" hidden="1" customHeight="1">
      <c r="A49" s="1697"/>
      <c r="B49" s="1697"/>
      <c r="C49" s="305" t="s">
        <v>1214</v>
      </c>
      <c r="D49" s="2659"/>
      <c r="E49" s="2412"/>
      <c r="F49" s="2550"/>
      <c r="G49" s="2635"/>
      <c r="H49" s="1418"/>
      <c r="I49" s="587" t="s">
        <v>1215</v>
      </c>
      <c r="J49" s="507"/>
      <c r="K49" s="1418"/>
      <c r="L49" s="151"/>
      <c r="M49" s="2373"/>
      <c r="N49" s="271"/>
      <c r="O49" s="1542"/>
      <c r="P49" s="1542"/>
      <c r="AH49" s="1549">
        <v>0</v>
      </c>
    </row>
    <row r="50" spans="1:34" s="2062" customFormat="1" ht="0.75" hidden="1" customHeight="1">
      <c r="A50" s="1697"/>
      <c r="B50" s="1697"/>
      <c r="C50" s="305" t="s">
        <v>1220</v>
      </c>
      <c r="D50" s="2659"/>
      <c r="E50" s="2412"/>
      <c r="F50" s="2550"/>
      <c r="G50" s="336"/>
      <c r="H50" s="1418"/>
      <c r="I50" s="587"/>
      <c r="J50" s="507"/>
      <c r="K50" s="1418"/>
      <c r="L50" s="151"/>
      <c r="M50" s="2373"/>
      <c r="N50" s="271"/>
      <c r="O50" s="1542"/>
      <c r="P50" s="1542"/>
      <c r="AH50" s="1549">
        <v>0</v>
      </c>
    </row>
    <row r="51" spans="1:34" s="2062" customFormat="1" ht="18.75" hidden="1" customHeight="1">
      <c r="A51" s="1697" t="s">
        <v>222</v>
      </c>
      <c r="B51" s="1697" t="s">
        <v>223</v>
      </c>
      <c r="C51" s="305"/>
      <c r="D51" s="2659"/>
      <c r="E51" s="2412"/>
      <c r="F51" s="2550" t="str">
        <f>INDEX(PT_DIFFERENTIATION_VTAR,MATCH(A51,PT_DIFFERENTIATION_VTAR_ID,0))</f>
        <v>Тариф на питьевую воду (питьевое водоснабжение)</v>
      </c>
      <c r="G51" s="2635" t="str">
        <f>INDEX(PT_DIFFERENTIATION_NTAR,MATCH(B51,PT_DIFFERENTIATION_NTAR_ID,0))</f>
        <v/>
      </c>
      <c r="H51" s="1777"/>
      <c r="I51" s="1656"/>
      <c r="J51" s="1690"/>
      <c r="K51" s="1780"/>
      <c r="L51" s="1777" t="s">
        <v>303</v>
      </c>
      <c r="M51" s="2373"/>
      <c r="N51" s="271"/>
      <c r="O51" s="1542"/>
      <c r="P51" s="1542"/>
      <c r="AH51" s="1549">
        <v>0</v>
      </c>
    </row>
    <row r="52" spans="1:34" s="2062" customFormat="1" ht="18.75" hidden="1" customHeight="1">
      <c r="A52" s="1697"/>
      <c r="B52" s="1697"/>
      <c r="C52" s="305" t="s">
        <v>1214</v>
      </c>
      <c r="D52" s="2659"/>
      <c r="E52" s="2412"/>
      <c r="F52" s="2550"/>
      <c r="G52" s="2635"/>
      <c r="H52" s="1418"/>
      <c r="I52" s="587" t="s">
        <v>1215</v>
      </c>
      <c r="J52" s="507"/>
      <c r="K52" s="1418"/>
      <c r="L52" s="151"/>
      <c r="M52" s="2373"/>
      <c r="N52" s="271"/>
      <c r="O52" s="1542"/>
      <c r="P52" s="1542"/>
      <c r="AH52" s="1549">
        <v>0</v>
      </c>
    </row>
    <row r="53" spans="1:34" s="2062" customFormat="1" ht="0.75" hidden="1" customHeight="1">
      <c r="A53" s="1697"/>
      <c r="B53" s="1697"/>
      <c r="C53" s="305" t="s">
        <v>1220</v>
      </c>
      <c r="D53" s="2659"/>
      <c r="E53" s="2412"/>
      <c r="F53" s="2550"/>
      <c r="G53" s="336"/>
      <c r="H53" s="1418"/>
      <c r="I53" s="587"/>
      <c r="J53" s="507"/>
      <c r="K53" s="1418"/>
      <c r="L53" s="151"/>
      <c r="M53" s="2373"/>
      <c r="N53" s="271"/>
      <c r="O53" s="1542"/>
      <c r="P53" s="1542"/>
      <c r="AH53" s="1549">
        <v>0</v>
      </c>
    </row>
    <row r="54" spans="1:34" s="2062" customFormat="1" ht="18.75" hidden="1" customHeight="1">
      <c r="A54" s="1697" t="s">
        <v>227</v>
      </c>
      <c r="B54" s="1697" t="s">
        <v>228</v>
      </c>
      <c r="C54" s="305"/>
      <c r="D54" s="2659"/>
      <c r="E54" s="2412"/>
      <c r="F54" s="2550" t="str">
        <f>INDEX(PT_DIFFERENTIATION_VTAR,MATCH(A54,PT_DIFFERENTIATION_VTAR_ID,0))</f>
        <v>Тариф на техническую воду</v>
      </c>
      <c r="G54" s="2635" t="str">
        <f>INDEX(PT_DIFFERENTIATION_NTAR,MATCH(B54,PT_DIFFERENTIATION_NTAR_ID,0))</f>
        <v/>
      </c>
      <c r="H54" s="1777"/>
      <c r="I54" s="1656"/>
      <c r="J54" s="1690"/>
      <c r="K54" s="1780"/>
      <c r="L54" s="1777" t="s">
        <v>303</v>
      </c>
      <c r="M54" s="2373"/>
      <c r="N54" s="271"/>
      <c r="O54" s="1542"/>
      <c r="P54" s="1542"/>
      <c r="AH54" s="1549">
        <v>0</v>
      </c>
    </row>
    <row r="55" spans="1:34" s="2062" customFormat="1" ht="18.75" hidden="1" customHeight="1">
      <c r="A55" s="1697"/>
      <c r="B55" s="1697"/>
      <c r="C55" s="305" t="s">
        <v>1214</v>
      </c>
      <c r="D55" s="2659"/>
      <c r="E55" s="2412"/>
      <c r="F55" s="2550"/>
      <c r="G55" s="2635"/>
      <c r="H55" s="1418"/>
      <c r="I55" s="587" t="s">
        <v>1215</v>
      </c>
      <c r="J55" s="507"/>
      <c r="K55" s="1418"/>
      <c r="L55" s="151"/>
      <c r="M55" s="2373"/>
      <c r="N55" s="271"/>
      <c r="O55" s="1542"/>
      <c r="P55" s="1542"/>
      <c r="AH55" s="1549">
        <v>0</v>
      </c>
    </row>
    <row r="56" spans="1:34" s="2062" customFormat="1" ht="0.75" hidden="1" customHeight="1">
      <c r="A56" s="1697"/>
      <c r="B56" s="1697"/>
      <c r="C56" s="305" t="s">
        <v>1220</v>
      </c>
      <c r="D56" s="2659"/>
      <c r="E56" s="2412"/>
      <c r="F56" s="2550"/>
      <c r="G56" s="336"/>
      <c r="H56" s="1418"/>
      <c r="I56" s="587"/>
      <c r="J56" s="507"/>
      <c r="K56" s="1418"/>
      <c r="L56" s="151"/>
      <c r="M56" s="2373"/>
      <c r="N56" s="271"/>
      <c r="O56" s="1542"/>
      <c r="P56" s="1542"/>
      <c r="AH56" s="1549">
        <v>0</v>
      </c>
    </row>
    <row r="57" spans="1:34" s="2062" customFormat="1" ht="18.75" hidden="1" customHeight="1">
      <c r="A57" s="1697" t="s">
        <v>232</v>
      </c>
      <c r="B57" s="1697" t="s">
        <v>233</v>
      </c>
      <c r="C57" s="305"/>
      <c r="D57" s="2659"/>
      <c r="E57" s="2412"/>
      <c r="F57" s="2550" t="str">
        <f>INDEX(PT_DIFFERENTIATION_VTAR,MATCH(A57,PT_DIFFERENTIATION_VTAR_ID,0))</f>
        <v>Тариф на транспортировку воды</v>
      </c>
      <c r="G57" s="2635" t="str">
        <f>INDEX(PT_DIFFERENTIATION_NTAR,MATCH(B57,PT_DIFFERENTIATION_NTAR_ID,0))</f>
        <v/>
      </c>
      <c r="H57" s="1777"/>
      <c r="I57" s="1656"/>
      <c r="J57" s="1690"/>
      <c r="K57" s="1780"/>
      <c r="L57" s="1777" t="s">
        <v>303</v>
      </c>
      <c r="M57" s="2373"/>
      <c r="N57" s="271"/>
      <c r="O57" s="1542"/>
      <c r="P57" s="1542"/>
      <c r="AH57" s="1549">
        <v>0</v>
      </c>
    </row>
    <row r="58" spans="1:34" s="2062" customFormat="1" ht="18.75" hidden="1" customHeight="1">
      <c r="A58" s="1697"/>
      <c r="B58" s="1697"/>
      <c r="C58" s="305" t="s">
        <v>1214</v>
      </c>
      <c r="D58" s="2659"/>
      <c r="E58" s="2412"/>
      <c r="F58" s="2550"/>
      <c r="G58" s="2635"/>
      <c r="H58" s="1418"/>
      <c r="I58" s="587" t="s">
        <v>1215</v>
      </c>
      <c r="J58" s="507"/>
      <c r="K58" s="1418"/>
      <c r="L58" s="151"/>
      <c r="M58" s="2373"/>
      <c r="N58" s="271"/>
      <c r="O58" s="1542"/>
      <c r="P58" s="1542"/>
      <c r="AH58" s="1549">
        <v>0</v>
      </c>
    </row>
    <row r="59" spans="1:34" s="2062" customFormat="1" ht="0.75" hidden="1" customHeight="1">
      <c r="A59" s="1697"/>
      <c r="B59" s="1697"/>
      <c r="C59" s="305" t="s">
        <v>1220</v>
      </c>
      <c r="D59" s="2659"/>
      <c r="E59" s="2412"/>
      <c r="F59" s="2550"/>
      <c r="G59" s="336"/>
      <c r="H59" s="1418"/>
      <c r="I59" s="587"/>
      <c r="J59" s="507"/>
      <c r="K59" s="1418"/>
      <c r="L59" s="151"/>
      <c r="M59" s="2373"/>
      <c r="N59" s="271"/>
      <c r="O59" s="1542"/>
      <c r="P59" s="1542"/>
      <c r="AH59" s="1549">
        <v>0</v>
      </c>
    </row>
    <row r="60" spans="1:34" s="2062" customFormat="1" ht="18.75" hidden="1" customHeight="1">
      <c r="A60" s="1697" t="s">
        <v>237</v>
      </c>
      <c r="B60" s="1697" t="s">
        <v>238</v>
      </c>
      <c r="C60" s="305"/>
      <c r="D60" s="2659"/>
      <c r="E60" s="2412"/>
      <c r="F60" s="2550" t="str">
        <f>INDEX(PT_DIFFERENTIATION_VTAR,MATCH(A60,PT_DIFFERENTIATION_VTAR_ID,0))</f>
        <v>Тариф на подвоз воды</v>
      </c>
      <c r="G60" s="2635" t="str">
        <f>INDEX(PT_DIFFERENTIATION_NTAR,MATCH(B60,PT_DIFFERENTIATION_NTAR_ID,0))</f>
        <v/>
      </c>
      <c r="H60" s="1777"/>
      <c r="I60" s="1656"/>
      <c r="J60" s="1690"/>
      <c r="K60" s="1780"/>
      <c r="L60" s="1777" t="s">
        <v>303</v>
      </c>
      <c r="M60" s="2373"/>
      <c r="N60" s="271"/>
      <c r="O60" s="1542"/>
      <c r="P60" s="1542"/>
      <c r="AH60" s="1549">
        <v>0</v>
      </c>
    </row>
    <row r="61" spans="1:34" s="2062" customFormat="1" ht="18.75" hidden="1" customHeight="1">
      <c r="A61" s="1697"/>
      <c r="B61" s="1697"/>
      <c r="C61" s="305" t="s">
        <v>1214</v>
      </c>
      <c r="D61" s="2659"/>
      <c r="E61" s="2412"/>
      <c r="F61" s="2550"/>
      <c r="G61" s="2635"/>
      <c r="H61" s="1418"/>
      <c r="I61" s="587" t="s">
        <v>1215</v>
      </c>
      <c r="J61" s="507"/>
      <c r="K61" s="1418"/>
      <c r="L61" s="151"/>
      <c r="M61" s="2373"/>
      <c r="N61" s="271"/>
      <c r="O61" s="1542"/>
      <c r="P61" s="1542"/>
      <c r="AH61" s="1549">
        <v>0</v>
      </c>
    </row>
    <row r="62" spans="1:34" s="2062" customFormat="1" ht="0.75" hidden="1" customHeight="1">
      <c r="A62" s="1697"/>
      <c r="B62" s="1697"/>
      <c r="C62" s="305" t="s">
        <v>1220</v>
      </c>
      <c r="D62" s="2659"/>
      <c r="E62" s="2412"/>
      <c r="F62" s="2550"/>
      <c r="G62" s="336"/>
      <c r="H62" s="1418"/>
      <c r="I62" s="587"/>
      <c r="J62" s="507"/>
      <c r="K62" s="1418"/>
      <c r="L62" s="151"/>
      <c r="M62" s="2373"/>
      <c r="N62" s="271"/>
      <c r="O62" s="1542"/>
      <c r="P62" s="1542"/>
      <c r="AH62" s="1549">
        <v>0</v>
      </c>
    </row>
    <row r="63" spans="1:34" s="2062" customFormat="1" ht="18.75" hidden="1" customHeight="1">
      <c r="A63" s="1697" t="s">
        <v>242</v>
      </c>
      <c r="B63" s="1697" t="s">
        <v>243</v>
      </c>
      <c r="C63" s="305"/>
      <c r="D63" s="2659"/>
      <c r="E63" s="2412"/>
      <c r="F63" s="25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35" t="str">
        <f>INDEX(PT_DIFFERENTIATION_NTAR,MATCH(B63,PT_DIFFERENTIATION_NTAR_ID,0))</f>
        <v/>
      </c>
      <c r="H63" s="1777"/>
      <c r="I63" s="1656"/>
      <c r="J63" s="1690"/>
      <c r="K63" s="1780"/>
      <c r="L63" s="1777" t="s">
        <v>303</v>
      </c>
      <c r="M63" s="2373"/>
      <c r="N63" s="271"/>
      <c r="O63" s="1542"/>
      <c r="P63" s="1542"/>
      <c r="AH63" s="1549">
        <v>0</v>
      </c>
    </row>
    <row r="64" spans="1:34" s="2062" customFormat="1" ht="18.75" hidden="1" customHeight="1">
      <c r="A64" s="1697"/>
      <c r="B64" s="1697"/>
      <c r="C64" s="305" t="s">
        <v>1214</v>
      </c>
      <c r="D64" s="2659"/>
      <c r="E64" s="2412"/>
      <c r="F64" s="2550"/>
      <c r="G64" s="2635"/>
      <c r="H64" s="1418"/>
      <c r="I64" s="587" t="s">
        <v>1215</v>
      </c>
      <c r="J64" s="507"/>
      <c r="K64" s="1418"/>
      <c r="L64" s="151"/>
      <c r="M64" s="2373"/>
      <c r="N64" s="271"/>
      <c r="O64" s="1542"/>
      <c r="P64" s="1542"/>
      <c r="AH64" s="1549">
        <v>0</v>
      </c>
    </row>
    <row r="65" spans="1:34" s="2062" customFormat="1" ht="0.75" hidden="1" customHeight="1">
      <c r="A65" s="1697"/>
      <c r="B65" s="1697"/>
      <c r="C65" s="305" t="s">
        <v>1220</v>
      </c>
      <c r="D65" s="2659"/>
      <c r="E65" s="2412"/>
      <c r="F65" s="2550"/>
      <c r="G65" s="336"/>
      <c r="H65" s="1418"/>
      <c r="I65" s="587"/>
      <c r="J65" s="507"/>
      <c r="K65" s="1418"/>
      <c r="L65" s="151"/>
      <c r="M65" s="2373"/>
      <c r="N65" s="271"/>
      <c r="O65" s="1542"/>
      <c r="P65" s="1542"/>
      <c r="AH65" s="1549">
        <v>0</v>
      </c>
    </row>
    <row r="66" spans="1:34" s="2062" customFormat="1" ht="18.75" hidden="1" customHeight="1">
      <c r="A66" s="1697" t="s">
        <v>247</v>
      </c>
      <c r="B66" s="1697" t="s">
        <v>248</v>
      </c>
      <c r="C66" s="305"/>
      <c r="D66" s="2659"/>
      <c r="E66" s="2412"/>
      <c r="F66" s="2550" t="str">
        <f>INDEX(PT_DIFFERENTIATION_VTAR,MATCH(A66,PT_DIFFERENTIATION_VTAR_ID,0))</f>
        <v>Тариф на горячую воду (горячее водоснабжение)</v>
      </c>
      <c r="G66" s="2635" t="str">
        <f>INDEX(PT_DIFFERENTIATION_NTAR,MATCH(B66,PT_DIFFERENTIATION_NTAR_ID,0))</f>
        <v/>
      </c>
      <c r="H66" s="1777"/>
      <c r="I66" s="1656"/>
      <c r="J66" s="1690"/>
      <c r="K66" s="1780"/>
      <c r="L66" s="1777" t="s">
        <v>303</v>
      </c>
      <c r="M66" s="2373"/>
      <c r="N66" s="271"/>
      <c r="O66" s="1542"/>
      <c r="P66" s="1542"/>
      <c r="AH66" s="1549">
        <v>0</v>
      </c>
    </row>
    <row r="67" spans="1:34" s="2062" customFormat="1" ht="18.75" hidden="1" customHeight="1">
      <c r="A67" s="1697"/>
      <c r="B67" s="1697"/>
      <c r="C67" s="305" t="s">
        <v>1214</v>
      </c>
      <c r="D67" s="2659"/>
      <c r="E67" s="2412"/>
      <c r="F67" s="2550"/>
      <c r="G67" s="2635"/>
      <c r="H67" s="1418"/>
      <c r="I67" s="587" t="s">
        <v>1215</v>
      </c>
      <c r="J67" s="507"/>
      <c r="K67" s="1418"/>
      <c r="L67" s="151"/>
      <c r="M67" s="2373"/>
      <c r="N67" s="271"/>
      <c r="O67" s="1542"/>
      <c r="P67" s="1542"/>
      <c r="AH67" s="1549">
        <v>0</v>
      </c>
    </row>
    <row r="68" spans="1:34" s="2062" customFormat="1" ht="0.75" hidden="1" customHeight="1">
      <c r="A68" s="1697"/>
      <c r="B68" s="1697"/>
      <c r="C68" s="305" t="s">
        <v>1220</v>
      </c>
      <c r="D68" s="2659"/>
      <c r="E68" s="2412"/>
      <c r="F68" s="2550"/>
      <c r="G68" s="336"/>
      <c r="H68" s="1418"/>
      <c r="I68" s="587"/>
      <c r="J68" s="507"/>
      <c r="K68" s="1418"/>
      <c r="L68" s="151"/>
      <c r="M68" s="2373"/>
      <c r="N68" s="271"/>
      <c r="O68" s="1542"/>
      <c r="P68" s="1542"/>
      <c r="AH68" s="1549">
        <v>0</v>
      </c>
    </row>
    <row r="69" spans="1:34" s="2062" customFormat="1" ht="18.75" hidden="1" customHeight="1">
      <c r="A69" s="1697" t="s">
        <v>252</v>
      </c>
      <c r="B69" s="1697" t="s">
        <v>253</v>
      </c>
      <c r="C69" s="305"/>
      <c r="D69" s="2659"/>
      <c r="E69" s="2412"/>
      <c r="F69" s="2550" t="str">
        <f>INDEX(PT_DIFFERENTIATION_VTAR,MATCH(A69,PT_DIFFERENTIATION_VTAR_ID,0))</f>
        <v>Тариф на транспортировку горячей воды</v>
      </c>
      <c r="G69" s="2635" t="str">
        <f>INDEX(PT_DIFFERENTIATION_NTAR,MATCH(B69,PT_DIFFERENTIATION_NTAR_ID,0))</f>
        <v/>
      </c>
      <c r="H69" s="1777"/>
      <c r="I69" s="1656"/>
      <c r="J69" s="1690"/>
      <c r="K69" s="1780"/>
      <c r="L69" s="1777" t="s">
        <v>303</v>
      </c>
      <c r="M69" s="2373"/>
      <c r="N69" s="271"/>
      <c r="O69" s="1542"/>
      <c r="P69" s="1542"/>
      <c r="AH69" s="1549">
        <v>0</v>
      </c>
    </row>
    <row r="70" spans="1:34" s="2062" customFormat="1" ht="18.75" hidden="1" customHeight="1">
      <c r="A70" s="1697"/>
      <c r="B70" s="1697"/>
      <c r="C70" s="305" t="s">
        <v>1214</v>
      </c>
      <c r="D70" s="2659"/>
      <c r="E70" s="2412"/>
      <c r="F70" s="2550"/>
      <c r="G70" s="2635"/>
      <c r="H70" s="1418"/>
      <c r="I70" s="587" t="s">
        <v>1215</v>
      </c>
      <c r="J70" s="507"/>
      <c r="K70" s="1418"/>
      <c r="L70" s="151"/>
      <c r="M70" s="2373"/>
      <c r="N70" s="271"/>
      <c r="O70" s="1542"/>
      <c r="P70" s="1542"/>
      <c r="AH70" s="1549">
        <v>0</v>
      </c>
    </row>
    <row r="71" spans="1:34" s="2062" customFormat="1" ht="0.75" hidden="1" customHeight="1">
      <c r="A71" s="1697"/>
      <c r="B71" s="1697"/>
      <c r="C71" s="305" t="s">
        <v>1220</v>
      </c>
      <c r="D71" s="2659"/>
      <c r="E71" s="2412"/>
      <c r="F71" s="2550"/>
      <c r="G71" s="336"/>
      <c r="H71" s="1418"/>
      <c r="I71" s="587"/>
      <c r="J71" s="507"/>
      <c r="K71" s="1418"/>
      <c r="L71" s="151"/>
      <c r="M71" s="2373"/>
      <c r="N71" s="271"/>
      <c r="O71" s="1542"/>
      <c r="P71" s="1542"/>
      <c r="AH71" s="1549">
        <v>0</v>
      </c>
    </row>
    <row r="72" spans="1:34" s="2062" customFormat="1" ht="18.75" hidden="1" customHeight="1">
      <c r="A72" s="1697" t="s">
        <v>257</v>
      </c>
      <c r="B72" s="1697" t="s">
        <v>258</v>
      </c>
      <c r="C72" s="305"/>
      <c r="D72" s="2659"/>
      <c r="E72" s="2412"/>
      <c r="F72" s="2550" t="str">
        <f>INDEX(PT_DIFFERENTIATION_VTAR,MATCH(A72,PT_DIFFERENTIATION_VTAR_ID,0))</f>
        <v>Тариф на подключение (технологическое присоединение) к централизованной системе горячего водоснабжения</v>
      </c>
      <c r="G72" s="2635" t="str">
        <f>INDEX(PT_DIFFERENTIATION_NTAR,MATCH(B72,PT_DIFFERENTIATION_NTAR_ID,0))</f>
        <v/>
      </c>
      <c r="H72" s="1777"/>
      <c r="I72" s="1656"/>
      <c r="J72" s="1690"/>
      <c r="K72" s="1780"/>
      <c r="L72" s="1777" t="s">
        <v>303</v>
      </c>
      <c r="M72" s="2373"/>
      <c r="N72" s="271"/>
      <c r="O72" s="1542"/>
      <c r="P72" s="1542"/>
      <c r="AH72" s="1549">
        <v>0</v>
      </c>
    </row>
    <row r="73" spans="1:34" s="2062" customFormat="1" ht="18.75" hidden="1" customHeight="1">
      <c r="A73" s="1697"/>
      <c r="B73" s="1697"/>
      <c r="C73" s="305" t="s">
        <v>1214</v>
      </c>
      <c r="D73" s="2659"/>
      <c r="E73" s="2412"/>
      <c r="F73" s="2550"/>
      <c r="G73" s="2635"/>
      <c r="H73" s="1418"/>
      <c r="I73" s="587" t="s">
        <v>1215</v>
      </c>
      <c r="J73" s="507"/>
      <c r="K73" s="1418"/>
      <c r="L73" s="151"/>
      <c r="M73" s="2373"/>
      <c r="N73" s="271"/>
      <c r="O73" s="1542"/>
      <c r="P73" s="1542"/>
      <c r="AH73" s="1549">
        <v>0</v>
      </c>
    </row>
    <row r="74" spans="1:34" s="2062" customFormat="1" ht="0.75" hidden="1" customHeight="1">
      <c r="A74" s="1697"/>
      <c r="B74" s="1697"/>
      <c r="C74" s="305" t="s">
        <v>1220</v>
      </c>
      <c r="D74" s="2659"/>
      <c r="E74" s="2412"/>
      <c r="F74" s="2550"/>
      <c r="G74" s="336"/>
      <c r="H74" s="1418"/>
      <c r="I74" s="587"/>
      <c r="J74" s="507"/>
      <c r="K74" s="1418"/>
      <c r="L74" s="151"/>
      <c r="M74" s="2373"/>
      <c r="N74" s="271"/>
      <c r="O74" s="1542"/>
      <c r="P74" s="1542"/>
      <c r="AH74" s="1549">
        <v>0</v>
      </c>
    </row>
    <row r="75" spans="1:34" s="2062" customFormat="1" ht="18.75" hidden="1" customHeight="1">
      <c r="A75" s="1697" t="s">
        <v>262</v>
      </c>
      <c r="B75" s="1697" t="s">
        <v>263</v>
      </c>
      <c r="C75" s="305"/>
      <c r="D75" s="2659"/>
      <c r="E75" s="2412"/>
      <c r="F75" s="2550" t="str">
        <f>INDEX(PT_DIFFERENTIATION_VTAR,MATCH(A75,PT_DIFFERENTIATION_VTAR_ID,0))</f>
        <v>Тариф на водоотведение</v>
      </c>
      <c r="G75" s="2635" t="str">
        <f>INDEX(PT_DIFFERENTIATION_NTAR,MATCH(B75,PT_DIFFERENTIATION_NTAR_ID,0))</f>
        <v/>
      </c>
      <c r="H75" s="1777"/>
      <c r="I75" s="1656"/>
      <c r="J75" s="1690"/>
      <c r="K75" s="1780"/>
      <c r="L75" s="1777" t="s">
        <v>303</v>
      </c>
      <c r="M75" s="2373"/>
      <c r="N75" s="271"/>
      <c r="O75" s="1542"/>
      <c r="P75" s="1542"/>
      <c r="AH75" s="1549">
        <v>0</v>
      </c>
    </row>
    <row r="76" spans="1:34" s="2062" customFormat="1" ht="18.75" hidden="1" customHeight="1">
      <c r="A76" s="1697"/>
      <c r="B76" s="1697"/>
      <c r="C76" s="305" t="s">
        <v>1214</v>
      </c>
      <c r="D76" s="2659"/>
      <c r="E76" s="2412"/>
      <c r="F76" s="2550"/>
      <c r="G76" s="2635"/>
      <c r="H76" s="1418"/>
      <c r="I76" s="587" t="s">
        <v>1215</v>
      </c>
      <c r="J76" s="507"/>
      <c r="K76" s="1418"/>
      <c r="L76" s="151"/>
      <c r="M76" s="2373"/>
      <c r="N76" s="271"/>
      <c r="O76" s="1542"/>
      <c r="P76" s="1542"/>
      <c r="AH76" s="1549">
        <v>0</v>
      </c>
    </row>
    <row r="77" spans="1:34" s="2062" customFormat="1" ht="0.75" hidden="1" customHeight="1">
      <c r="A77" s="1697"/>
      <c r="B77" s="1697"/>
      <c r="C77" s="305" t="s">
        <v>1220</v>
      </c>
      <c r="D77" s="2659"/>
      <c r="E77" s="2412"/>
      <c r="F77" s="2550"/>
      <c r="G77" s="336"/>
      <c r="H77" s="1418"/>
      <c r="I77" s="587"/>
      <c r="J77" s="507"/>
      <c r="K77" s="1418"/>
      <c r="L77" s="151"/>
      <c r="M77" s="2373"/>
      <c r="N77" s="271"/>
      <c r="O77" s="1542"/>
      <c r="P77" s="1542"/>
      <c r="AH77" s="1549">
        <v>0</v>
      </c>
    </row>
    <row r="78" spans="1:34" s="2062" customFormat="1" ht="18.75" hidden="1" customHeight="1">
      <c r="A78" s="1697" t="s">
        <v>267</v>
      </c>
      <c r="B78" s="1697" t="s">
        <v>268</v>
      </c>
      <c r="C78" s="305"/>
      <c r="D78" s="2659"/>
      <c r="E78" s="2412"/>
      <c r="F78" s="2550" t="str">
        <f>INDEX(PT_DIFFERENTIATION_VTAR,MATCH(A78,PT_DIFFERENTIATION_VTAR_ID,0))</f>
        <v>Тариф на транспортировку сточных вод</v>
      </c>
      <c r="G78" s="2635" t="str">
        <f>INDEX(PT_DIFFERENTIATION_NTAR,MATCH(B78,PT_DIFFERENTIATION_NTAR_ID,0))</f>
        <v/>
      </c>
      <c r="H78" s="1777"/>
      <c r="I78" s="1656"/>
      <c r="J78" s="1690"/>
      <c r="K78" s="1780"/>
      <c r="L78" s="1777" t="s">
        <v>303</v>
      </c>
      <c r="M78" s="2373"/>
      <c r="N78" s="271"/>
      <c r="O78" s="1542"/>
      <c r="P78" s="1542"/>
      <c r="AH78" s="1549">
        <v>0</v>
      </c>
    </row>
    <row r="79" spans="1:34" s="2062" customFormat="1" ht="18.75" hidden="1" customHeight="1">
      <c r="A79" s="1697"/>
      <c r="B79" s="1697"/>
      <c r="C79" s="305" t="s">
        <v>1214</v>
      </c>
      <c r="D79" s="2659"/>
      <c r="E79" s="2412"/>
      <c r="F79" s="2550"/>
      <c r="G79" s="2635"/>
      <c r="H79" s="1418"/>
      <c r="I79" s="587" t="s">
        <v>1215</v>
      </c>
      <c r="J79" s="507"/>
      <c r="K79" s="1418"/>
      <c r="L79" s="151"/>
      <c r="M79" s="2373"/>
      <c r="N79" s="271"/>
      <c r="O79" s="1542"/>
      <c r="P79" s="1542"/>
      <c r="AH79" s="1549">
        <v>0</v>
      </c>
    </row>
    <row r="80" spans="1:34" s="2062" customFormat="1" ht="0.75" hidden="1" customHeight="1">
      <c r="A80" s="1697"/>
      <c r="B80" s="1697"/>
      <c r="C80" s="305" t="s">
        <v>1220</v>
      </c>
      <c r="D80" s="2659"/>
      <c r="E80" s="2412"/>
      <c r="F80" s="2550"/>
      <c r="G80" s="336"/>
      <c r="H80" s="1418"/>
      <c r="I80" s="587"/>
      <c r="J80" s="507"/>
      <c r="K80" s="1418"/>
      <c r="L80" s="151"/>
      <c r="M80" s="2373"/>
      <c r="N80" s="271"/>
      <c r="O80" s="1542"/>
      <c r="P80" s="1542"/>
      <c r="AH80" s="1549">
        <v>0</v>
      </c>
    </row>
    <row r="81" spans="1:34" s="2062" customFormat="1" ht="18.75" hidden="1" customHeight="1">
      <c r="A81" s="1697" t="s">
        <v>272</v>
      </c>
      <c r="B81" s="1697" t="s">
        <v>273</v>
      </c>
      <c r="C81" s="305"/>
      <c r="D81" s="2659"/>
      <c r="E81" s="2412"/>
      <c r="F81" s="2550" t="str">
        <f>INDEX(PT_DIFFERENTIATION_VTAR,MATCH(A81,PT_DIFFERENTIATION_VTAR_ID,0))</f>
        <v>Тариф на подключение (технологическое присоединение) к централизованной системе водоотведения</v>
      </c>
      <c r="G81" s="2635" t="str">
        <f>INDEX(PT_DIFFERENTIATION_NTAR,MATCH(B81,PT_DIFFERENTIATION_NTAR_ID,0))</f>
        <v/>
      </c>
      <c r="H81" s="1777"/>
      <c r="I81" s="1656"/>
      <c r="J81" s="1690"/>
      <c r="K81" s="1780"/>
      <c r="L81" s="1777" t="s">
        <v>303</v>
      </c>
      <c r="M81" s="2373"/>
      <c r="N81" s="271"/>
      <c r="O81" s="1542"/>
      <c r="P81" s="1542"/>
      <c r="AH81" s="1549">
        <v>0</v>
      </c>
    </row>
    <row r="82" spans="1:34" s="2062" customFormat="1" ht="18.75" hidden="1" customHeight="1">
      <c r="A82" s="1697"/>
      <c r="B82" s="1697"/>
      <c r="C82" s="305" t="s">
        <v>1214</v>
      </c>
      <c r="D82" s="2659"/>
      <c r="E82" s="2412"/>
      <c r="F82" s="2550"/>
      <c r="G82" s="2635"/>
      <c r="H82" s="1418"/>
      <c r="I82" s="587" t="s">
        <v>1215</v>
      </c>
      <c r="J82" s="507"/>
      <c r="K82" s="1418"/>
      <c r="L82" s="151"/>
      <c r="M82" s="2373"/>
      <c r="N82" s="271"/>
      <c r="O82" s="1542"/>
      <c r="P82" s="1542"/>
      <c r="AH82" s="1549">
        <v>0</v>
      </c>
    </row>
    <row r="83" spans="1:34" s="2062" customFormat="1" ht="1.1499999999999999" customHeight="1">
      <c r="A83" s="1697"/>
      <c r="B83" s="1697"/>
      <c r="C83" s="305" t="s">
        <v>1220</v>
      </c>
      <c r="D83" s="2659"/>
      <c r="E83" s="2412"/>
      <c r="F83" s="2550"/>
      <c r="G83" s="336"/>
      <c r="H83" s="1418"/>
      <c r="I83" s="587"/>
      <c r="J83" s="507"/>
      <c r="K83" s="1418"/>
      <c r="L83" s="151"/>
      <c r="M83" s="2373"/>
      <c r="N83" s="271"/>
      <c r="O83" s="1542"/>
      <c r="P83" s="1542"/>
      <c r="AH83" s="1549">
        <v>1</v>
      </c>
    </row>
    <row r="84" spans="1:34" ht="19.899999999999999" customHeight="1">
      <c r="A84" s="1697"/>
      <c r="B84" s="1697"/>
      <c r="D84" s="312"/>
      <c r="E84" s="85" t="s">
        <v>109</v>
      </c>
      <c r="F84" s="265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58"/>
      <c r="H84" s="2658"/>
      <c r="I84" s="2658"/>
      <c r="J84" s="2658"/>
      <c r="K84" s="2658"/>
      <c r="L84" s="2658"/>
      <c r="M84" s="234"/>
      <c r="N84" s="271"/>
      <c r="AH84" s="310">
        <v>19</v>
      </c>
    </row>
    <row r="85" spans="1:34" ht="35.65" customHeight="1">
      <c r="A85" s="1697"/>
      <c r="B85" s="1697"/>
      <c r="D85" s="312"/>
      <c r="E85" s="335"/>
      <c r="F85" s="135" t="s">
        <v>303</v>
      </c>
      <c r="G85" s="135" t="s">
        <v>303</v>
      </c>
      <c r="H85" s="2422" t="s">
        <v>303</v>
      </c>
      <c r="I85" s="2436"/>
      <c r="J85" s="135" t="s">
        <v>303</v>
      </c>
      <c r="K85" s="135" t="s">
        <v>303</v>
      </c>
      <c r="L85" s="337"/>
      <c r="M85" s="282" t="s">
        <v>1221</v>
      </c>
      <c r="N85" s="271"/>
      <c r="AH85" s="310">
        <v>34</v>
      </c>
    </row>
    <row r="86" spans="1:34" ht="19.899999999999999" customHeight="1">
      <c r="A86" s="1697"/>
      <c r="B86" s="1697"/>
      <c r="D86" s="312"/>
      <c r="E86" s="85" t="s">
        <v>92</v>
      </c>
      <c r="F86" s="2658" t="s">
        <v>1222</v>
      </c>
      <c r="G86" s="2658"/>
      <c r="H86" s="2658"/>
      <c r="I86" s="2658"/>
      <c r="J86" s="2658"/>
      <c r="K86" s="2658"/>
      <c r="L86" s="2658"/>
      <c r="M86" s="234"/>
      <c r="N86" s="271"/>
      <c r="AH86" s="310">
        <v>19</v>
      </c>
    </row>
    <row r="87" spans="1:34" s="2062" customFormat="1" ht="60.75" hidden="1" customHeight="1">
      <c r="A87" s="1697" t="s">
        <v>154</v>
      </c>
      <c r="B87" s="1697" t="s">
        <v>155</v>
      </c>
      <c r="C87" s="305"/>
      <c r="D87" s="2659"/>
      <c r="E87" s="2412"/>
      <c r="F87" s="25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35" t="str">
        <f>INDEX(PT_DIFFERENTIATION_NTAR,MATCH(B87,PT_DIFFERENTIATION_NTAR_ID,0))</f>
        <v/>
      </c>
      <c r="H87" s="1777"/>
      <c r="I87" s="1656"/>
      <c r="J87" s="1690"/>
      <c r="K87" s="1695"/>
      <c r="L87" s="1777" t="s">
        <v>303</v>
      </c>
      <c r="M87" s="23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062" customFormat="1" ht="18.75" hidden="1" customHeight="1">
      <c r="A88" s="1697"/>
      <c r="B88" s="1697"/>
      <c r="C88" s="305" t="s">
        <v>1216</v>
      </c>
      <c r="D88" s="2659"/>
      <c r="E88" s="2412"/>
      <c r="F88" s="2550"/>
      <c r="G88" s="2635"/>
      <c r="H88" s="1418"/>
      <c r="I88" s="587" t="s">
        <v>1215</v>
      </c>
      <c r="J88" s="507"/>
      <c r="K88" s="1418"/>
      <c r="L88" s="151"/>
      <c r="M88" s="2373"/>
      <c r="N88" s="271"/>
      <c r="O88" s="1542"/>
      <c r="P88" s="1542"/>
      <c r="AH88" s="1549">
        <v>0</v>
      </c>
    </row>
    <row r="89" spans="1:34" s="2062" customFormat="1" ht="0.75" hidden="1" customHeight="1">
      <c r="A89" s="1697"/>
      <c r="B89" s="1697"/>
      <c r="C89" s="305" t="s">
        <v>1223</v>
      </c>
      <c r="D89" s="2659"/>
      <c r="E89" s="2412"/>
      <c r="F89" s="2550"/>
      <c r="G89" s="336"/>
      <c r="H89" s="1418"/>
      <c r="I89" s="587"/>
      <c r="J89" s="507"/>
      <c r="K89" s="1418"/>
      <c r="L89" s="151"/>
      <c r="M89" s="2373"/>
      <c r="N89" s="271"/>
      <c r="O89" s="1542"/>
      <c r="P89" s="1542"/>
      <c r="AH89" s="1549">
        <v>0</v>
      </c>
    </row>
    <row r="90" spans="1:34" s="2062" customFormat="1" ht="45" hidden="1" customHeight="1">
      <c r="A90" s="1697" t="s">
        <v>159</v>
      </c>
      <c r="B90" s="1697" t="s">
        <v>160</v>
      </c>
      <c r="C90" s="305"/>
      <c r="D90" s="2659"/>
      <c r="E90" s="2412"/>
      <c r="F90" s="2550" t="str">
        <f>INDEX(PT_DIFFERENTIATION_VTAR,MATCH(A90,PT_DIFFERENTIATION_VTAR_ID,0))</f>
        <v/>
      </c>
      <c r="G90" s="2635" t="str">
        <f>INDEX(PT_DIFFERENTIATION_NTAR,MATCH(B90,PT_DIFFERENTIATION_NTAR_ID,0))</f>
        <v/>
      </c>
      <c r="H90" s="1777"/>
      <c r="I90" s="1656"/>
      <c r="J90" s="1690"/>
      <c r="K90" s="1695"/>
      <c r="L90" s="1777" t="s">
        <v>303</v>
      </c>
      <c r="M90" s="2374"/>
      <c r="N90" s="271"/>
      <c r="O90" s="1542"/>
      <c r="P90" s="1542"/>
      <c r="AH90" s="1549">
        <v>0</v>
      </c>
    </row>
    <row r="91" spans="1:34" s="2062" customFormat="1" ht="18.75" hidden="1" customHeight="1">
      <c r="A91" s="1697"/>
      <c r="B91" s="1697"/>
      <c r="C91" s="305" t="s">
        <v>1216</v>
      </c>
      <c r="D91" s="2659"/>
      <c r="E91" s="2412"/>
      <c r="F91" s="2550"/>
      <c r="G91" s="2635"/>
      <c r="H91" s="1418"/>
      <c r="I91" s="587" t="s">
        <v>1215</v>
      </c>
      <c r="J91" s="507"/>
      <c r="K91" s="1418"/>
      <c r="L91" s="151"/>
      <c r="M91" s="1776"/>
      <c r="N91" s="271"/>
      <c r="O91" s="1542"/>
      <c r="P91" s="1542"/>
      <c r="AH91" s="1549">
        <v>0</v>
      </c>
    </row>
    <row r="92" spans="1:34" s="2062" customFormat="1" ht="0.75" hidden="1" customHeight="1">
      <c r="A92" s="1697"/>
      <c r="B92" s="1697"/>
      <c r="C92" s="305" t="s">
        <v>1223</v>
      </c>
      <c r="D92" s="2659"/>
      <c r="E92" s="2412"/>
      <c r="F92" s="2550"/>
      <c r="G92" s="336"/>
      <c r="H92" s="1418"/>
      <c r="I92" s="587"/>
      <c r="J92" s="507"/>
      <c r="K92" s="1418"/>
      <c r="L92" s="151"/>
      <c r="M92" s="278"/>
      <c r="N92" s="271"/>
      <c r="O92" s="1542"/>
      <c r="P92" s="1542"/>
      <c r="AH92" s="1549">
        <v>0</v>
      </c>
    </row>
    <row r="93" spans="1:34" s="2062" customFormat="1" ht="45" hidden="1" customHeight="1">
      <c r="A93" s="1697" t="s">
        <v>166</v>
      </c>
      <c r="B93" s="1697" t="s">
        <v>167</v>
      </c>
      <c r="C93" s="305"/>
      <c r="D93" s="2659"/>
      <c r="E93" s="2412"/>
      <c r="F93" s="25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35" t="str">
        <f>INDEX(PT_DIFFERENTIATION_NTAR,MATCH(B93,PT_DIFFERENTIATION_NTAR_ID,0))</f>
        <v/>
      </c>
      <c r="H93" s="1777"/>
      <c r="I93" s="1656"/>
      <c r="J93" s="1690"/>
      <c r="K93" s="1695"/>
      <c r="L93" s="1777" t="s">
        <v>303</v>
      </c>
      <c r="M93" s="278"/>
      <c r="N93" s="271"/>
      <c r="O93" s="1542"/>
      <c r="P93" s="1542"/>
      <c r="AH93" s="1549">
        <v>0</v>
      </c>
    </row>
    <row r="94" spans="1:34" s="2062" customFormat="1" ht="18.75" hidden="1" customHeight="1">
      <c r="A94" s="1697"/>
      <c r="B94" s="1697"/>
      <c r="C94" s="305" t="s">
        <v>1216</v>
      </c>
      <c r="D94" s="2659"/>
      <c r="E94" s="2412"/>
      <c r="F94" s="2550"/>
      <c r="G94" s="2635"/>
      <c r="H94" s="1418"/>
      <c r="I94" s="587" t="s">
        <v>1215</v>
      </c>
      <c r="J94" s="507"/>
      <c r="K94" s="1418"/>
      <c r="L94" s="151"/>
      <c r="M94" s="278"/>
      <c r="N94" s="271"/>
      <c r="O94" s="1542"/>
      <c r="P94" s="1542"/>
      <c r="AH94" s="1549">
        <v>0</v>
      </c>
    </row>
    <row r="95" spans="1:34" s="2062" customFormat="1" ht="0.75" hidden="1" customHeight="1">
      <c r="A95" s="1697"/>
      <c r="B95" s="1697"/>
      <c r="C95" s="305" t="s">
        <v>1223</v>
      </c>
      <c r="D95" s="2659"/>
      <c r="E95" s="2412"/>
      <c r="F95" s="2550"/>
      <c r="G95" s="336"/>
      <c r="H95" s="1418"/>
      <c r="I95" s="587"/>
      <c r="J95" s="507"/>
      <c r="K95" s="1418"/>
      <c r="L95" s="151"/>
      <c r="M95" s="278"/>
      <c r="N95" s="271"/>
      <c r="O95" s="1542"/>
      <c r="P95" s="1542"/>
      <c r="AH95" s="1549">
        <v>0</v>
      </c>
    </row>
    <row r="96" spans="1:34" s="2062" customFormat="1" ht="45" hidden="1" customHeight="1">
      <c r="A96" s="1697" t="s">
        <v>172</v>
      </c>
      <c r="B96" s="1697" t="s">
        <v>173</v>
      </c>
      <c r="C96" s="305"/>
      <c r="D96" s="2659"/>
      <c r="E96" s="2412"/>
      <c r="F96" s="25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35" t="str">
        <f>INDEX(PT_DIFFERENTIATION_NTAR,MATCH(B96,PT_DIFFERENTIATION_NTAR_ID,0))</f>
        <v/>
      </c>
      <c r="H96" s="1777"/>
      <c r="I96" s="1656"/>
      <c r="J96" s="1690"/>
      <c r="K96" s="1695"/>
      <c r="L96" s="1777" t="s">
        <v>303</v>
      </c>
      <c r="M96" s="278"/>
      <c r="N96" s="271"/>
      <c r="O96" s="1542"/>
      <c r="P96" s="1542"/>
      <c r="AH96" s="1549">
        <v>0</v>
      </c>
    </row>
    <row r="97" spans="1:34" s="2062" customFormat="1" ht="18.75" hidden="1" customHeight="1">
      <c r="A97" s="1697"/>
      <c r="B97" s="1697"/>
      <c r="C97" s="305" t="s">
        <v>1216</v>
      </c>
      <c r="D97" s="2659"/>
      <c r="E97" s="2412"/>
      <c r="F97" s="2550"/>
      <c r="G97" s="2635"/>
      <c r="H97" s="1418"/>
      <c r="I97" s="587" t="s">
        <v>1215</v>
      </c>
      <c r="J97" s="507"/>
      <c r="K97" s="1418"/>
      <c r="L97" s="151"/>
      <c r="M97" s="278"/>
      <c r="N97" s="271"/>
      <c r="O97" s="1542"/>
      <c r="P97" s="1542"/>
      <c r="AH97" s="1549">
        <v>0</v>
      </c>
    </row>
    <row r="98" spans="1:34" s="2062" customFormat="1" ht="0.75" hidden="1" customHeight="1">
      <c r="A98" s="1697"/>
      <c r="B98" s="1697"/>
      <c r="C98" s="305" t="s">
        <v>1223</v>
      </c>
      <c r="D98" s="2659"/>
      <c r="E98" s="2412"/>
      <c r="F98" s="2550"/>
      <c r="G98" s="336"/>
      <c r="H98" s="1418"/>
      <c r="I98" s="587"/>
      <c r="J98" s="507"/>
      <c r="K98" s="1418"/>
      <c r="L98" s="151"/>
      <c r="M98" s="278"/>
      <c r="N98" s="271"/>
      <c r="O98" s="1542"/>
      <c r="P98" s="1542"/>
      <c r="AH98" s="1549">
        <v>0</v>
      </c>
    </row>
    <row r="99" spans="1:34" s="2062" customFormat="1" ht="18.75" hidden="1" customHeight="1">
      <c r="A99" s="1697" t="s">
        <v>178</v>
      </c>
      <c r="B99" s="1697" t="s">
        <v>179</v>
      </c>
      <c r="C99" s="305"/>
      <c r="D99" s="2659"/>
      <c r="E99" s="2412"/>
      <c r="F99" s="2550" t="str">
        <f>INDEX(PT_DIFFERENTIATION_VTAR,MATCH(A99,PT_DIFFERENTIATION_VTAR_ID,0))</f>
        <v>Тарифы на услуги по передаче тепловой энергии</v>
      </c>
      <c r="G99" s="2635" t="str">
        <f>INDEX(PT_DIFFERENTIATION_NTAR,MATCH(B99,PT_DIFFERENTIATION_NTAR_ID,0))</f>
        <v/>
      </c>
      <c r="H99" s="1777"/>
      <c r="I99" s="1656"/>
      <c r="J99" s="1690"/>
      <c r="K99" s="1695"/>
      <c r="L99" s="1777" t="s">
        <v>303</v>
      </c>
      <c r="M99" s="278"/>
      <c r="N99" s="271"/>
      <c r="O99" s="1542"/>
      <c r="P99" s="1542"/>
      <c r="AH99" s="1549">
        <v>0</v>
      </c>
    </row>
    <row r="100" spans="1:34" s="2062" customFormat="1" ht="18.75" hidden="1" customHeight="1">
      <c r="A100" s="1697"/>
      <c r="B100" s="1697"/>
      <c r="C100" s="305" t="s">
        <v>1216</v>
      </c>
      <c r="D100" s="2659"/>
      <c r="E100" s="2412"/>
      <c r="F100" s="2550"/>
      <c r="G100" s="2635"/>
      <c r="H100" s="1418"/>
      <c r="I100" s="587" t="s">
        <v>1215</v>
      </c>
      <c r="J100" s="507"/>
      <c r="K100" s="1418"/>
      <c r="L100" s="151"/>
      <c r="M100" s="278"/>
      <c r="N100" s="271"/>
      <c r="O100" s="1542"/>
      <c r="P100" s="1542"/>
      <c r="AH100" s="1549">
        <v>0</v>
      </c>
    </row>
    <row r="101" spans="1:34" s="2062" customFormat="1" ht="0.75" hidden="1" customHeight="1">
      <c r="A101" s="1697"/>
      <c r="B101" s="1697"/>
      <c r="C101" s="305" t="s">
        <v>1223</v>
      </c>
      <c r="D101" s="2659"/>
      <c r="E101" s="2412"/>
      <c r="F101" s="2550"/>
      <c r="G101" s="336"/>
      <c r="H101" s="1418"/>
      <c r="I101" s="587"/>
      <c r="J101" s="507"/>
      <c r="K101" s="1418"/>
      <c r="L101" s="151"/>
      <c r="M101" s="278"/>
      <c r="N101" s="271"/>
      <c r="O101" s="1542"/>
      <c r="P101" s="1542"/>
      <c r="AH101" s="1549">
        <v>0</v>
      </c>
    </row>
    <row r="102" spans="1:34" s="2062" customFormat="1" ht="18.75" hidden="1" customHeight="1">
      <c r="A102" s="1697" t="s">
        <v>184</v>
      </c>
      <c r="B102" s="1697" t="s">
        <v>185</v>
      </c>
      <c r="C102" s="305"/>
      <c r="D102" s="2659"/>
      <c r="E102" s="2412"/>
      <c r="F102" s="2550" t="str">
        <f>INDEX(PT_DIFFERENTIATION_VTAR,MATCH(A102,PT_DIFFERENTIATION_VTAR_ID,0))</f>
        <v>Тарифы на услуги по передаче теплоносителя</v>
      </c>
      <c r="G102" s="2635" t="str">
        <f>INDEX(PT_DIFFERENTIATION_NTAR,MATCH(B102,PT_DIFFERENTIATION_NTAR_ID,0))</f>
        <v/>
      </c>
      <c r="H102" s="1777"/>
      <c r="I102" s="1656"/>
      <c r="J102" s="1690"/>
      <c r="K102" s="1695"/>
      <c r="L102" s="1777" t="s">
        <v>303</v>
      </c>
      <c r="M102" s="278"/>
      <c r="N102" s="271"/>
      <c r="O102" s="1542"/>
      <c r="P102" s="1542"/>
      <c r="AH102" s="1549">
        <v>0</v>
      </c>
    </row>
    <row r="103" spans="1:34" s="2062" customFormat="1" ht="18.75" hidden="1" customHeight="1">
      <c r="A103" s="1697"/>
      <c r="B103" s="1697"/>
      <c r="C103" s="305" t="s">
        <v>1216</v>
      </c>
      <c r="D103" s="2659"/>
      <c r="E103" s="2412"/>
      <c r="F103" s="2550"/>
      <c r="G103" s="2635"/>
      <c r="H103" s="1418"/>
      <c r="I103" s="587" t="s">
        <v>1215</v>
      </c>
      <c r="J103" s="507"/>
      <c r="K103" s="1418"/>
      <c r="L103" s="151"/>
      <c r="M103" s="278"/>
      <c r="N103" s="271"/>
      <c r="O103" s="1542"/>
      <c r="P103" s="1542"/>
      <c r="AH103" s="1549">
        <v>0</v>
      </c>
    </row>
    <row r="104" spans="1:34" s="2062" customFormat="1" ht="0.75" hidden="1" customHeight="1">
      <c r="A104" s="1697"/>
      <c r="B104" s="1697"/>
      <c r="C104" s="305" t="s">
        <v>1223</v>
      </c>
      <c r="D104" s="2659"/>
      <c r="E104" s="2412"/>
      <c r="F104" s="2550"/>
      <c r="G104" s="336"/>
      <c r="H104" s="1418"/>
      <c r="I104" s="587"/>
      <c r="J104" s="507"/>
      <c r="K104" s="1418"/>
      <c r="L104" s="151"/>
      <c r="M104" s="278"/>
      <c r="N104" s="271"/>
      <c r="O104" s="1542"/>
      <c r="P104" s="1542"/>
      <c r="AH104" s="1549">
        <v>0</v>
      </c>
    </row>
    <row r="105" spans="1:34" s="2062" customFormat="1" ht="18.75" hidden="1" customHeight="1">
      <c r="A105" s="1697" t="s">
        <v>190</v>
      </c>
      <c r="B105" s="1697" t="s">
        <v>191</v>
      </c>
      <c r="C105" s="305"/>
      <c r="D105" s="2659"/>
      <c r="E105" s="2412"/>
      <c r="F105" s="25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35" t="str">
        <f>INDEX(PT_DIFFERENTIATION_NTAR,MATCH(B105,PT_DIFFERENTIATION_NTAR_ID,0))</f>
        <v/>
      </c>
      <c r="H105" s="1777"/>
      <c r="I105" s="1656"/>
      <c r="J105" s="1690"/>
      <c r="K105" s="1695"/>
      <c r="L105" s="1777" t="s">
        <v>303</v>
      </c>
      <c r="M105" s="278"/>
      <c r="N105" s="271"/>
      <c r="O105" s="1542"/>
      <c r="P105" s="1542"/>
      <c r="AH105" s="1549">
        <v>0</v>
      </c>
    </row>
    <row r="106" spans="1:34" s="2062" customFormat="1" ht="18.75" hidden="1" customHeight="1">
      <c r="A106" s="1697"/>
      <c r="B106" s="1697"/>
      <c r="C106" s="305" t="s">
        <v>1216</v>
      </c>
      <c r="D106" s="2659"/>
      <c r="E106" s="2412"/>
      <c r="F106" s="2550"/>
      <c r="G106" s="2635"/>
      <c r="H106" s="1418"/>
      <c r="I106" s="587" t="s">
        <v>1215</v>
      </c>
      <c r="J106" s="507"/>
      <c r="K106" s="1418"/>
      <c r="L106" s="151"/>
      <c r="M106" s="278"/>
      <c r="N106" s="271"/>
      <c r="O106" s="1542"/>
      <c r="P106" s="1542"/>
      <c r="AH106" s="1549">
        <v>0</v>
      </c>
    </row>
    <row r="107" spans="1:34" s="2062" customFormat="1" ht="0.75" hidden="1" customHeight="1">
      <c r="A107" s="1697"/>
      <c r="B107" s="1697"/>
      <c r="C107" s="305" t="s">
        <v>1223</v>
      </c>
      <c r="D107" s="2659"/>
      <c r="E107" s="2412"/>
      <c r="F107" s="2550"/>
      <c r="G107" s="336"/>
      <c r="H107" s="1418"/>
      <c r="I107" s="587"/>
      <c r="J107" s="507"/>
      <c r="K107" s="1418"/>
      <c r="L107" s="151"/>
      <c r="M107" s="278"/>
      <c r="N107" s="271"/>
      <c r="O107" s="1542"/>
      <c r="P107" s="1542"/>
      <c r="AH107" s="1549">
        <v>0</v>
      </c>
    </row>
    <row r="108" spans="1:34" s="2062" customFormat="1" ht="18.75" hidden="1" customHeight="1">
      <c r="A108" s="1697" t="s">
        <v>196</v>
      </c>
      <c r="B108" s="1697" t="s">
        <v>197</v>
      </c>
      <c r="C108" s="305"/>
      <c r="D108" s="2659"/>
      <c r="E108" s="2412"/>
      <c r="F108" s="2550" t="str">
        <f>INDEX(PT_DIFFERENTIATION_VTAR,MATCH(A108,PT_DIFFERENTIATION_VTAR_ID,0))</f>
        <v>Плата за подключение (технологическое присоединение) к системе теплоснабжения</v>
      </c>
      <c r="G108" s="2635" t="str">
        <f>INDEX(PT_DIFFERENTIATION_NTAR,MATCH(B108,PT_DIFFERENTIATION_NTAR_ID,0))</f>
        <v/>
      </c>
      <c r="H108" s="1777"/>
      <c r="I108" s="1656"/>
      <c r="J108" s="1690"/>
      <c r="K108" s="1695"/>
      <c r="L108" s="1777" t="s">
        <v>303</v>
      </c>
      <c r="M108" s="278"/>
      <c r="N108" s="271"/>
      <c r="O108" s="1542"/>
      <c r="P108" s="1542"/>
      <c r="AH108" s="1549">
        <v>0</v>
      </c>
    </row>
    <row r="109" spans="1:34" s="2062" customFormat="1" ht="18.75" hidden="1" customHeight="1">
      <c r="A109" s="1697"/>
      <c r="B109" s="1697"/>
      <c r="C109" s="305" t="s">
        <v>1216</v>
      </c>
      <c r="D109" s="2659"/>
      <c r="E109" s="2412"/>
      <c r="F109" s="2550"/>
      <c r="G109" s="2635"/>
      <c r="H109" s="1418"/>
      <c r="I109" s="587" t="s">
        <v>1215</v>
      </c>
      <c r="J109" s="507"/>
      <c r="K109" s="1418"/>
      <c r="L109" s="151"/>
      <c r="M109" s="278"/>
      <c r="N109" s="271"/>
      <c r="O109" s="1542"/>
      <c r="P109" s="1542"/>
      <c r="AH109" s="1549">
        <v>0</v>
      </c>
    </row>
    <row r="110" spans="1:34" s="2062" customFormat="1" ht="0.75" hidden="1" customHeight="1">
      <c r="A110" s="1697"/>
      <c r="B110" s="1697"/>
      <c r="C110" s="305" t="s">
        <v>1223</v>
      </c>
      <c r="D110" s="2659"/>
      <c r="E110" s="2412"/>
      <c r="F110" s="2550"/>
      <c r="G110" s="336"/>
      <c r="H110" s="1418"/>
      <c r="I110" s="587"/>
      <c r="J110" s="507"/>
      <c r="K110" s="1418"/>
      <c r="L110" s="151"/>
      <c r="M110" s="278"/>
      <c r="N110" s="271"/>
      <c r="O110" s="1542"/>
      <c r="P110" s="1542"/>
      <c r="AH110" s="1549">
        <v>0</v>
      </c>
    </row>
    <row r="111" spans="1:34" s="2062" customFormat="1" ht="18.75" hidden="1" customHeight="1">
      <c r="A111" s="1697" t="s">
        <v>202</v>
      </c>
      <c r="B111" s="1697" t="s">
        <v>203</v>
      </c>
      <c r="C111" s="305"/>
      <c r="D111" s="2659"/>
      <c r="E111" s="2412"/>
      <c r="F111" s="2550" t="str">
        <f>INDEX(PT_DIFFERENTIATION_VTAR,MATCH(A111,PT_DIFFERENTIATION_VTAR_ID,0))</f>
        <v>Плата за подключение (технологическое присоединение) к системе теплоснабжения (индивидуальная)</v>
      </c>
      <c r="G111" s="2635" t="str">
        <f>INDEX(PT_DIFFERENTIATION_NTAR,MATCH(B111,PT_DIFFERENTIATION_NTAR_ID,0))</f>
        <v/>
      </c>
      <c r="H111" s="1901"/>
      <c r="I111" s="1656"/>
      <c r="J111" s="1690"/>
      <c r="K111" s="1695"/>
      <c r="L111" s="1901" t="s">
        <v>303</v>
      </c>
      <c r="M111" s="278"/>
      <c r="N111" s="271"/>
      <c r="O111" s="1542"/>
      <c r="P111" s="1542"/>
      <c r="AH111" s="1549">
        <v>0</v>
      </c>
    </row>
    <row r="112" spans="1:34" s="2062" customFormat="1" ht="18.75" hidden="1" customHeight="1">
      <c r="A112" s="1697"/>
      <c r="B112" s="1697"/>
      <c r="C112" s="305" t="s">
        <v>1216</v>
      </c>
      <c r="D112" s="2659"/>
      <c r="E112" s="2412"/>
      <c r="F112" s="2550"/>
      <c r="G112" s="2635"/>
      <c r="H112" s="1418"/>
      <c r="I112" s="587" t="s">
        <v>1215</v>
      </c>
      <c r="J112" s="507"/>
      <c r="K112" s="1418"/>
      <c r="L112" s="151"/>
      <c r="M112" s="278"/>
      <c r="N112" s="271"/>
      <c r="O112" s="1542"/>
      <c r="P112" s="1542"/>
      <c r="AH112" s="1549">
        <v>0</v>
      </c>
    </row>
    <row r="113" spans="1:34" s="2062" customFormat="1" ht="0.75" hidden="1" customHeight="1">
      <c r="A113" s="1697"/>
      <c r="B113" s="1697"/>
      <c r="C113" s="305" t="s">
        <v>1223</v>
      </c>
      <c r="D113" s="2659"/>
      <c r="E113" s="2412"/>
      <c r="F113" s="2550"/>
      <c r="G113" s="336"/>
      <c r="H113" s="1418"/>
      <c r="I113" s="587"/>
      <c r="J113" s="507"/>
      <c r="K113" s="1418"/>
      <c r="L113" s="151"/>
      <c r="M113" s="278"/>
      <c r="N113" s="271"/>
      <c r="O113" s="1542"/>
      <c r="P113" s="1542"/>
      <c r="AH113" s="1549">
        <v>0</v>
      </c>
    </row>
    <row r="114" spans="1:34" s="2062" customFormat="1" ht="18.75" hidden="1" customHeight="1">
      <c r="A114" s="1697" t="s">
        <v>222</v>
      </c>
      <c r="B114" s="1697" t="s">
        <v>223</v>
      </c>
      <c r="C114" s="305"/>
      <c r="D114" s="2659"/>
      <c r="E114" s="2412"/>
      <c r="F114" s="2550" t="str">
        <f>INDEX(PT_DIFFERENTIATION_VTAR,MATCH(A114,PT_DIFFERENTIATION_VTAR_ID,0))</f>
        <v>Тариф на питьевую воду (питьевое водоснабжение)</v>
      </c>
      <c r="G114" s="2635" t="str">
        <f>INDEX(PT_DIFFERENTIATION_NTAR,MATCH(B114,PT_DIFFERENTIATION_NTAR_ID,0))</f>
        <v/>
      </c>
      <c r="H114" s="1777"/>
      <c r="I114" s="1656"/>
      <c r="J114" s="1690"/>
      <c r="K114" s="1695"/>
      <c r="L114" s="1777" t="s">
        <v>303</v>
      </c>
      <c r="M114" s="278"/>
      <c r="N114" s="271"/>
      <c r="O114" s="1542"/>
      <c r="P114" s="1542"/>
      <c r="AH114" s="1549">
        <v>0</v>
      </c>
    </row>
    <row r="115" spans="1:34" s="2062" customFormat="1" ht="18.75" hidden="1" customHeight="1">
      <c r="A115" s="1697"/>
      <c r="B115" s="1697"/>
      <c r="C115" s="305" t="s">
        <v>1216</v>
      </c>
      <c r="D115" s="2659"/>
      <c r="E115" s="2412"/>
      <c r="F115" s="2550"/>
      <c r="G115" s="2635"/>
      <c r="H115" s="1418"/>
      <c r="I115" s="587" t="s">
        <v>1215</v>
      </c>
      <c r="J115" s="507"/>
      <c r="K115" s="1418"/>
      <c r="L115" s="151"/>
      <c r="M115" s="278"/>
      <c r="N115" s="271"/>
      <c r="O115" s="1542"/>
      <c r="P115" s="1542"/>
      <c r="AH115" s="1549">
        <v>0</v>
      </c>
    </row>
    <row r="116" spans="1:34" s="2062" customFormat="1" ht="0.75" hidden="1" customHeight="1">
      <c r="A116" s="1697"/>
      <c r="B116" s="1697"/>
      <c r="C116" s="305" t="s">
        <v>1223</v>
      </c>
      <c r="D116" s="2659"/>
      <c r="E116" s="2412"/>
      <c r="F116" s="2550"/>
      <c r="G116" s="336"/>
      <c r="H116" s="1418"/>
      <c r="I116" s="587"/>
      <c r="J116" s="507"/>
      <c r="K116" s="1418"/>
      <c r="L116" s="151"/>
      <c r="M116" s="278"/>
      <c r="N116" s="271"/>
      <c r="O116" s="1542"/>
      <c r="P116" s="1542"/>
      <c r="AH116" s="1549">
        <v>0</v>
      </c>
    </row>
    <row r="117" spans="1:34" s="2062" customFormat="1" ht="18.75" hidden="1" customHeight="1">
      <c r="A117" s="1697" t="s">
        <v>227</v>
      </c>
      <c r="B117" s="1697" t="s">
        <v>228</v>
      </c>
      <c r="C117" s="305"/>
      <c r="D117" s="2659"/>
      <c r="E117" s="2412"/>
      <c r="F117" s="2550" t="str">
        <f>INDEX(PT_DIFFERENTIATION_VTAR,MATCH(A117,PT_DIFFERENTIATION_VTAR_ID,0))</f>
        <v>Тариф на техническую воду</v>
      </c>
      <c r="G117" s="2635" t="str">
        <f>INDEX(PT_DIFFERENTIATION_NTAR,MATCH(B117,PT_DIFFERENTIATION_NTAR_ID,0))</f>
        <v/>
      </c>
      <c r="H117" s="1777"/>
      <c r="I117" s="1656"/>
      <c r="J117" s="1690"/>
      <c r="K117" s="1695"/>
      <c r="L117" s="1777" t="s">
        <v>303</v>
      </c>
      <c r="M117" s="278"/>
      <c r="N117" s="271"/>
      <c r="O117" s="1542"/>
      <c r="P117" s="1542"/>
      <c r="AH117" s="1549">
        <v>0</v>
      </c>
    </row>
    <row r="118" spans="1:34" s="2062" customFormat="1" ht="18.75" hidden="1" customHeight="1">
      <c r="A118" s="1697"/>
      <c r="B118" s="1697"/>
      <c r="C118" s="305" t="s">
        <v>1216</v>
      </c>
      <c r="D118" s="2659"/>
      <c r="E118" s="2412"/>
      <c r="F118" s="2550"/>
      <c r="G118" s="2635"/>
      <c r="H118" s="1418"/>
      <c r="I118" s="587" t="s">
        <v>1215</v>
      </c>
      <c r="J118" s="507"/>
      <c r="K118" s="1418"/>
      <c r="L118" s="151"/>
      <c r="M118" s="278"/>
      <c r="N118" s="271"/>
      <c r="O118" s="1542"/>
      <c r="P118" s="1542"/>
      <c r="AH118" s="1549">
        <v>0</v>
      </c>
    </row>
    <row r="119" spans="1:34" s="2062" customFormat="1" ht="0.75" hidden="1" customHeight="1">
      <c r="A119" s="1697"/>
      <c r="B119" s="1697"/>
      <c r="C119" s="305" t="s">
        <v>1223</v>
      </c>
      <c r="D119" s="2659"/>
      <c r="E119" s="2412"/>
      <c r="F119" s="2550"/>
      <c r="G119" s="336"/>
      <c r="H119" s="1418"/>
      <c r="I119" s="587"/>
      <c r="J119" s="507"/>
      <c r="K119" s="1418"/>
      <c r="L119" s="151"/>
      <c r="M119" s="278"/>
      <c r="N119" s="271"/>
      <c r="O119" s="1542"/>
      <c r="P119" s="1542"/>
      <c r="AH119" s="1549">
        <v>0</v>
      </c>
    </row>
    <row r="120" spans="1:34" s="2062" customFormat="1" ht="18.75" hidden="1" customHeight="1">
      <c r="A120" s="1697" t="s">
        <v>232</v>
      </c>
      <c r="B120" s="1697" t="s">
        <v>233</v>
      </c>
      <c r="C120" s="305"/>
      <c r="D120" s="2659"/>
      <c r="E120" s="2412"/>
      <c r="F120" s="2550" t="str">
        <f>INDEX(PT_DIFFERENTIATION_VTAR,MATCH(A120,PT_DIFFERENTIATION_VTAR_ID,0))</f>
        <v>Тариф на транспортировку воды</v>
      </c>
      <c r="G120" s="2635" t="str">
        <f>INDEX(PT_DIFFERENTIATION_NTAR,MATCH(B120,PT_DIFFERENTIATION_NTAR_ID,0))</f>
        <v/>
      </c>
      <c r="H120" s="1777"/>
      <c r="I120" s="1656"/>
      <c r="J120" s="1690"/>
      <c r="K120" s="1695"/>
      <c r="L120" s="1777" t="s">
        <v>303</v>
      </c>
      <c r="M120" s="278"/>
      <c r="N120" s="271"/>
      <c r="O120" s="1542"/>
      <c r="P120" s="1542"/>
      <c r="AH120" s="1549">
        <v>0</v>
      </c>
    </row>
    <row r="121" spans="1:34" s="2062" customFormat="1" ht="18.75" hidden="1" customHeight="1">
      <c r="A121" s="1697"/>
      <c r="B121" s="1697"/>
      <c r="C121" s="305" t="s">
        <v>1216</v>
      </c>
      <c r="D121" s="2659"/>
      <c r="E121" s="2412"/>
      <c r="F121" s="2550"/>
      <c r="G121" s="2635"/>
      <c r="H121" s="1418"/>
      <c r="I121" s="587" t="s">
        <v>1215</v>
      </c>
      <c r="J121" s="507"/>
      <c r="K121" s="1418"/>
      <c r="L121" s="151"/>
      <c r="M121" s="278"/>
      <c r="N121" s="271"/>
      <c r="O121" s="1542"/>
      <c r="P121" s="1542"/>
      <c r="AH121" s="1549">
        <v>0</v>
      </c>
    </row>
    <row r="122" spans="1:34" s="2062" customFormat="1" ht="0.75" hidden="1" customHeight="1">
      <c r="A122" s="1697"/>
      <c r="B122" s="1697"/>
      <c r="C122" s="305" t="s">
        <v>1223</v>
      </c>
      <c r="D122" s="2659"/>
      <c r="E122" s="2412"/>
      <c r="F122" s="2550"/>
      <c r="G122" s="336"/>
      <c r="H122" s="1418"/>
      <c r="I122" s="587"/>
      <c r="J122" s="507"/>
      <c r="K122" s="1418"/>
      <c r="L122" s="151"/>
      <c r="M122" s="278"/>
      <c r="N122" s="271"/>
      <c r="O122" s="1542"/>
      <c r="P122" s="1542"/>
      <c r="AH122" s="1549">
        <v>0</v>
      </c>
    </row>
    <row r="123" spans="1:34" s="2062" customFormat="1" ht="18.75" hidden="1" customHeight="1">
      <c r="A123" s="1697" t="s">
        <v>237</v>
      </c>
      <c r="B123" s="1697" t="s">
        <v>238</v>
      </c>
      <c r="C123" s="305"/>
      <c r="D123" s="2659"/>
      <c r="E123" s="2412"/>
      <c r="F123" s="2550" t="str">
        <f>INDEX(PT_DIFFERENTIATION_VTAR,MATCH(A123,PT_DIFFERENTIATION_VTAR_ID,0))</f>
        <v>Тариф на подвоз воды</v>
      </c>
      <c r="G123" s="2635" t="str">
        <f>INDEX(PT_DIFFERENTIATION_NTAR,MATCH(B123,PT_DIFFERENTIATION_NTAR_ID,0))</f>
        <v/>
      </c>
      <c r="H123" s="1777"/>
      <c r="I123" s="1656"/>
      <c r="J123" s="1690"/>
      <c r="K123" s="1695"/>
      <c r="L123" s="1777" t="s">
        <v>303</v>
      </c>
      <c r="M123" s="278"/>
      <c r="N123" s="271"/>
      <c r="O123" s="1542"/>
      <c r="P123" s="1542"/>
      <c r="AH123" s="1549">
        <v>0</v>
      </c>
    </row>
    <row r="124" spans="1:34" s="2062" customFormat="1" ht="18.75" hidden="1" customHeight="1">
      <c r="A124" s="1697"/>
      <c r="B124" s="1697"/>
      <c r="C124" s="305" t="s">
        <v>1216</v>
      </c>
      <c r="D124" s="2659"/>
      <c r="E124" s="2412"/>
      <c r="F124" s="2550"/>
      <c r="G124" s="2635"/>
      <c r="H124" s="1418"/>
      <c r="I124" s="587" t="s">
        <v>1215</v>
      </c>
      <c r="J124" s="507"/>
      <c r="K124" s="1418"/>
      <c r="L124" s="151"/>
      <c r="M124" s="278"/>
      <c r="N124" s="271"/>
      <c r="O124" s="1542"/>
      <c r="P124" s="1542"/>
      <c r="AH124" s="1549">
        <v>0</v>
      </c>
    </row>
    <row r="125" spans="1:34" s="2062" customFormat="1" ht="0.75" hidden="1" customHeight="1">
      <c r="A125" s="1697"/>
      <c r="B125" s="1697"/>
      <c r="C125" s="305" t="s">
        <v>1223</v>
      </c>
      <c r="D125" s="2659"/>
      <c r="E125" s="2412"/>
      <c r="F125" s="2550"/>
      <c r="G125" s="336"/>
      <c r="H125" s="1418"/>
      <c r="I125" s="587"/>
      <c r="J125" s="507"/>
      <c r="K125" s="1418"/>
      <c r="L125" s="151"/>
      <c r="M125" s="278"/>
      <c r="N125" s="271"/>
      <c r="O125" s="1542"/>
      <c r="P125" s="1542"/>
      <c r="AH125" s="1549">
        <v>0</v>
      </c>
    </row>
    <row r="126" spans="1:34" s="2062" customFormat="1" ht="18.75" hidden="1" customHeight="1">
      <c r="A126" s="1697" t="s">
        <v>242</v>
      </c>
      <c r="B126" s="1697" t="s">
        <v>243</v>
      </c>
      <c r="C126" s="305"/>
      <c r="D126" s="2659"/>
      <c r="E126" s="2412"/>
      <c r="F126" s="25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35" t="str">
        <f>INDEX(PT_DIFFERENTIATION_NTAR,MATCH(B126,PT_DIFFERENTIATION_NTAR_ID,0))</f>
        <v/>
      </c>
      <c r="H126" s="1777"/>
      <c r="I126" s="1656"/>
      <c r="J126" s="1690"/>
      <c r="K126" s="1695"/>
      <c r="L126" s="1777" t="s">
        <v>303</v>
      </c>
      <c r="M126" s="278"/>
      <c r="N126" s="271"/>
      <c r="O126" s="1542"/>
      <c r="P126" s="1542"/>
      <c r="AH126" s="1549">
        <v>0</v>
      </c>
    </row>
    <row r="127" spans="1:34" s="2062" customFormat="1" ht="18.75" hidden="1" customHeight="1">
      <c r="A127" s="1697"/>
      <c r="B127" s="1697"/>
      <c r="C127" s="305" t="s">
        <v>1216</v>
      </c>
      <c r="D127" s="2659"/>
      <c r="E127" s="2412"/>
      <c r="F127" s="2550"/>
      <c r="G127" s="2635"/>
      <c r="H127" s="1418"/>
      <c r="I127" s="587" t="s">
        <v>1215</v>
      </c>
      <c r="J127" s="507"/>
      <c r="K127" s="1418"/>
      <c r="L127" s="151"/>
      <c r="M127" s="278"/>
      <c r="N127" s="271"/>
      <c r="O127" s="1542"/>
      <c r="P127" s="1542"/>
      <c r="AH127" s="1549">
        <v>0</v>
      </c>
    </row>
    <row r="128" spans="1:34" s="2062" customFormat="1" ht="0.75" hidden="1" customHeight="1">
      <c r="A128" s="1697"/>
      <c r="B128" s="1697"/>
      <c r="C128" s="305" t="s">
        <v>1223</v>
      </c>
      <c r="D128" s="2659"/>
      <c r="E128" s="2412"/>
      <c r="F128" s="2550"/>
      <c r="G128" s="336"/>
      <c r="H128" s="1418"/>
      <c r="I128" s="587"/>
      <c r="J128" s="507"/>
      <c r="K128" s="1418"/>
      <c r="L128" s="151"/>
      <c r="M128" s="278"/>
      <c r="N128" s="271"/>
      <c r="O128" s="1542"/>
      <c r="P128" s="1542"/>
      <c r="AH128" s="1549">
        <v>0</v>
      </c>
    </row>
    <row r="129" spans="1:34" s="2062" customFormat="1" ht="18.75" hidden="1" customHeight="1">
      <c r="A129" s="1697" t="s">
        <v>247</v>
      </c>
      <c r="B129" s="1697" t="s">
        <v>248</v>
      </c>
      <c r="C129" s="305"/>
      <c r="D129" s="2659"/>
      <c r="E129" s="2412"/>
      <c r="F129" s="2550" t="str">
        <f>INDEX(PT_DIFFERENTIATION_VTAR,MATCH(A129,PT_DIFFERENTIATION_VTAR_ID,0))</f>
        <v>Тариф на горячую воду (горячее водоснабжение)</v>
      </c>
      <c r="G129" s="2635" t="str">
        <f>INDEX(PT_DIFFERENTIATION_NTAR,MATCH(B129,PT_DIFFERENTIATION_NTAR_ID,0))</f>
        <v/>
      </c>
      <c r="H129" s="1777"/>
      <c r="I129" s="1656"/>
      <c r="J129" s="1690"/>
      <c r="K129" s="1695"/>
      <c r="L129" s="1777" t="s">
        <v>303</v>
      </c>
      <c r="M129" s="278"/>
      <c r="N129" s="271"/>
      <c r="O129" s="1542"/>
      <c r="P129" s="1542"/>
      <c r="AH129" s="1549">
        <v>0</v>
      </c>
    </row>
    <row r="130" spans="1:34" s="2062" customFormat="1" ht="18.75" hidden="1" customHeight="1">
      <c r="A130" s="1697"/>
      <c r="B130" s="1697"/>
      <c r="C130" s="305" t="s">
        <v>1216</v>
      </c>
      <c r="D130" s="2659"/>
      <c r="E130" s="2412"/>
      <c r="F130" s="2550"/>
      <c r="G130" s="2635"/>
      <c r="H130" s="1418"/>
      <c r="I130" s="587" t="s">
        <v>1215</v>
      </c>
      <c r="J130" s="507"/>
      <c r="K130" s="1418"/>
      <c r="L130" s="151"/>
      <c r="M130" s="278"/>
      <c r="N130" s="271"/>
      <c r="O130" s="1542"/>
      <c r="P130" s="1542"/>
      <c r="AH130" s="1549">
        <v>0</v>
      </c>
    </row>
    <row r="131" spans="1:34" s="2062" customFormat="1" ht="0.75" hidden="1" customHeight="1">
      <c r="A131" s="1697"/>
      <c r="B131" s="1697"/>
      <c r="C131" s="305" t="s">
        <v>1223</v>
      </c>
      <c r="D131" s="2659"/>
      <c r="E131" s="2412"/>
      <c r="F131" s="2550"/>
      <c r="G131" s="336"/>
      <c r="H131" s="1418"/>
      <c r="I131" s="587"/>
      <c r="J131" s="507"/>
      <c r="K131" s="1418"/>
      <c r="L131" s="151"/>
      <c r="M131" s="278"/>
      <c r="N131" s="271"/>
      <c r="O131" s="1542"/>
      <c r="P131" s="1542"/>
      <c r="AH131" s="1549">
        <v>0</v>
      </c>
    </row>
    <row r="132" spans="1:34" s="2062" customFormat="1" ht="18.75" hidden="1" customHeight="1">
      <c r="A132" s="1697" t="s">
        <v>252</v>
      </c>
      <c r="B132" s="1697" t="s">
        <v>253</v>
      </c>
      <c r="C132" s="305"/>
      <c r="D132" s="2659"/>
      <c r="E132" s="2412"/>
      <c r="F132" s="2550" t="str">
        <f>INDEX(PT_DIFFERENTIATION_VTAR,MATCH(A132,PT_DIFFERENTIATION_VTAR_ID,0))</f>
        <v>Тариф на транспортировку горячей воды</v>
      </c>
      <c r="G132" s="2635" t="str">
        <f>INDEX(PT_DIFFERENTIATION_NTAR,MATCH(B132,PT_DIFFERENTIATION_NTAR_ID,0))</f>
        <v/>
      </c>
      <c r="H132" s="1777"/>
      <c r="I132" s="1656"/>
      <c r="J132" s="1690"/>
      <c r="K132" s="1695"/>
      <c r="L132" s="1777" t="s">
        <v>303</v>
      </c>
      <c r="M132" s="278"/>
      <c r="N132" s="271"/>
      <c r="O132" s="1542"/>
      <c r="P132" s="1542"/>
      <c r="AH132" s="1549">
        <v>0</v>
      </c>
    </row>
    <row r="133" spans="1:34" s="2062" customFormat="1" ht="18.75" hidden="1" customHeight="1">
      <c r="A133" s="1697"/>
      <c r="B133" s="1697"/>
      <c r="C133" s="305" t="s">
        <v>1216</v>
      </c>
      <c r="D133" s="2659"/>
      <c r="E133" s="2412"/>
      <c r="F133" s="2550"/>
      <c r="G133" s="2635"/>
      <c r="H133" s="1418"/>
      <c r="I133" s="587" t="s">
        <v>1215</v>
      </c>
      <c r="J133" s="507"/>
      <c r="K133" s="1418"/>
      <c r="L133" s="151"/>
      <c r="M133" s="278"/>
      <c r="N133" s="271"/>
      <c r="O133" s="1542"/>
      <c r="P133" s="1542"/>
      <c r="AH133" s="1549">
        <v>0</v>
      </c>
    </row>
    <row r="134" spans="1:34" s="2062" customFormat="1" ht="0.75" hidden="1" customHeight="1">
      <c r="A134" s="1697"/>
      <c r="B134" s="1697"/>
      <c r="C134" s="305" t="s">
        <v>1223</v>
      </c>
      <c r="D134" s="2659"/>
      <c r="E134" s="2412"/>
      <c r="F134" s="2550"/>
      <c r="G134" s="336"/>
      <c r="H134" s="1418"/>
      <c r="I134" s="587"/>
      <c r="J134" s="507"/>
      <c r="K134" s="1418"/>
      <c r="L134" s="151"/>
      <c r="M134" s="278"/>
      <c r="N134" s="271"/>
      <c r="O134" s="1542"/>
      <c r="P134" s="1542"/>
      <c r="AH134" s="1549">
        <v>0</v>
      </c>
    </row>
    <row r="135" spans="1:34" s="2062" customFormat="1" ht="18.75" hidden="1" customHeight="1">
      <c r="A135" s="1697" t="s">
        <v>257</v>
      </c>
      <c r="B135" s="1697" t="s">
        <v>258</v>
      </c>
      <c r="C135" s="305"/>
      <c r="D135" s="2659"/>
      <c r="E135" s="2412"/>
      <c r="F135" s="25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35" t="str">
        <f>INDEX(PT_DIFFERENTIATION_NTAR,MATCH(B135,PT_DIFFERENTIATION_NTAR_ID,0))</f>
        <v/>
      </c>
      <c r="H135" s="1777"/>
      <c r="I135" s="1656"/>
      <c r="J135" s="1690"/>
      <c r="K135" s="1695"/>
      <c r="L135" s="1777" t="s">
        <v>303</v>
      </c>
      <c r="M135" s="278"/>
      <c r="N135" s="271"/>
      <c r="O135" s="1542"/>
      <c r="P135" s="1542"/>
      <c r="AH135" s="1549">
        <v>0</v>
      </c>
    </row>
    <row r="136" spans="1:34" s="2062" customFormat="1" ht="18.75" hidden="1" customHeight="1">
      <c r="A136" s="1697"/>
      <c r="B136" s="1697"/>
      <c r="C136" s="305" t="s">
        <v>1216</v>
      </c>
      <c r="D136" s="2659"/>
      <c r="E136" s="2412"/>
      <c r="F136" s="2550"/>
      <c r="G136" s="2635"/>
      <c r="H136" s="1418"/>
      <c r="I136" s="587" t="s">
        <v>1215</v>
      </c>
      <c r="J136" s="507"/>
      <c r="K136" s="1418"/>
      <c r="L136" s="151"/>
      <c r="M136" s="278"/>
      <c r="N136" s="271"/>
      <c r="O136" s="1542"/>
      <c r="P136" s="1542"/>
      <c r="AH136" s="1549">
        <v>0</v>
      </c>
    </row>
    <row r="137" spans="1:34" s="2062" customFormat="1" ht="0.75" hidden="1" customHeight="1">
      <c r="A137" s="1697"/>
      <c r="B137" s="1697"/>
      <c r="C137" s="305" t="s">
        <v>1223</v>
      </c>
      <c r="D137" s="2659"/>
      <c r="E137" s="2412"/>
      <c r="F137" s="2550"/>
      <c r="G137" s="336"/>
      <c r="H137" s="1418"/>
      <c r="I137" s="587"/>
      <c r="J137" s="507"/>
      <c r="K137" s="1418"/>
      <c r="L137" s="151"/>
      <c r="M137" s="278"/>
      <c r="N137" s="271"/>
      <c r="O137" s="1542"/>
      <c r="P137" s="1542"/>
      <c r="AH137" s="1549">
        <v>0</v>
      </c>
    </row>
    <row r="138" spans="1:34" s="2062" customFormat="1" ht="18.75" hidden="1" customHeight="1">
      <c r="A138" s="1697" t="s">
        <v>262</v>
      </c>
      <c r="B138" s="1697" t="s">
        <v>263</v>
      </c>
      <c r="C138" s="305"/>
      <c r="D138" s="2659"/>
      <c r="E138" s="2412"/>
      <c r="F138" s="2550" t="str">
        <f>INDEX(PT_DIFFERENTIATION_VTAR,MATCH(A138,PT_DIFFERENTIATION_VTAR_ID,0))</f>
        <v>Тариф на водоотведение</v>
      </c>
      <c r="G138" s="2635" t="str">
        <f>INDEX(PT_DIFFERENTIATION_NTAR,MATCH(B138,PT_DIFFERENTIATION_NTAR_ID,0))</f>
        <v/>
      </c>
      <c r="H138" s="1777"/>
      <c r="I138" s="1656"/>
      <c r="J138" s="1690"/>
      <c r="K138" s="1695"/>
      <c r="L138" s="1777" t="s">
        <v>303</v>
      </c>
      <c r="M138" s="278"/>
      <c r="N138" s="271"/>
      <c r="O138" s="1542"/>
      <c r="P138" s="1542"/>
      <c r="AH138" s="1549">
        <v>0</v>
      </c>
    </row>
    <row r="139" spans="1:34" s="2062" customFormat="1" ht="18.75" hidden="1" customHeight="1">
      <c r="A139" s="1697"/>
      <c r="B139" s="1697"/>
      <c r="C139" s="305" t="s">
        <v>1216</v>
      </c>
      <c r="D139" s="2659"/>
      <c r="E139" s="2412"/>
      <c r="F139" s="2550"/>
      <c r="G139" s="2635"/>
      <c r="H139" s="1418"/>
      <c r="I139" s="587" t="s">
        <v>1215</v>
      </c>
      <c r="J139" s="507"/>
      <c r="K139" s="1418"/>
      <c r="L139" s="151"/>
      <c r="M139" s="278"/>
      <c r="N139" s="271"/>
      <c r="O139" s="1542"/>
      <c r="P139" s="1542"/>
      <c r="AH139" s="1549">
        <v>0</v>
      </c>
    </row>
    <row r="140" spans="1:34" s="2062" customFormat="1" ht="0.75" hidden="1" customHeight="1">
      <c r="A140" s="1697"/>
      <c r="B140" s="1697"/>
      <c r="C140" s="305" t="s">
        <v>1223</v>
      </c>
      <c r="D140" s="2659"/>
      <c r="E140" s="2412"/>
      <c r="F140" s="2550"/>
      <c r="G140" s="336"/>
      <c r="H140" s="1418"/>
      <c r="I140" s="587"/>
      <c r="J140" s="507"/>
      <c r="K140" s="1418"/>
      <c r="L140" s="151"/>
      <c r="M140" s="278"/>
      <c r="N140" s="271"/>
      <c r="O140" s="1542"/>
      <c r="P140" s="1542"/>
      <c r="AH140" s="1549">
        <v>0</v>
      </c>
    </row>
    <row r="141" spans="1:34" s="2062" customFormat="1" ht="18.75" hidden="1" customHeight="1">
      <c r="A141" s="1697" t="s">
        <v>267</v>
      </c>
      <c r="B141" s="1697" t="s">
        <v>268</v>
      </c>
      <c r="C141" s="305"/>
      <c r="D141" s="2659"/>
      <c r="E141" s="2412"/>
      <c r="F141" s="2550" t="str">
        <f>INDEX(PT_DIFFERENTIATION_VTAR,MATCH(A141,PT_DIFFERENTIATION_VTAR_ID,0))</f>
        <v>Тариф на транспортировку сточных вод</v>
      </c>
      <c r="G141" s="2635" t="str">
        <f>INDEX(PT_DIFFERENTIATION_NTAR,MATCH(B141,PT_DIFFERENTIATION_NTAR_ID,0))</f>
        <v/>
      </c>
      <c r="H141" s="1777"/>
      <c r="I141" s="1656"/>
      <c r="J141" s="1690"/>
      <c r="K141" s="1695"/>
      <c r="L141" s="1777" t="s">
        <v>303</v>
      </c>
      <c r="M141" s="278"/>
      <c r="N141" s="271"/>
      <c r="O141" s="1542"/>
      <c r="P141" s="1542"/>
      <c r="AH141" s="1549">
        <v>0</v>
      </c>
    </row>
    <row r="142" spans="1:34" s="2062" customFormat="1" ht="18.75" hidden="1" customHeight="1">
      <c r="A142" s="1697"/>
      <c r="B142" s="1697"/>
      <c r="C142" s="305" t="s">
        <v>1216</v>
      </c>
      <c r="D142" s="2659"/>
      <c r="E142" s="2412"/>
      <c r="F142" s="2550"/>
      <c r="G142" s="2635"/>
      <c r="H142" s="1418"/>
      <c r="I142" s="587" t="s">
        <v>1215</v>
      </c>
      <c r="J142" s="507"/>
      <c r="K142" s="1418"/>
      <c r="L142" s="151"/>
      <c r="M142" s="278"/>
      <c r="N142" s="271"/>
      <c r="O142" s="1542"/>
      <c r="P142" s="1542"/>
      <c r="AH142" s="1549">
        <v>0</v>
      </c>
    </row>
    <row r="143" spans="1:34" s="2062" customFormat="1" ht="0.75" hidden="1" customHeight="1">
      <c r="A143" s="1697"/>
      <c r="B143" s="1697"/>
      <c r="C143" s="305" t="s">
        <v>1223</v>
      </c>
      <c r="D143" s="2659"/>
      <c r="E143" s="2412"/>
      <c r="F143" s="2550"/>
      <c r="G143" s="336"/>
      <c r="H143" s="1418"/>
      <c r="I143" s="587"/>
      <c r="J143" s="507"/>
      <c r="K143" s="1418"/>
      <c r="L143" s="151"/>
      <c r="M143" s="278"/>
      <c r="N143" s="271"/>
      <c r="O143" s="1542"/>
      <c r="P143" s="1542"/>
      <c r="AH143" s="1549">
        <v>0</v>
      </c>
    </row>
    <row r="144" spans="1:34" s="2062" customFormat="1" ht="18.75" hidden="1" customHeight="1">
      <c r="A144" s="1697" t="s">
        <v>272</v>
      </c>
      <c r="B144" s="1697" t="s">
        <v>273</v>
      </c>
      <c r="C144" s="305"/>
      <c r="D144" s="2659"/>
      <c r="E144" s="2412"/>
      <c r="F144" s="2550" t="str">
        <f>INDEX(PT_DIFFERENTIATION_VTAR,MATCH(A144,PT_DIFFERENTIATION_VTAR_ID,0))</f>
        <v>Тариф на подключение (технологическое присоединение) к централизованной системе водоотведения</v>
      </c>
      <c r="G144" s="2635" t="str">
        <f>INDEX(PT_DIFFERENTIATION_NTAR,MATCH(B144,PT_DIFFERENTIATION_NTAR_ID,0))</f>
        <v/>
      </c>
      <c r="H144" s="1777"/>
      <c r="I144" s="1656"/>
      <c r="J144" s="1690"/>
      <c r="K144" s="1695"/>
      <c r="L144" s="1777" t="s">
        <v>303</v>
      </c>
      <c r="M144" s="278"/>
      <c r="N144" s="271"/>
      <c r="O144" s="1542"/>
      <c r="P144" s="1542"/>
      <c r="AH144" s="1549">
        <v>0</v>
      </c>
    </row>
    <row r="145" spans="1:34" s="2062" customFormat="1" ht="18.75" hidden="1" customHeight="1">
      <c r="A145" s="1697"/>
      <c r="B145" s="1697"/>
      <c r="C145" s="305" t="s">
        <v>1216</v>
      </c>
      <c r="D145" s="2659"/>
      <c r="E145" s="2412"/>
      <c r="F145" s="2550"/>
      <c r="G145" s="2635"/>
      <c r="H145" s="1418"/>
      <c r="I145" s="587" t="s">
        <v>1215</v>
      </c>
      <c r="J145" s="507"/>
      <c r="K145" s="1418"/>
      <c r="L145" s="151"/>
      <c r="M145" s="278"/>
      <c r="N145" s="271"/>
      <c r="O145" s="1542"/>
      <c r="P145" s="1542"/>
      <c r="AH145" s="1549">
        <v>0</v>
      </c>
    </row>
    <row r="146" spans="1:34" s="2062" customFormat="1" ht="1.1499999999999999" customHeight="1">
      <c r="A146" s="1697"/>
      <c r="B146" s="1697"/>
      <c r="C146" s="305" t="s">
        <v>1223</v>
      </c>
      <c r="D146" s="2659"/>
      <c r="E146" s="2412"/>
      <c r="F146" s="2550"/>
      <c r="G146" s="336"/>
      <c r="H146" s="1418"/>
      <c r="I146" s="587"/>
      <c r="J146" s="507"/>
      <c r="K146" s="1418"/>
      <c r="L146" s="151"/>
      <c r="M146" s="278"/>
      <c r="N146" s="271"/>
      <c r="O146" s="1542"/>
      <c r="P146" s="1542"/>
      <c r="AH146" s="1549">
        <v>1</v>
      </c>
    </row>
    <row r="147" spans="1:34" ht="19.899999999999999" customHeight="1">
      <c r="A147" s="1697"/>
      <c r="B147" s="1697"/>
      <c r="D147" s="312"/>
      <c r="E147" s="85" t="s">
        <v>93</v>
      </c>
      <c r="F147" s="265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58"/>
      <c r="H147" s="2658"/>
      <c r="I147" s="2658"/>
      <c r="J147" s="2658"/>
      <c r="K147" s="2658"/>
      <c r="L147" s="2658"/>
      <c r="M147" s="234"/>
      <c r="N147" s="271"/>
      <c r="AH147" s="310">
        <v>19</v>
      </c>
    </row>
    <row r="148" spans="1:34" s="2062" customFormat="1" ht="60.75" hidden="1" customHeight="1">
      <c r="A148" s="1697" t="s">
        <v>154</v>
      </c>
      <c r="B148" s="1697" t="s">
        <v>155</v>
      </c>
      <c r="C148" s="305"/>
      <c r="D148" s="2659"/>
      <c r="E148" s="2412"/>
      <c r="F148" s="25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35" t="str">
        <f>INDEX(PT_DIFFERENTIATION_NTAR,MATCH(B148,PT_DIFFERENTIATION_NTAR_ID,0))</f>
        <v/>
      </c>
      <c r="H148" s="1777"/>
      <c r="I148" s="1656"/>
      <c r="J148" s="1690"/>
      <c r="K148" s="1695"/>
      <c r="L148" s="1777" t="s">
        <v>303</v>
      </c>
      <c r="M148" s="23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2"/>
      <c r="P148" s="1542"/>
      <c r="AH148" s="1549">
        <v>0</v>
      </c>
    </row>
    <row r="149" spans="1:34" s="2062" customFormat="1" ht="18.75" hidden="1" customHeight="1">
      <c r="A149" s="1697"/>
      <c r="B149" s="1697"/>
      <c r="C149" s="305" t="s">
        <v>1216</v>
      </c>
      <c r="D149" s="2659"/>
      <c r="E149" s="2412"/>
      <c r="F149" s="2550"/>
      <c r="G149" s="2635"/>
      <c r="H149" s="1418"/>
      <c r="I149" s="587" t="s">
        <v>1215</v>
      </c>
      <c r="J149" s="507"/>
      <c r="K149" s="1418"/>
      <c r="L149" s="151"/>
      <c r="M149" s="2373"/>
      <c r="N149" s="271"/>
      <c r="O149" s="1542"/>
      <c r="P149" s="1542"/>
      <c r="AH149" s="1549">
        <v>0</v>
      </c>
    </row>
    <row r="150" spans="1:34" s="2062" customFormat="1" ht="0.75" hidden="1" customHeight="1">
      <c r="A150" s="1697"/>
      <c r="B150" s="1697"/>
      <c r="C150" s="305" t="s">
        <v>1223</v>
      </c>
      <c r="D150" s="2659"/>
      <c r="E150" s="2412"/>
      <c r="F150" s="2550"/>
      <c r="G150" s="336"/>
      <c r="H150" s="1418"/>
      <c r="I150" s="587"/>
      <c r="J150" s="507"/>
      <c r="K150" s="1418"/>
      <c r="L150" s="151"/>
      <c r="M150" s="2373"/>
      <c r="N150" s="271"/>
      <c r="O150" s="1542"/>
      <c r="P150" s="1542"/>
      <c r="AH150" s="1549">
        <v>0</v>
      </c>
    </row>
    <row r="151" spans="1:34" s="2062" customFormat="1" ht="45" hidden="1" customHeight="1">
      <c r="A151" s="1697" t="s">
        <v>159</v>
      </c>
      <c r="B151" s="1697" t="s">
        <v>160</v>
      </c>
      <c r="C151" s="305"/>
      <c r="D151" s="2659"/>
      <c r="E151" s="2412"/>
      <c r="F151" s="2550" t="str">
        <f>INDEX(PT_DIFFERENTIATION_VTAR,MATCH(A151,PT_DIFFERENTIATION_VTAR_ID,0))</f>
        <v/>
      </c>
      <c r="G151" s="2635" t="str">
        <f>INDEX(PT_DIFFERENTIATION_NTAR,MATCH(B151,PT_DIFFERENTIATION_NTAR_ID,0))</f>
        <v/>
      </c>
      <c r="H151" s="1777"/>
      <c r="I151" s="1656"/>
      <c r="J151" s="1690"/>
      <c r="K151" s="1695"/>
      <c r="L151" s="1777" t="s">
        <v>303</v>
      </c>
      <c r="M151" s="2374"/>
      <c r="N151" s="271"/>
      <c r="O151" s="1542"/>
      <c r="P151" s="1542"/>
      <c r="AH151" s="1549">
        <v>0</v>
      </c>
    </row>
    <row r="152" spans="1:34" s="2062" customFormat="1" ht="18.75" hidden="1" customHeight="1">
      <c r="A152" s="1697"/>
      <c r="B152" s="1697"/>
      <c r="C152" s="305" t="s">
        <v>1216</v>
      </c>
      <c r="D152" s="2659"/>
      <c r="E152" s="2412"/>
      <c r="F152" s="2550"/>
      <c r="G152" s="2635"/>
      <c r="H152" s="1418"/>
      <c r="I152" s="587" t="s">
        <v>1215</v>
      </c>
      <c r="J152" s="507"/>
      <c r="K152" s="1418"/>
      <c r="L152" s="151"/>
      <c r="M152" s="1776"/>
      <c r="N152" s="271"/>
      <c r="O152" s="1542"/>
      <c r="P152" s="1542"/>
      <c r="AH152" s="1549">
        <v>0</v>
      </c>
    </row>
    <row r="153" spans="1:34" s="2062" customFormat="1" ht="0.75" hidden="1" customHeight="1">
      <c r="A153" s="1697"/>
      <c r="B153" s="1697"/>
      <c r="C153" s="305" t="s">
        <v>1223</v>
      </c>
      <c r="D153" s="2659"/>
      <c r="E153" s="2412"/>
      <c r="F153" s="2550"/>
      <c r="G153" s="336"/>
      <c r="H153" s="1418"/>
      <c r="I153" s="587"/>
      <c r="J153" s="507"/>
      <c r="K153" s="1418"/>
      <c r="L153" s="151"/>
      <c r="M153" s="278"/>
      <c r="N153" s="271"/>
      <c r="O153" s="1542"/>
      <c r="P153" s="1542"/>
      <c r="AH153" s="1549">
        <v>0</v>
      </c>
    </row>
    <row r="154" spans="1:34" s="2062" customFormat="1" ht="45" hidden="1" customHeight="1">
      <c r="A154" s="1697" t="s">
        <v>166</v>
      </c>
      <c r="B154" s="1697" t="s">
        <v>167</v>
      </c>
      <c r="C154" s="305"/>
      <c r="D154" s="2659"/>
      <c r="E154" s="2412"/>
      <c r="F154" s="25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35" t="str">
        <f>INDEX(PT_DIFFERENTIATION_NTAR,MATCH(B154,PT_DIFFERENTIATION_NTAR_ID,0))</f>
        <v/>
      </c>
      <c r="H154" s="1777"/>
      <c r="I154" s="1656"/>
      <c r="J154" s="1690"/>
      <c r="K154" s="1695"/>
      <c r="L154" s="1777" t="s">
        <v>303</v>
      </c>
      <c r="M154" s="278"/>
      <c r="N154" s="271"/>
      <c r="O154" s="1542"/>
      <c r="P154" s="1542"/>
      <c r="AH154" s="1549">
        <v>0</v>
      </c>
    </row>
    <row r="155" spans="1:34" s="2062" customFormat="1" ht="18.75" hidden="1" customHeight="1">
      <c r="A155" s="1697"/>
      <c r="B155" s="1697"/>
      <c r="C155" s="305" t="s">
        <v>1216</v>
      </c>
      <c r="D155" s="2659"/>
      <c r="E155" s="2412"/>
      <c r="F155" s="2550"/>
      <c r="G155" s="2635"/>
      <c r="H155" s="1418"/>
      <c r="I155" s="587" t="s">
        <v>1215</v>
      </c>
      <c r="J155" s="507"/>
      <c r="K155" s="1418"/>
      <c r="L155" s="151"/>
      <c r="M155" s="278"/>
      <c r="N155" s="271"/>
      <c r="O155" s="1542"/>
      <c r="P155" s="1542"/>
      <c r="AH155" s="1549">
        <v>0</v>
      </c>
    </row>
    <row r="156" spans="1:34" s="2062" customFormat="1" ht="0.75" hidden="1" customHeight="1">
      <c r="A156" s="1697"/>
      <c r="B156" s="1697"/>
      <c r="C156" s="305" t="s">
        <v>1223</v>
      </c>
      <c r="D156" s="2659"/>
      <c r="E156" s="2412"/>
      <c r="F156" s="2550"/>
      <c r="G156" s="336"/>
      <c r="H156" s="1418"/>
      <c r="I156" s="587"/>
      <c r="J156" s="507"/>
      <c r="K156" s="1418"/>
      <c r="L156" s="151"/>
      <c r="M156" s="278"/>
      <c r="N156" s="271"/>
      <c r="O156" s="1542"/>
      <c r="P156" s="1542"/>
      <c r="AH156" s="1549">
        <v>0</v>
      </c>
    </row>
    <row r="157" spans="1:34" s="2062" customFormat="1" ht="45" hidden="1" customHeight="1">
      <c r="A157" s="1697" t="s">
        <v>172</v>
      </c>
      <c r="B157" s="1697" t="s">
        <v>173</v>
      </c>
      <c r="C157" s="305"/>
      <c r="D157" s="2659"/>
      <c r="E157" s="2412"/>
      <c r="F157" s="25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35" t="str">
        <f>INDEX(PT_DIFFERENTIATION_NTAR,MATCH(B157,PT_DIFFERENTIATION_NTAR_ID,0))</f>
        <v/>
      </c>
      <c r="H157" s="1777"/>
      <c r="I157" s="1656"/>
      <c r="J157" s="1690"/>
      <c r="K157" s="1695"/>
      <c r="L157" s="1777" t="s">
        <v>303</v>
      </c>
      <c r="M157" s="278"/>
      <c r="N157" s="271"/>
      <c r="O157" s="1542"/>
      <c r="P157" s="1542"/>
      <c r="AH157" s="1549">
        <v>0</v>
      </c>
    </row>
    <row r="158" spans="1:34" s="2062" customFormat="1" ht="18.75" hidden="1" customHeight="1">
      <c r="A158" s="1697"/>
      <c r="B158" s="1697"/>
      <c r="C158" s="305" t="s">
        <v>1216</v>
      </c>
      <c r="D158" s="2659"/>
      <c r="E158" s="2412"/>
      <c r="F158" s="2550"/>
      <c r="G158" s="2635"/>
      <c r="H158" s="1418"/>
      <c r="I158" s="587" t="s">
        <v>1215</v>
      </c>
      <c r="J158" s="507"/>
      <c r="K158" s="1418"/>
      <c r="L158" s="151"/>
      <c r="M158" s="278"/>
      <c r="N158" s="271"/>
      <c r="O158" s="1542"/>
      <c r="P158" s="1542"/>
      <c r="AH158" s="1549">
        <v>0</v>
      </c>
    </row>
    <row r="159" spans="1:34" s="2062" customFormat="1" ht="0.75" hidden="1" customHeight="1">
      <c r="A159" s="1697"/>
      <c r="B159" s="1697"/>
      <c r="C159" s="305" t="s">
        <v>1223</v>
      </c>
      <c r="D159" s="2659"/>
      <c r="E159" s="2412"/>
      <c r="F159" s="2550"/>
      <c r="G159" s="336"/>
      <c r="H159" s="1418"/>
      <c r="I159" s="587"/>
      <c r="J159" s="507"/>
      <c r="K159" s="1418"/>
      <c r="L159" s="151"/>
      <c r="M159" s="278"/>
      <c r="N159" s="271"/>
      <c r="O159" s="1542"/>
      <c r="P159" s="1542"/>
      <c r="AH159" s="1549">
        <v>0</v>
      </c>
    </row>
    <row r="160" spans="1:34" s="2062" customFormat="1" ht="18.75" hidden="1" customHeight="1">
      <c r="A160" s="1697" t="s">
        <v>178</v>
      </c>
      <c r="B160" s="1697" t="s">
        <v>179</v>
      </c>
      <c r="C160" s="305"/>
      <c r="D160" s="2659"/>
      <c r="E160" s="2412"/>
      <c r="F160" s="2550" t="str">
        <f>INDEX(PT_DIFFERENTIATION_VTAR,MATCH(A160,PT_DIFFERENTIATION_VTAR_ID,0))</f>
        <v>Тарифы на услуги по передаче тепловой энергии</v>
      </c>
      <c r="G160" s="2635" t="str">
        <f>INDEX(PT_DIFFERENTIATION_NTAR,MATCH(B160,PT_DIFFERENTIATION_NTAR_ID,0))</f>
        <v/>
      </c>
      <c r="H160" s="1777"/>
      <c r="I160" s="1656"/>
      <c r="J160" s="1690"/>
      <c r="K160" s="1695"/>
      <c r="L160" s="1777" t="s">
        <v>303</v>
      </c>
      <c r="M160" s="278"/>
      <c r="N160" s="271"/>
      <c r="O160" s="1542"/>
      <c r="P160" s="1542"/>
      <c r="AH160" s="1549">
        <v>0</v>
      </c>
    </row>
    <row r="161" spans="1:34" s="2062" customFormat="1" ht="18.75" hidden="1" customHeight="1">
      <c r="A161" s="1697"/>
      <c r="B161" s="1697"/>
      <c r="C161" s="305" t="s">
        <v>1216</v>
      </c>
      <c r="D161" s="2659"/>
      <c r="E161" s="2412"/>
      <c r="F161" s="2550"/>
      <c r="G161" s="2635"/>
      <c r="H161" s="1418"/>
      <c r="I161" s="587" t="s">
        <v>1215</v>
      </c>
      <c r="J161" s="507"/>
      <c r="K161" s="1418"/>
      <c r="L161" s="151"/>
      <c r="M161" s="278"/>
      <c r="N161" s="271"/>
      <c r="O161" s="1542"/>
      <c r="P161" s="1542"/>
      <c r="AH161" s="1549">
        <v>0</v>
      </c>
    </row>
    <row r="162" spans="1:34" s="2062" customFormat="1" ht="0.75" hidden="1" customHeight="1">
      <c r="A162" s="1697"/>
      <c r="B162" s="1697"/>
      <c r="C162" s="305" t="s">
        <v>1223</v>
      </c>
      <c r="D162" s="2659"/>
      <c r="E162" s="2412"/>
      <c r="F162" s="2550"/>
      <c r="G162" s="336"/>
      <c r="H162" s="1418"/>
      <c r="I162" s="587"/>
      <c r="J162" s="507"/>
      <c r="K162" s="1418"/>
      <c r="L162" s="151"/>
      <c r="M162" s="278"/>
      <c r="N162" s="271"/>
      <c r="O162" s="1542"/>
      <c r="P162" s="1542"/>
      <c r="AH162" s="1549">
        <v>0</v>
      </c>
    </row>
    <row r="163" spans="1:34" s="2062" customFormat="1" ht="18.75" hidden="1" customHeight="1">
      <c r="A163" s="1697" t="s">
        <v>184</v>
      </c>
      <c r="B163" s="1697" t="s">
        <v>185</v>
      </c>
      <c r="C163" s="305"/>
      <c r="D163" s="2659"/>
      <c r="E163" s="2412"/>
      <c r="F163" s="2550" t="str">
        <f>INDEX(PT_DIFFERENTIATION_VTAR,MATCH(A163,PT_DIFFERENTIATION_VTAR_ID,0))</f>
        <v>Тарифы на услуги по передаче теплоносителя</v>
      </c>
      <c r="G163" s="2635" t="str">
        <f>INDEX(PT_DIFFERENTIATION_NTAR,MATCH(B163,PT_DIFFERENTIATION_NTAR_ID,0))</f>
        <v/>
      </c>
      <c r="H163" s="1777"/>
      <c r="I163" s="1656"/>
      <c r="J163" s="1690"/>
      <c r="K163" s="1695"/>
      <c r="L163" s="1777" t="s">
        <v>303</v>
      </c>
      <c r="M163" s="278"/>
      <c r="N163" s="271"/>
      <c r="O163" s="1542"/>
      <c r="P163" s="1542"/>
      <c r="AH163" s="1549">
        <v>0</v>
      </c>
    </row>
    <row r="164" spans="1:34" s="2062" customFormat="1" ht="18.75" hidden="1" customHeight="1">
      <c r="A164" s="1697"/>
      <c r="B164" s="1697"/>
      <c r="C164" s="305" t="s">
        <v>1216</v>
      </c>
      <c r="D164" s="2659"/>
      <c r="E164" s="2412"/>
      <c r="F164" s="2550"/>
      <c r="G164" s="2635"/>
      <c r="H164" s="1418"/>
      <c r="I164" s="587" t="s">
        <v>1215</v>
      </c>
      <c r="J164" s="507"/>
      <c r="K164" s="1418"/>
      <c r="L164" s="151"/>
      <c r="M164" s="278"/>
      <c r="N164" s="271"/>
      <c r="O164" s="1542"/>
      <c r="P164" s="1542"/>
      <c r="AH164" s="1549">
        <v>0</v>
      </c>
    </row>
    <row r="165" spans="1:34" s="2062" customFormat="1" ht="0.75" hidden="1" customHeight="1">
      <c r="A165" s="1697"/>
      <c r="B165" s="1697"/>
      <c r="C165" s="305" t="s">
        <v>1223</v>
      </c>
      <c r="D165" s="2659"/>
      <c r="E165" s="2412"/>
      <c r="F165" s="2550"/>
      <c r="G165" s="336"/>
      <c r="H165" s="1418"/>
      <c r="I165" s="587"/>
      <c r="J165" s="507"/>
      <c r="K165" s="1418"/>
      <c r="L165" s="151"/>
      <c r="M165" s="278"/>
      <c r="N165" s="271"/>
      <c r="O165" s="1542"/>
      <c r="P165" s="1542"/>
      <c r="AH165" s="1549">
        <v>0</v>
      </c>
    </row>
    <row r="166" spans="1:34" s="2062" customFormat="1" ht="18.75" hidden="1" customHeight="1">
      <c r="A166" s="1697" t="s">
        <v>190</v>
      </c>
      <c r="B166" s="1697" t="s">
        <v>191</v>
      </c>
      <c r="C166" s="305"/>
      <c r="D166" s="2659"/>
      <c r="E166" s="2412"/>
      <c r="F166" s="25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35" t="str">
        <f>INDEX(PT_DIFFERENTIATION_NTAR,MATCH(B166,PT_DIFFERENTIATION_NTAR_ID,0))</f>
        <v/>
      </c>
      <c r="H166" s="1777"/>
      <c r="I166" s="1656"/>
      <c r="J166" s="1690"/>
      <c r="K166" s="1695"/>
      <c r="L166" s="1777" t="s">
        <v>303</v>
      </c>
      <c r="M166" s="278"/>
      <c r="N166" s="271"/>
      <c r="O166" s="1542"/>
      <c r="P166" s="1542"/>
      <c r="AH166" s="1549">
        <v>0</v>
      </c>
    </row>
    <row r="167" spans="1:34" s="2062" customFormat="1" ht="18.75" hidden="1" customHeight="1">
      <c r="A167" s="1697"/>
      <c r="B167" s="1697"/>
      <c r="C167" s="305" t="s">
        <v>1216</v>
      </c>
      <c r="D167" s="2659"/>
      <c r="E167" s="2412"/>
      <c r="F167" s="2550"/>
      <c r="G167" s="2635"/>
      <c r="H167" s="1418"/>
      <c r="I167" s="587" t="s">
        <v>1215</v>
      </c>
      <c r="J167" s="507"/>
      <c r="K167" s="1418"/>
      <c r="L167" s="151"/>
      <c r="M167" s="278"/>
      <c r="N167" s="271"/>
      <c r="O167" s="1542"/>
      <c r="P167" s="1542"/>
      <c r="AH167" s="1549">
        <v>0</v>
      </c>
    </row>
    <row r="168" spans="1:34" s="2062" customFormat="1" ht="0.75" hidden="1" customHeight="1">
      <c r="A168" s="1697"/>
      <c r="B168" s="1697"/>
      <c r="C168" s="305" t="s">
        <v>1223</v>
      </c>
      <c r="D168" s="2659"/>
      <c r="E168" s="2412"/>
      <c r="F168" s="2550"/>
      <c r="G168" s="336"/>
      <c r="H168" s="1418"/>
      <c r="I168" s="587"/>
      <c r="J168" s="507"/>
      <c r="K168" s="1418"/>
      <c r="L168" s="151"/>
      <c r="M168" s="278"/>
      <c r="N168" s="271"/>
      <c r="O168" s="1542"/>
      <c r="P168" s="1542"/>
      <c r="AH168" s="1549">
        <v>0</v>
      </c>
    </row>
    <row r="169" spans="1:34" s="2062" customFormat="1" ht="18.75" hidden="1" customHeight="1">
      <c r="A169" s="1697" t="s">
        <v>196</v>
      </c>
      <c r="B169" s="1697" t="s">
        <v>197</v>
      </c>
      <c r="C169" s="305"/>
      <c r="D169" s="2659"/>
      <c r="E169" s="2412"/>
      <c r="F169" s="2550" t="str">
        <f>INDEX(PT_DIFFERENTIATION_VTAR,MATCH(A169,PT_DIFFERENTIATION_VTAR_ID,0))</f>
        <v>Плата за подключение (технологическое присоединение) к системе теплоснабжения</v>
      </c>
      <c r="G169" s="2635" t="str">
        <f>INDEX(PT_DIFFERENTIATION_NTAR,MATCH(B169,PT_DIFFERENTIATION_NTAR_ID,0))</f>
        <v/>
      </c>
      <c r="H169" s="1777"/>
      <c r="I169" s="1656"/>
      <c r="J169" s="1690"/>
      <c r="K169" s="1695"/>
      <c r="L169" s="1777" t="s">
        <v>303</v>
      </c>
      <c r="M169" s="278"/>
      <c r="N169" s="271"/>
      <c r="O169" s="1542"/>
      <c r="P169" s="1542"/>
      <c r="AH169" s="1549">
        <v>0</v>
      </c>
    </row>
    <row r="170" spans="1:34" s="2062" customFormat="1" ht="18.75" hidden="1" customHeight="1">
      <c r="A170" s="1697"/>
      <c r="B170" s="1697"/>
      <c r="C170" s="305" t="s">
        <v>1216</v>
      </c>
      <c r="D170" s="2659"/>
      <c r="E170" s="2412"/>
      <c r="F170" s="2550"/>
      <c r="G170" s="2635"/>
      <c r="H170" s="1418"/>
      <c r="I170" s="587" t="s">
        <v>1215</v>
      </c>
      <c r="J170" s="507"/>
      <c r="K170" s="1418"/>
      <c r="L170" s="151"/>
      <c r="M170" s="278"/>
      <c r="N170" s="271"/>
      <c r="O170" s="1542"/>
      <c r="P170" s="1542"/>
      <c r="AH170" s="1549">
        <v>0</v>
      </c>
    </row>
    <row r="171" spans="1:34" s="2062" customFormat="1" ht="0.75" hidden="1" customHeight="1">
      <c r="A171" s="1697"/>
      <c r="B171" s="1697"/>
      <c r="C171" s="305" t="s">
        <v>1223</v>
      </c>
      <c r="D171" s="2659"/>
      <c r="E171" s="2412"/>
      <c r="F171" s="2550"/>
      <c r="G171" s="336"/>
      <c r="H171" s="1418"/>
      <c r="I171" s="587"/>
      <c r="J171" s="507"/>
      <c r="K171" s="1418"/>
      <c r="L171" s="151"/>
      <c r="M171" s="278"/>
      <c r="N171" s="271"/>
      <c r="O171" s="1542"/>
      <c r="P171" s="1542"/>
      <c r="AH171" s="1549">
        <v>0</v>
      </c>
    </row>
    <row r="172" spans="1:34" s="2062" customFormat="1" ht="18.75" hidden="1" customHeight="1">
      <c r="A172" s="1697" t="s">
        <v>202</v>
      </c>
      <c r="B172" s="1697" t="s">
        <v>203</v>
      </c>
      <c r="C172" s="305"/>
      <c r="D172" s="2659"/>
      <c r="E172" s="2412"/>
      <c r="F172" s="2550" t="str">
        <f>INDEX(PT_DIFFERENTIATION_VTAR,MATCH(A172,PT_DIFFERENTIATION_VTAR_ID,0))</f>
        <v>Плата за подключение (технологическое присоединение) к системе теплоснабжения (индивидуальная)</v>
      </c>
      <c r="G172" s="2635" t="str">
        <f>INDEX(PT_DIFFERENTIATION_NTAR,MATCH(B172,PT_DIFFERENTIATION_NTAR_ID,0))</f>
        <v/>
      </c>
      <c r="H172" s="1901"/>
      <c r="I172" s="1656"/>
      <c r="J172" s="1690"/>
      <c r="K172" s="1695"/>
      <c r="L172" s="1901" t="s">
        <v>303</v>
      </c>
      <c r="M172" s="278"/>
      <c r="N172" s="271"/>
      <c r="O172" s="1542"/>
      <c r="P172" s="1542"/>
      <c r="AH172" s="1549">
        <v>0</v>
      </c>
    </row>
    <row r="173" spans="1:34" s="2062" customFormat="1" ht="18.75" hidden="1" customHeight="1">
      <c r="A173" s="1697"/>
      <c r="B173" s="1697"/>
      <c r="C173" s="305" t="s">
        <v>1216</v>
      </c>
      <c r="D173" s="2659"/>
      <c r="E173" s="2412"/>
      <c r="F173" s="2550"/>
      <c r="G173" s="2635"/>
      <c r="H173" s="1418"/>
      <c r="I173" s="587" t="s">
        <v>1215</v>
      </c>
      <c r="J173" s="507"/>
      <c r="K173" s="1418"/>
      <c r="L173" s="151"/>
      <c r="M173" s="278"/>
      <c r="N173" s="271"/>
      <c r="O173" s="1542"/>
      <c r="P173" s="1542"/>
      <c r="AH173" s="1549">
        <v>0</v>
      </c>
    </row>
    <row r="174" spans="1:34" s="2062" customFormat="1" ht="0.75" hidden="1" customHeight="1">
      <c r="A174" s="1697"/>
      <c r="B174" s="1697"/>
      <c r="C174" s="305" t="s">
        <v>1223</v>
      </c>
      <c r="D174" s="2659"/>
      <c r="E174" s="2412"/>
      <c r="F174" s="2550"/>
      <c r="G174" s="336"/>
      <c r="H174" s="1418"/>
      <c r="I174" s="587"/>
      <c r="J174" s="507"/>
      <c r="K174" s="1418"/>
      <c r="L174" s="151"/>
      <c r="M174" s="278"/>
      <c r="N174" s="271"/>
      <c r="O174" s="1542"/>
      <c r="P174" s="1542"/>
      <c r="AH174" s="1549">
        <v>0</v>
      </c>
    </row>
    <row r="175" spans="1:34" s="2062" customFormat="1" ht="18.75" hidden="1" customHeight="1">
      <c r="A175" s="1697" t="s">
        <v>222</v>
      </c>
      <c r="B175" s="1697" t="s">
        <v>223</v>
      </c>
      <c r="C175" s="305"/>
      <c r="D175" s="2659"/>
      <c r="E175" s="2412"/>
      <c r="F175" s="2550" t="str">
        <f>INDEX(PT_DIFFERENTIATION_VTAR,MATCH(A175,PT_DIFFERENTIATION_VTAR_ID,0))</f>
        <v>Тариф на питьевую воду (питьевое водоснабжение)</v>
      </c>
      <c r="G175" s="2635" t="str">
        <f>INDEX(PT_DIFFERENTIATION_NTAR,MATCH(B175,PT_DIFFERENTIATION_NTAR_ID,0))</f>
        <v/>
      </c>
      <c r="H175" s="1777"/>
      <c r="I175" s="1656"/>
      <c r="J175" s="1690"/>
      <c r="K175" s="1695"/>
      <c r="L175" s="1777" t="s">
        <v>303</v>
      </c>
      <c r="M175" s="278"/>
      <c r="N175" s="271"/>
      <c r="O175" s="1542"/>
      <c r="P175" s="1542"/>
      <c r="AH175" s="1549">
        <v>0</v>
      </c>
    </row>
    <row r="176" spans="1:34" s="2062" customFormat="1" ht="18.75" hidden="1" customHeight="1">
      <c r="A176" s="1697"/>
      <c r="B176" s="1697"/>
      <c r="C176" s="305" t="s">
        <v>1216</v>
      </c>
      <c r="D176" s="2659"/>
      <c r="E176" s="2412"/>
      <c r="F176" s="2550"/>
      <c r="G176" s="2635"/>
      <c r="H176" s="1418"/>
      <c r="I176" s="587" t="s">
        <v>1215</v>
      </c>
      <c r="J176" s="507"/>
      <c r="K176" s="1418"/>
      <c r="L176" s="151"/>
      <c r="M176" s="278"/>
      <c r="N176" s="271"/>
      <c r="O176" s="1542"/>
      <c r="P176" s="1542"/>
      <c r="AH176" s="1549">
        <v>0</v>
      </c>
    </row>
    <row r="177" spans="1:34" s="2062" customFormat="1" ht="0.75" hidden="1" customHeight="1">
      <c r="A177" s="1697"/>
      <c r="B177" s="1697"/>
      <c r="C177" s="305" t="s">
        <v>1223</v>
      </c>
      <c r="D177" s="2659"/>
      <c r="E177" s="2412"/>
      <c r="F177" s="2550"/>
      <c r="G177" s="336"/>
      <c r="H177" s="1418"/>
      <c r="I177" s="587"/>
      <c r="J177" s="507"/>
      <c r="K177" s="1418"/>
      <c r="L177" s="151"/>
      <c r="M177" s="278"/>
      <c r="N177" s="271"/>
      <c r="O177" s="1542"/>
      <c r="P177" s="1542"/>
      <c r="AH177" s="1549">
        <v>0</v>
      </c>
    </row>
    <row r="178" spans="1:34" s="2062" customFormat="1" ht="18.75" hidden="1" customHeight="1">
      <c r="A178" s="1697" t="s">
        <v>227</v>
      </c>
      <c r="B178" s="1697" t="s">
        <v>228</v>
      </c>
      <c r="C178" s="305"/>
      <c r="D178" s="2659"/>
      <c r="E178" s="2412"/>
      <c r="F178" s="2550" t="str">
        <f>INDEX(PT_DIFFERENTIATION_VTAR,MATCH(A178,PT_DIFFERENTIATION_VTAR_ID,0))</f>
        <v>Тариф на техническую воду</v>
      </c>
      <c r="G178" s="2635" t="str">
        <f>INDEX(PT_DIFFERENTIATION_NTAR,MATCH(B178,PT_DIFFERENTIATION_NTAR_ID,0))</f>
        <v/>
      </c>
      <c r="H178" s="1777"/>
      <c r="I178" s="1656"/>
      <c r="J178" s="1690"/>
      <c r="K178" s="1695"/>
      <c r="L178" s="1777" t="s">
        <v>303</v>
      </c>
      <c r="M178" s="278"/>
      <c r="N178" s="271"/>
      <c r="O178" s="1542"/>
      <c r="P178" s="1542"/>
      <c r="AH178" s="1549">
        <v>0</v>
      </c>
    </row>
    <row r="179" spans="1:34" s="2062" customFormat="1" ht="18.75" hidden="1" customHeight="1">
      <c r="A179" s="1697"/>
      <c r="B179" s="1697"/>
      <c r="C179" s="305" t="s">
        <v>1216</v>
      </c>
      <c r="D179" s="2659"/>
      <c r="E179" s="2412"/>
      <c r="F179" s="2550"/>
      <c r="G179" s="2635"/>
      <c r="H179" s="1418"/>
      <c r="I179" s="587" t="s">
        <v>1215</v>
      </c>
      <c r="J179" s="507"/>
      <c r="K179" s="1418"/>
      <c r="L179" s="151"/>
      <c r="M179" s="278"/>
      <c r="N179" s="271"/>
      <c r="O179" s="1542"/>
      <c r="P179" s="1542"/>
      <c r="AH179" s="1549">
        <v>0</v>
      </c>
    </row>
    <row r="180" spans="1:34" s="2062" customFormat="1" ht="0.75" hidden="1" customHeight="1">
      <c r="A180" s="1697"/>
      <c r="B180" s="1697"/>
      <c r="C180" s="305" t="s">
        <v>1223</v>
      </c>
      <c r="D180" s="2659"/>
      <c r="E180" s="2412"/>
      <c r="F180" s="2550"/>
      <c r="G180" s="336"/>
      <c r="H180" s="1418"/>
      <c r="I180" s="587"/>
      <c r="J180" s="507"/>
      <c r="K180" s="1418"/>
      <c r="L180" s="151"/>
      <c r="M180" s="278"/>
      <c r="N180" s="271"/>
      <c r="O180" s="1542"/>
      <c r="P180" s="1542"/>
      <c r="AH180" s="1549">
        <v>0</v>
      </c>
    </row>
    <row r="181" spans="1:34" s="2062" customFormat="1" ht="18.75" hidden="1" customHeight="1">
      <c r="A181" s="1697" t="s">
        <v>232</v>
      </c>
      <c r="B181" s="1697" t="s">
        <v>233</v>
      </c>
      <c r="C181" s="305"/>
      <c r="D181" s="2659"/>
      <c r="E181" s="2412"/>
      <c r="F181" s="2550" t="str">
        <f>INDEX(PT_DIFFERENTIATION_VTAR,MATCH(A181,PT_DIFFERENTIATION_VTAR_ID,0))</f>
        <v>Тариф на транспортировку воды</v>
      </c>
      <c r="G181" s="2635" t="str">
        <f>INDEX(PT_DIFFERENTIATION_NTAR,MATCH(B181,PT_DIFFERENTIATION_NTAR_ID,0))</f>
        <v/>
      </c>
      <c r="H181" s="1777"/>
      <c r="I181" s="1656"/>
      <c r="J181" s="1690"/>
      <c r="K181" s="1695"/>
      <c r="L181" s="1777" t="s">
        <v>303</v>
      </c>
      <c r="M181" s="278"/>
      <c r="N181" s="271"/>
      <c r="O181" s="1542"/>
      <c r="P181" s="1542"/>
      <c r="AH181" s="1549">
        <v>0</v>
      </c>
    </row>
    <row r="182" spans="1:34" s="2062" customFormat="1" ht="18.75" hidden="1" customHeight="1">
      <c r="A182" s="1697"/>
      <c r="B182" s="1697"/>
      <c r="C182" s="305" t="s">
        <v>1216</v>
      </c>
      <c r="D182" s="2659"/>
      <c r="E182" s="2412"/>
      <c r="F182" s="2550"/>
      <c r="G182" s="2635"/>
      <c r="H182" s="1418"/>
      <c r="I182" s="587" t="s">
        <v>1215</v>
      </c>
      <c r="J182" s="507"/>
      <c r="K182" s="1418"/>
      <c r="L182" s="151"/>
      <c r="M182" s="278"/>
      <c r="N182" s="271"/>
      <c r="O182" s="1542"/>
      <c r="P182" s="1542"/>
      <c r="AH182" s="1549">
        <v>0</v>
      </c>
    </row>
    <row r="183" spans="1:34" s="2062" customFormat="1" ht="0.75" hidden="1" customHeight="1">
      <c r="A183" s="1697"/>
      <c r="B183" s="1697"/>
      <c r="C183" s="305" t="s">
        <v>1223</v>
      </c>
      <c r="D183" s="2659"/>
      <c r="E183" s="2412"/>
      <c r="F183" s="2550"/>
      <c r="G183" s="336"/>
      <c r="H183" s="1418"/>
      <c r="I183" s="587"/>
      <c r="J183" s="507"/>
      <c r="K183" s="1418"/>
      <c r="L183" s="151"/>
      <c r="M183" s="278"/>
      <c r="N183" s="271"/>
      <c r="O183" s="1542"/>
      <c r="P183" s="1542"/>
      <c r="AH183" s="1549">
        <v>0</v>
      </c>
    </row>
    <row r="184" spans="1:34" s="2062" customFormat="1" ht="18.75" hidden="1" customHeight="1">
      <c r="A184" s="1697" t="s">
        <v>237</v>
      </c>
      <c r="B184" s="1697" t="s">
        <v>238</v>
      </c>
      <c r="C184" s="305"/>
      <c r="D184" s="2659"/>
      <c r="E184" s="2412"/>
      <c r="F184" s="2550" t="str">
        <f>INDEX(PT_DIFFERENTIATION_VTAR,MATCH(A184,PT_DIFFERENTIATION_VTAR_ID,0))</f>
        <v>Тариф на подвоз воды</v>
      </c>
      <c r="G184" s="2635" t="str">
        <f>INDEX(PT_DIFFERENTIATION_NTAR,MATCH(B184,PT_DIFFERENTIATION_NTAR_ID,0))</f>
        <v/>
      </c>
      <c r="H184" s="1777"/>
      <c r="I184" s="1656"/>
      <c r="J184" s="1690"/>
      <c r="K184" s="1695"/>
      <c r="L184" s="1777" t="s">
        <v>303</v>
      </c>
      <c r="M184" s="278"/>
      <c r="N184" s="271"/>
      <c r="O184" s="1542"/>
      <c r="P184" s="1542"/>
      <c r="AH184" s="1549">
        <v>0</v>
      </c>
    </row>
    <row r="185" spans="1:34" s="2062" customFormat="1" ht="18.75" hidden="1" customHeight="1">
      <c r="A185" s="1697"/>
      <c r="B185" s="1697"/>
      <c r="C185" s="305" t="s">
        <v>1216</v>
      </c>
      <c r="D185" s="2659"/>
      <c r="E185" s="2412"/>
      <c r="F185" s="2550"/>
      <c r="G185" s="2635"/>
      <c r="H185" s="1418"/>
      <c r="I185" s="587" t="s">
        <v>1215</v>
      </c>
      <c r="J185" s="507"/>
      <c r="K185" s="1418"/>
      <c r="L185" s="151"/>
      <c r="M185" s="278"/>
      <c r="N185" s="271"/>
      <c r="O185" s="1542"/>
      <c r="P185" s="1542"/>
      <c r="AH185" s="1549">
        <v>0</v>
      </c>
    </row>
    <row r="186" spans="1:34" s="2062" customFormat="1" ht="0.75" hidden="1" customHeight="1">
      <c r="A186" s="1697"/>
      <c r="B186" s="1697"/>
      <c r="C186" s="305" t="s">
        <v>1223</v>
      </c>
      <c r="D186" s="2659"/>
      <c r="E186" s="2412"/>
      <c r="F186" s="2550"/>
      <c r="G186" s="336"/>
      <c r="H186" s="1418"/>
      <c r="I186" s="587"/>
      <c r="J186" s="507"/>
      <c r="K186" s="1418"/>
      <c r="L186" s="151"/>
      <c r="M186" s="278"/>
      <c r="N186" s="271"/>
      <c r="O186" s="1542"/>
      <c r="P186" s="1542"/>
      <c r="AH186" s="1549">
        <v>0</v>
      </c>
    </row>
    <row r="187" spans="1:34" s="2062" customFormat="1" ht="18.75" hidden="1" customHeight="1">
      <c r="A187" s="1697" t="s">
        <v>242</v>
      </c>
      <c r="B187" s="1697" t="s">
        <v>243</v>
      </c>
      <c r="C187" s="305"/>
      <c r="D187" s="2659"/>
      <c r="E187" s="2412"/>
      <c r="F187" s="25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35" t="str">
        <f>INDEX(PT_DIFFERENTIATION_NTAR,MATCH(B187,PT_DIFFERENTIATION_NTAR_ID,0))</f>
        <v/>
      </c>
      <c r="H187" s="1777"/>
      <c r="I187" s="1656"/>
      <c r="J187" s="1690"/>
      <c r="K187" s="1695"/>
      <c r="L187" s="1777" t="s">
        <v>303</v>
      </c>
      <c r="M187" s="278"/>
      <c r="N187" s="271"/>
      <c r="O187" s="1542"/>
      <c r="P187" s="1542"/>
      <c r="AH187" s="1549">
        <v>0</v>
      </c>
    </row>
    <row r="188" spans="1:34" s="2062" customFormat="1" ht="18.75" hidden="1" customHeight="1">
      <c r="A188" s="1697"/>
      <c r="B188" s="1697"/>
      <c r="C188" s="305" t="s">
        <v>1216</v>
      </c>
      <c r="D188" s="2659"/>
      <c r="E188" s="2412"/>
      <c r="F188" s="2550"/>
      <c r="G188" s="2635"/>
      <c r="H188" s="1418"/>
      <c r="I188" s="587" t="s">
        <v>1215</v>
      </c>
      <c r="J188" s="507"/>
      <c r="K188" s="1418"/>
      <c r="L188" s="151"/>
      <c r="M188" s="278"/>
      <c r="N188" s="271"/>
      <c r="O188" s="1542"/>
      <c r="P188" s="1542"/>
      <c r="AH188" s="1549">
        <v>0</v>
      </c>
    </row>
    <row r="189" spans="1:34" s="2062" customFormat="1" ht="0.75" hidden="1" customHeight="1">
      <c r="A189" s="1697"/>
      <c r="B189" s="1697"/>
      <c r="C189" s="305" t="s">
        <v>1223</v>
      </c>
      <c r="D189" s="2659"/>
      <c r="E189" s="2412"/>
      <c r="F189" s="2550"/>
      <c r="G189" s="336"/>
      <c r="H189" s="1418"/>
      <c r="I189" s="587"/>
      <c r="J189" s="507"/>
      <c r="K189" s="1418"/>
      <c r="L189" s="151"/>
      <c r="M189" s="278"/>
      <c r="N189" s="271"/>
      <c r="O189" s="1542"/>
      <c r="P189" s="1542"/>
      <c r="AH189" s="1549">
        <v>0</v>
      </c>
    </row>
    <row r="190" spans="1:34" s="2062" customFormat="1" ht="18.75" hidden="1" customHeight="1">
      <c r="A190" s="1697" t="s">
        <v>247</v>
      </c>
      <c r="B190" s="1697" t="s">
        <v>248</v>
      </c>
      <c r="C190" s="305"/>
      <c r="D190" s="2659"/>
      <c r="E190" s="2412"/>
      <c r="F190" s="2550" t="str">
        <f>INDEX(PT_DIFFERENTIATION_VTAR,MATCH(A190,PT_DIFFERENTIATION_VTAR_ID,0))</f>
        <v>Тариф на горячую воду (горячее водоснабжение)</v>
      </c>
      <c r="G190" s="2635" t="str">
        <f>INDEX(PT_DIFFERENTIATION_NTAR,MATCH(B190,PT_DIFFERENTIATION_NTAR_ID,0))</f>
        <v/>
      </c>
      <c r="H190" s="1777"/>
      <c r="I190" s="1656"/>
      <c r="J190" s="1690"/>
      <c r="K190" s="1695"/>
      <c r="L190" s="1777" t="s">
        <v>303</v>
      </c>
      <c r="M190" s="278"/>
      <c r="N190" s="271"/>
      <c r="O190" s="1542"/>
      <c r="P190" s="1542"/>
      <c r="AH190" s="1549">
        <v>0</v>
      </c>
    </row>
    <row r="191" spans="1:34" s="2062" customFormat="1" ht="18.75" hidden="1" customHeight="1">
      <c r="A191" s="1697"/>
      <c r="B191" s="1697"/>
      <c r="C191" s="305" t="s">
        <v>1216</v>
      </c>
      <c r="D191" s="2659"/>
      <c r="E191" s="2412"/>
      <c r="F191" s="2550"/>
      <c r="G191" s="2635"/>
      <c r="H191" s="1418"/>
      <c r="I191" s="587" t="s">
        <v>1215</v>
      </c>
      <c r="J191" s="507"/>
      <c r="K191" s="1418"/>
      <c r="L191" s="151"/>
      <c r="M191" s="278"/>
      <c r="N191" s="271"/>
      <c r="O191" s="1542"/>
      <c r="P191" s="1542"/>
      <c r="AH191" s="1549">
        <v>0</v>
      </c>
    </row>
    <row r="192" spans="1:34" s="2062" customFormat="1" ht="0.75" hidden="1" customHeight="1">
      <c r="A192" s="1697"/>
      <c r="B192" s="1697"/>
      <c r="C192" s="305" t="s">
        <v>1223</v>
      </c>
      <c r="D192" s="2659"/>
      <c r="E192" s="2412"/>
      <c r="F192" s="2550"/>
      <c r="G192" s="336"/>
      <c r="H192" s="1418"/>
      <c r="I192" s="587"/>
      <c r="J192" s="507"/>
      <c r="K192" s="1418"/>
      <c r="L192" s="151"/>
      <c r="M192" s="278"/>
      <c r="N192" s="271"/>
      <c r="O192" s="1542"/>
      <c r="P192" s="1542"/>
      <c r="AH192" s="1549">
        <v>0</v>
      </c>
    </row>
    <row r="193" spans="1:34" s="2062" customFormat="1" ht="18.75" hidden="1" customHeight="1">
      <c r="A193" s="1697" t="s">
        <v>252</v>
      </c>
      <c r="B193" s="1697" t="s">
        <v>253</v>
      </c>
      <c r="C193" s="305"/>
      <c r="D193" s="2659"/>
      <c r="E193" s="2412"/>
      <c r="F193" s="2550" t="str">
        <f>INDEX(PT_DIFFERENTIATION_VTAR,MATCH(A193,PT_DIFFERENTIATION_VTAR_ID,0))</f>
        <v>Тариф на транспортировку горячей воды</v>
      </c>
      <c r="G193" s="2635" t="str">
        <f>INDEX(PT_DIFFERENTIATION_NTAR,MATCH(B193,PT_DIFFERENTIATION_NTAR_ID,0))</f>
        <v/>
      </c>
      <c r="H193" s="1777"/>
      <c r="I193" s="1656"/>
      <c r="J193" s="1690"/>
      <c r="K193" s="1695"/>
      <c r="L193" s="1777" t="s">
        <v>303</v>
      </c>
      <c r="M193" s="278"/>
      <c r="N193" s="271"/>
      <c r="O193" s="1542"/>
      <c r="P193" s="1542"/>
      <c r="AH193" s="1549">
        <v>0</v>
      </c>
    </row>
    <row r="194" spans="1:34" s="2062" customFormat="1" ht="18.75" hidden="1" customHeight="1">
      <c r="A194" s="1697"/>
      <c r="B194" s="1697"/>
      <c r="C194" s="305" t="s">
        <v>1216</v>
      </c>
      <c r="D194" s="2659"/>
      <c r="E194" s="2412"/>
      <c r="F194" s="2550"/>
      <c r="G194" s="2635"/>
      <c r="H194" s="1418"/>
      <c r="I194" s="587" t="s">
        <v>1215</v>
      </c>
      <c r="J194" s="507"/>
      <c r="K194" s="1418"/>
      <c r="L194" s="151"/>
      <c r="M194" s="278"/>
      <c r="N194" s="271"/>
      <c r="O194" s="1542"/>
      <c r="P194" s="1542"/>
      <c r="AH194" s="1549">
        <v>0</v>
      </c>
    </row>
    <row r="195" spans="1:34" s="2062" customFormat="1" ht="0.75" hidden="1" customHeight="1">
      <c r="A195" s="1697"/>
      <c r="B195" s="1697"/>
      <c r="C195" s="305" t="s">
        <v>1223</v>
      </c>
      <c r="D195" s="2659"/>
      <c r="E195" s="2412"/>
      <c r="F195" s="2550"/>
      <c r="G195" s="336"/>
      <c r="H195" s="1418"/>
      <c r="I195" s="587"/>
      <c r="J195" s="507"/>
      <c r="K195" s="1418"/>
      <c r="L195" s="151"/>
      <c r="M195" s="278"/>
      <c r="N195" s="271"/>
      <c r="O195" s="1542"/>
      <c r="P195" s="1542"/>
      <c r="AH195" s="1549">
        <v>0</v>
      </c>
    </row>
    <row r="196" spans="1:34" s="2062" customFormat="1" ht="18.75" hidden="1" customHeight="1">
      <c r="A196" s="1697" t="s">
        <v>257</v>
      </c>
      <c r="B196" s="1697" t="s">
        <v>258</v>
      </c>
      <c r="C196" s="305"/>
      <c r="D196" s="2659"/>
      <c r="E196" s="2412"/>
      <c r="F196" s="25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35" t="str">
        <f>INDEX(PT_DIFFERENTIATION_NTAR,MATCH(B196,PT_DIFFERENTIATION_NTAR_ID,0))</f>
        <v/>
      </c>
      <c r="H196" s="1777"/>
      <c r="I196" s="1656"/>
      <c r="J196" s="1690"/>
      <c r="K196" s="1695"/>
      <c r="L196" s="1777" t="s">
        <v>303</v>
      </c>
      <c r="M196" s="278"/>
      <c r="N196" s="271"/>
      <c r="O196" s="1542"/>
      <c r="P196" s="1542"/>
      <c r="AH196" s="1549">
        <v>0</v>
      </c>
    </row>
    <row r="197" spans="1:34" s="2062" customFormat="1" ht="18.75" hidden="1" customHeight="1">
      <c r="A197" s="1697"/>
      <c r="B197" s="1697"/>
      <c r="C197" s="305" t="s">
        <v>1216</v>
      </c>
      <c r="D197" s="2659"/>
      <c r="E197" s="2412"/>
      <c r="F197" s="2550"/>
      <c r="G197" s="2635"/>
      <c r="H197" s="1418"/>
      <c r="I197" s="587" t="s">
        <v>1215</v>
      </c>
      <c r="J197" s="507"/>
      <c r="K197" s="1418"/>
      <c r="L197" s="151"/>
      <c r="M197" s="278"/>
      <c r="N197" s="271"/>
      <c r="O197" s="1542"/>
      <c r="P197" s="1542"/>
      <c r="AH197" s="1549">
        <v>0</v>
      </c>
    </row>
    <row r="198" spans="1:34" s="2062" customFormat="1" ht="0.75" hidden="1" customHeight="1">
      <c r="A198" s="1697"/>
      <c r="B198" s="1697"/>
      <c r="C198" s="305" t="s">
        <v>1223</v>
      </c>
      <c r="D198" s="2659"/>
      <c r="E198" s="2412"/>
      <c r="F198" s="2550"/>
      <c r="G198" s="336"/>
      <c r="H198" s="1418"/>
      <c r="I198" s="587"/>
      <c r="J198" s="507"/>
      <c r="K198" s="1418"/>
      <c r="L198" s="151"/>
      <c r="M198" s="278"/>
      <c r="N198" s="271"/>
      <c r="O198" s="1542"/>
      <c r="P198" s="1542"/>
      <c r="AH198" s="1549">
        <v>0</v>
      </c>
    </row>
    <row r="199" spans="1:34" s="2062" customFormat="1" ht="18.75" hidden="1" customHeight="1">
      <c r="A199" s="1697" t="s">
        <v>262</v>
      </c>
      <c r="B199" s="1697" t="s">
        <v>263</v>
      </c>
      <c r="C199" s="305"/>
      <c r="D199" s="2659"/>
      <c r="E199" s="2412"/>
      <c r="F199" s="2550" t="str">
        <f>INDEX(PT_DIFFERENTIATION_VTAR,MATCH(A199,PT_DIFFERENTIATION_VTAR_ID,0))</f>
        <v>Тариф на водоотведение</v>
      </c>
      <c r="G199" s="2635" t="str">
        <f>INDEX(PT_DIFFERENTIATION_NTAR,MATCH(B199,PT_DIFFERENTIATION_NTAR_ID,0))</f>
        <v/>
      </c>
      <c r="H199" s="1777"/>
      <c r="I199" s="1656"/>
      <c r="J199" s="1690"/>
      <c r="K199" s="1695"/>
      <c r="L199" s="1777" t="s">
        <v>303</v>
      </c>
      <c r="M199" s="278"/>
      <c r="N199" s="271"/>
      <c r="O199" s="1542"/>
      <c r="P199" s="1542"/>
      <c r="AH199" s="1549">
        <v>0</v>
      </c>
    </row>
    <row r="200" spans="1:34" s="2062" customFormat="1" ht="18.75" hidden="1" customHeight="1">
      <c r="A200" s="1697"/>
      <c r="B200" s="1697"/>
      <c r="C200" s="305" t="s">
        <v>1216</v>
      </c>
      <c r="D200" s="2659"/>
      <c r="E200" s="2412"/>
      <c r="F200" s="2550"/>
      <c r="G200" s="2635"/>
      <c r="H200" s="1418"/>
      <c r="I200" s="587" t="s">
        <v>1215</v>
      </c>
      <c r="J200" s="507"/>
      <c r="K200" s="1418"/>
      <c r="L200" s="151"/>
      <c r="M200" s="278"/>
      <c r="N200" s="271"/>
      <c r="O200" s="1542"/>
      <c r="P200" s="1542"/>
      <c r="AH200" s="1549">
        <v>0</v>
      </c>
    </row>
    <row r="201" spans="1:34" s="2062" customFormat="1" ht="0.75" hidden="1" customHeight="1">
      <c r="A201" s="1697"/>
      <c r="B201" s="1697"/>
      <c r="C201" s="305" t="s">
        <v>1223</v>
      </c>
      <c r="D201" s="2659"/>
      <c r="E201" s="2412"/>
      <c r="F201" s="2550"/>
      <c r="G201" s="336"/>
      <c r="H201" s="1418"/>
      <c r="I201" s="587"/>
      <c r="J201" s="507"/>
      <c r="K201" s="1418"/>
      <c r="L201" s="151"/>
      <c r="M201" s="278"/>
      <c r="N201" s="271"/>
      <c r="O201" s="1542"/>
      <c r="P201" s="1542"/>
      <c r="AH201" s="1549">
        <v>0</v>
      </c>
    </row>
    <row r="202" spans="1:34" s="2062" customFormat="1" ht="18.75" hidden="1" customHeight="1">
      <c r="A202" s="1697" t="s">
        <v>267</v>
      </c>
      <c r="B202" s="1697" t="s">
        <v>268</v>
      </c>
      <c r="C202" s="305"/>
      <c r="D202" s="2659"/>
      <c r="E202" s="2412"/>
      <c r="F202" s="2550" t="str">
        <f>INDEX(PT_DIFFERENTIATION_VTAR,MATCH(A202,PT_DIFFERENTIATION_VTAR_ID,0))</f>
        <v>Тариф на транспортировку сточных вод</v>
      </c>
      <c r="G202" s="2635" t="str">
        <f>INDEX(PT_DIFFERENTIATION_NTAR,MATCH(B202,PT_DIFFERENTIATION_NTAR_ID,0))</f>
        <v/>
      </c>
      <c r="H202" s="1777"/>
      <c r="I202" s="1656"/>
      <c r="J202" s="1690"/>
      <c r="K202" s="1695"/>
      <c r="L202" s="1777" t="s">
        <v>303</v>
      </c>
      <c r="M202" s="278"/>
      <c r="N202" s="271"/>
      <c r="O202" s="1542"/>
      <c r="P202" s="1542"/>
      <c r="AH202" s="1549">
        <v>0</v>
      </c>
    </row>
    <row r="203" spans="1:34" s="2062" customFormat="1" ht="18.75" hidden="1" customHeight="1">
      <c r="A203" s="1697"/>
      <c r="B203" s="1697"/>
      <c r="C203" s="305" t="s">
        <v>1216</v>
      </c>
      <c r="D203" s="2659"/>
      <c r="E203" s="2412"/>
      <c r="F203" s="2550"/>
      <c r="G203" s="2635"/>
      <c r="H203" s="1418"/>
      <c r="I203" s="587" t="s">
        <v>1215</v>
      </c>
      <c r="J203" s="507"/>
      <c r="K203" s="1418"/>
      <c r="L203" s="151"/>
      <c r="M203" s="278"/>
      <c r="N203" s="271"/>
      <c r="O203" s="1542"/>
      <c r="P203" s="1542"/>
      <c r="AH203" s="1549">
        <v>0</v>
      </c>
    </row>
    <row r="204" spans="1:34" s="2062" customFormat="1" ht="0.75" hidden="1" customHeight="1">
      <c r="A204" s="1697"/>
      <c r="B204" s="1697"/>
      <c r="C204" s="305" t="s">
        <v>1223</v>
      </c>
      <c r="D204" s="2659"/>
      <c r="E204" s="2412"/>
      <c r="F204" s="2550"/>
      <c r="G204" s="336"/>
      <c r="H204" s="1418"/>
      <c r="I204" s="587"/>
      <c r="J204" s="507"/>
      <c r="K204" s="1418"/>
      <c r="L204" s="151"/>
      <c r="M204" s="278"/>
      <c r="N204" s="271"/>
      <c r="O204" s="1542"/>
      <c r="P204" s="1542"/>
      <c r="AH204" s="1549">
        <v>0</v>
      </c>
    </row>
    <row r="205" spans="1:34" s="2062" customFormat="1" ht="18.75" hidden="1" customHeight="1">
      <c r="A205" s="1697" t="s">
        <v>272</v>
      </c>
      <c r="B205" s="1697" t="s">
        <v>273</v>
      </c>
      <c r="C205" s="305"/>
      <c r="D205" s="2659"/>
      <c r="E205" s="2412"/>
      <c r="F205" s="2550" t="str">
        <f>INDEX(PT_DIFFERENTIATION_VTAR,MATCH(A205,PT_DIFFERENTIATION_VTAR_ID,0))</f>
        <v>Тариф на подключение (технологическое присоединение) к централизованной системе водоотведения</v>
      </c>
      <c r="G205" s="2635" t="str">
        <f>INDEX(PT_DIFFERENTIATION_NTAR,MATCH(B205,PT_DIFFERENTIATION_NTAR_ID,0))</f>
        <v/>
      </c>
      <c r="H205" s="1777"/>
      <c r="I205" s="1656"/>
      <c r="J205" s="1690"/>
      <c r="K205" s="1695"/>
      <c r="L205" s="1777" t="s">
        <v>303</v>
      </c>
      <c r="M205" s="278"/>
      <c r="N205" s="271"/>
      <c r="O205" s="1542"/>
      <c r="P205" s="1542"/>
      <c r="AH205" s="1549">
        <v>0</v>
      </c>
    </row>
    <row r="206" spans="1:34" s="2062" customFormat="1" ht="18.75" hidden="1" customHeight="1">
      <c r="A206" s="1697"/>
      <c r="B206" s="1697"/>
      <c r="C206" s="305" t="s">
        <v>1216</v>
      </c>
      <c r="D206" s="2659"/>
      <c r="E206" s="2412"/>
      <c r="F206" s="2550"/>
      <c r="G206" s="2635"/>
      <c r="H206" s="1418"/>
      <c r="I206" s="587" t="s">
        <v>1215</v>
      </c>
      <c r="J206" s="507"/>
      <c r="K206" s="1418"/>
      <c r="L206" s="151"/>
      <c r="M206" s="278"/>
      <c r="N206" s="271"/>
      <c r="O206" s="1542"/>
      <c r="P206" s="1542"/>
      <c r="AH206" s="1549">
        <v>0</v>
      </c>
    </row>
    <row r="207" spans="1:34" s="2062" customFormat="1" ht="1.1499999999999999" customHeight="1">
      <c r="A207" s="1697"/>
      <c r="B207" s="1697"/>
      <c r="C207" s="305" t="s">
        <v>1223</v>
      </c>
      <c r="D207" s="2659"/>
      <c r="E207" s="2412"/>
      <c r="F207" s="2550"/>
      <c r="G207" s="336"/>
      <c r="H207" s="1418"/>
      <c r="I207" s="587"/>
      <c r="J207" s="507"/>
      <c r="K207" s="1418"/>
      <c r="L207" s="151"/>
      <c r="M207" s="278"/>
      <c r="N207" s="271"/>
      <c r="O207" s="1542"/>
      <c r="P207" s="1542"/>
      <c r="AH207" s="1549">
        <v>1</v>
      </c>
    </row>
    <row r="208" spans="1:34" ht="27.4" customHeight="1">
      <c r="A208" s="1697"/>
      <c r="B208" s="1697"/>
      <c r="D208" s="312"/>
      <c r="E208" s="85" t="s">
        <v>110</v>
      </c>
      <c r="F208" s="265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58"/>
      <c r="H208" s="2658"/>
      <c r="I208" s="2658"/>
      <c r="J208" s="2658"/>
      <c r="K208" s="2658"/>
      <c r="L208" s="2658"/>
      <c r="M208" s="234"/>
      <c r="N208" s="271"/>
      <c r="AH208" s="310">
        <v>26</v>
      </c>
    </row>
    <row r="209" spans="1:34" s="2062" customFormat="1" ht="60.75" hidden="1" customHeight="1">
      <c r="A209" s="1697" t="s">
        <v>154</v>
      </c>
      <c r="B209" s="1697" t="s">
        <v>155</v>
      </c>
      <c r="C209" s="305"/>
      <c r="D209" s="2659"/>
      <c r="E209" s="2412"/>
      <c r="F209" s="25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35" t="str">
        <f>INDEX(PT_DIFFERENTIATION_NTAR,MATCH(B209,PT_DIFFERENTIATION_NTAR_ID,0))</f>
        <v/>
      </c>
      <c r="H209" s="1777"/>
      <c r="I209" s="1656"/>
      <c r="J209" s="1690"/>
      <c r="K209" s="1695"/>
      <c r="L209" s="1777" t="s">
        <v>303</v>
      </c>
      <c r="M209" s="23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062" customFormat="1" ht="18.75" hidden="1" customHeight="1">
      <c r="A210" s="1697"/>
      <c r="B210" s="1697"/>
      <c r="C210" s="305" t="s">
        <v>1216</v>
      </c>
      <c r="D210" s="2659"/>
      <c r="E210" s="2412"/>
      <c r="F210" s="2550"/>
      <c r="G210" s="2635"/>
      <c r="H210" s="1418"/>
      <c r="I210" s="587" t="s">
        <v>1215</v>
      </c>
      <c r="J210" s="507"/>
      <c r="K210" s="1418"/>
      <c r="L210" s="151"/>
      <c r="M210" s="2373"/>
      <c r="N210" s="271"/>
      <c r="O210" s="1542"/>
      <c r="P210" s="1542"/>
      <c r="AH210" s="1549">
        <v>0</v>
      </c>
    </row>
    <row r="211" spans="1:34" s="2062" customFormat="1" ht="0.75" hidden="1" customHeight="1">
      <c r="A211" s="1697"/>
      <c r="B211" s="1697"/>
      <c r="C211" s="305" t="s">
        <v>1223</v>
      </c>
      <c r="D211" s="2659"/>
      <c r="E211" s="2412"/>
      <c r="F211" s="2550"/>
      <c r="G211" s="336"/>
      <c r="H211" s="1418"/>
      <c r="I211" s="587"/>
      <c r="J211" s="507"/>
      <c r="K211" s="1418"/>
      <c r="L211" s="151"/>
      <c r="M211" s="2373"/>
      <c r="N211" s="271"/>
      <c r="O211" s="1542"/>
      <c r="P211" s="1542"/>
      <c r="AH211" s="1549">
        <v>0</v>
      </c>
    </row>
    <row r="212" spans="1:34" s="2062" customFormat="1" ht="45" hidden="1" customHeight="1">
      <c r="A212" s="1697" t="s">
        <v>159</v>
      </c>
      <c r="B212" s="1697" t="s">
        <v>160</v>
      </c>
      <c r="C212" s="305"/>
      <c r="D212" s="2659"/>
      <c r="E212" s="2412"/>
      <c r="F212" s="2550" t="str">
        <f>INDEX(PT_DIFFERENTIATION_VTAR,MATCH(A212,PT_DIFFERENTIATION_VTAR_ID,0))</f>
        <v/>
      </c>
      <c r="G212" s="2635" t="str">
        <f>INDEX(PT_DIFFERENTIATION_NTAR,MATCH(B212,PT_DIFFERENTIATION_NTAR_ID,0))</f>
        <v/>
      </c>
      <c r="H212" s="1777"/>
      <c r="I212" s="1656"/>
      <c r="J212" s="1690"/>
      <c r="K212" s="1695"/>
      <c r="L212" s="1777" t="s">
        <v>303</v>
      </c>
      <c r="M212" s="2374"/>
      <c r="N212" s="271"/>
      <c r="O212" s="1542"/>
      <c r="P212" s="1542"/>
      <c r="AH212" s="1549">
        <v>0</v>
      </c>
    </row>
    <row r="213" spans="1:34" s="2062" customFormat="1" ht="18.75" hidden="1" customHeight="1">
      <c r="A213" s="1697"/>
      <c r="B213" s="1697"/>
      <c r="C213" s="305" t="s">
        <v>1216</v>
      </c>
      <c r="D213" s="2659"/>
      <c r="E213" s="2412"/>
      <c r="F213" s="2550"/>
      <c r="G213" s="2635"/>
      <c r="H213" s="1418"/>
      <c r="I213" s="587" t="s">
        <v>1215</v>
      </c>
      <c r="J213" s="507"/>
      <c r="K213" s="1418"/>
      <c r="L213" s="151"/>
      <c r="M213" s="1776"/>
      <c r="N213" s="271"/>
      <c r="O213" s="1542"/>
      <c r="P213" s="1542"/>
      <c r="AH213" s="1549">
        <v>0</v>
      </c>
    </row>
    <row r="214" spans="1:34" s="2062" customFormat="1" ht="0.75" hidden="1" customHeight="1">
      <c r="A214" s="1697"/>
      <c r="B214" s="1697"/>
      <c r="C214" s="305" t="s">
        <v>1223</v>
      </c>
      <c r="D214" s="2659"/>
      <c r="E214" s="2412"/>
      <c r="F214" s="2550"/>
      <c r="G214" s="336"/>
      <c r="H214" s="1418"/>
      <c r="I214" s="587"/>
      <c r="J214" s="507"/>
      <c r="K214" s="1418"/>
      <c r="L214" s="151"/>
      <c r="M214" s="278"/>
      <c r="N214" s="271"/>
      <c r="O214" s="1542"/>
      <c r="P214" s="1542"/>
      <c r="AH214" s="1549">
        <v>0</v>
      </c>
    </row>
    <row r="215" spans="1:34" s="2062" customFormat="1" ht="45" hidden="1" customHeight="1">
      <c r="A215" s="1697" t="s">
        <v>166</v>
      </c>
      <c r="B215" s="1697" t="s">
        <v>167</v>
      </c>
      <c r="C215" s="305"/>
      <c r="D215" s="2659"/>
      <c r="E215" s="2412"/>
      <c r="F215" s="25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35" t="str">
        <f>INDEX(PT_DIFFERENTIATION_NTAR,MATCH(B215,PT_DIFFERENTIATION_NTAR_ID,0))</f>
        <v/>
      </c>
      <c r="H215" s="1777"/>
      <c r="I215" s="1656"/>
      <c r="J215" s="1690"/>
      <c r="K215" s="1695"/>
      <c r="L215" s="1777" t="s">
        <v>303</v>
      </c>
      <c r="M215" s="278"/>
      <c r="N215" s="271"/>
      <c r="O215" s="1542"/>
      <c r="P215" s="1542"/>
      <c r="AH215" s="1549">
        <v>0</v>
      </c>
    </row>
    <row r="216" spans="1:34" s="2062" customFormat="1" ht="18.75" hidden="1" customHeight="1">
      <c r="A216" s="1697"/>
      <c r="B216" s="1697"/>
      <c r="C216" s="305" t="s">
        <v>1216</v>
      </c>
      <c r="D216" s="2659"/>
      <c r="E216" s="2412"/>
      <c r="F216" s="2550"/>
      <c r="G216" s="2635"/>
      <c r="H216" s="1418"/>
      <c r="I216" s="587" t="s">
        <v>1215</v>
      </c>
      <c r="J216" s="507"/>
      <c r="K216" s="1418"/>
      <c r="L216" s="151"/>
      <c r="M216" s="278"/>
      <c r="N216" s="271"/>
      <c r="O216" s="1542"/>
      <c r="P216" s="1542"/>
      <c r="AH216" s="1549">
        <v>0</v>
      </c>
    </row>
    <row r="217" spans="1:34" s="2062" customFormat="1" ht="0.75" hidden="1" customHeight="1">
      <c r="A217" s="1697"/>
      <c r="B217" s="1697"/>
      <c r="C217" s="305" t="s">
        <v>1223</v>
      </c>
      <c r="D217" s="2659"/>
      <c r="E217" s="2412"/>
      <c r="F217" s="2550"/>
      <c r="G217" s="336"/>
      <c r="H217" s="1418"/>
      <c r="I217" s="587"/>
      <c r="J217" s="507"/>
      <c r="K217" s="1418"/>
      <c r="L217" s="151"/>
      <c r="M217" s="278"/>
      <c r="N217" s="271"/>
      <c r="O217" s="1542"/>
      <c r="P217" s="1542"/>
      <c r="AH217" s="1549">
        <v>0</v>
      </c>
    </row>
    <row r="218" spans="1:34" s="2062" customFormat="1" ht="45" hidden="1" customHeight="1">
      <c r="A218" s="1697" t="s">
        <v>172</v>
      </c>
      <c r="B218" s="1697" t="s">
        <v>173</v>
      </c>
      <c r="C218" s="305"/>
      <c r="D218" s="2659"/>
      <c r="E218" s="2412"/>
      <c r="F218" s="25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35" t="str">
        <f>INDEX(PT_DIFFERENTIATION_NTAR,MATCH(B218,PT_DIFFERENTIATION_NTAR_ID,0))</f>
        <v/>
      </c>
      <c r="H218" s="1777"/>
      <c r="I218" s="1656"/>
      <c r="J218" s="1690"/>
      <c r="K218" s="1695"/>
      <c r="L218" s="1777" t="s">
        <v>303</v>
      </c>
      <c r="M218" s="278"/>
      <c r="N218" s="271"/>
      <c r="O218" s="1542"/>
      <c r="P218" s="1542"/>
      <c r="AH218" s="1549">
        <v>0</v>
      </c>
    </row>
    <row r="219" spans="1:34" s="2062" customFormat="1" ht="18.75" hidden="1" customHeight="1">
      <c r="A219" s="1697"/>
      <c r="B219" s="1697"/>
      <c r="C219" s="305" t="s">
        <v>1216</v>
      </c>
      <c r="D219" s="2659"/>
      <c r="E219" s="2412"/>
      <c r="F219" s="2550"/>
      <c r="G219" s="2635"/>
      <c r="H219" s="1418"/>
      <c r="I219" s="587" t="s">
        <v>1215</v>
      </c>
      <c r="J219" s="507"/>
      <c r="K219" s="1418"/>
      <c r="L219" s="151"/>
      <c r="M219" s="278"/>
      <c r="N219" s="271"/>
      <c r="O219" s="1542"/>
      <c r="P219" s="1542"/>
      <c r="AH219" s="1549">
        <v>0</v>
      </c>
    </row>
    <row r="220" spans="1:34" s="2062" customFormat="1" ht="0.75" hidden="1" customHeight="1">
      <c r="A220" s="1697"/>
      <c r="B220" s="1697"/>
      <c r="C220" s="305" t="s">
        <v>1223</v>
      </c>
      <c r="D220" s="2659"/>
      <c r="E220" s="2412"/>
      <c r="F220" s="2550"/>
      <c r="G220" s="336"/>
      <c r="H220" s="1418"/>
      <c r="I220" s="587"/>
      <c r="J220" s="507"/>
      <c r="K220" s="1418"/>
      <c r="L220" s="151"/>
      <c r="M220" s="278"/>
      <c r="N220" s="271"/>
      <c r="O220" s="1542"/>
      <c r="P220" s="1542"/>
      <c r="AH220" s="1549">
        <v>0</v>
      </c>
    </row>
    <row r="221" spans="1:34" s="2062" customFormat="1" ht="18.75" hidden="1" customHeight="1">
      <c r="A221" s="1697" t="s">
        <v>178</v>
      </c>
      <c r="B221" s="1697" t="s">
        <v>179</v>
      </c>
      <c r="C221" s="305"/>
      <c r="D221" s="2659"/>
      <c r="E221" s="2412"/>
      <c r="F221" s="2550" t="str">
        <f>INDEX(PT_DIFFERENTIATION_VTAR,MATCH(A221,PT_DIFFERENTIATION_VTAR_ID,0))</f>
        <v>Тарифы на услуги по передаче тепловой энергии</v>
      </c>
      <c r="G221" s="2635" t="str">
        <f>INDEX(PT_DIFFERENTIATION_NTAR,MATCH(B221,PT_DIFFERENTIATION_NTAR_ID,0))</f>
        <v/>
      </c>
      <c r="H221" s="1777"/>
      <c r="I221" s="1656"/>
      <c r="J221" s="1690"/>
      <c r="K221" s="1695"/>
      <c r="L221" s="1777" t="s">
        <v>303</v>
      </c>
      <c r="M221" s="278"/>
      <c r="N221" s="271"/>
      <c r="O221" s="1542"/>
      <c r="P221" s="1542"/>
      <c r="AH221" s="1549">
        <v>0</v>
      </c>
    </row>
    <row r="222" spans="1:34" s="2062" customFormat="1" ht="18.75" hidden="1" customHeight="1">
      <c r="A222" s="1697"/>
      <c r="B222" s="1697"/>
      <c r="C222" s="305" t="s">
        <v>1216</v>
      </c>
      <c r="D222" s="2659"/>
      <c r="E222" s="2412"/>
      <c r="F222" s="2550"/>
      <c r="G222" s="2635"/>
      <c r="H222" s="1418"/>
      <c r="I222" s="587" t="s">
        <v>1215</v>
      </c>
      <c r="J222" s="507"/>
      <c r="K222" s="1418"/>
      <c r="L222" s="151"/>
      <c r="M222" s="278"/>
      <c r="N222" s="271"/>
      <c r="O222" s="1542"/>
      <c r="P222" s="1542"/>
      <c r="AH222" s="1549">
        <v>0</v>
      </c>
    </row>
    <row r="223" spans="1:34" s="2062" customFormat="1" ht="0.75" hidden="1" customHeight="1">
      <c r="A223" s="1697"/>
      <c r="B223" s="1697"/>
      <c r="C223" s="305" t="s">
        <v>1223</v>
      </c>
      <c r="D223" s="2659"/>
      <c r="E223" s="2412"/>
      <c r="F223" s="2550"/>
      <c r="G223" s="336"/>
      <c r="H223" s="1418"/>
      <c r="I223" s="587"/>
      <c r="J223" s="507"/>
      <c r="K223" s="1418"/>
      <c r="L223" s="151"/>
      <c r="M223" s="278"/>
      <c r="N223" s="271"/>
      <c r="O223" s="1542"/>
      <c r="P223" s="1542"/>
      <c r="AH223" s="1549">
        <v>0</v>
      </c>
    </row>
    <row r="224" spans="1:34" s="2062" customFormat="1" ht="18.75" hidden="1" customHeight="1">
      <c r="A224" s="1697" t="s">
        <v>184</v>
      </c>
      <c r="B224" s="1697" t="s">
        <v>185</v>
      </c>
      <c r="C224" s="305"/>
      <c r="D224" s="2659"/>
      <c r="E224" s="2412"/>
      <c r="F224" s="2550" t="str">
        <f>INDEX(PT_DIFFERENTIATION_VTAR,MATCH(A224,PT_DIFFERENTIATION_VTAR_ID,0))</f>
        <v>Тарифы на услуги по передаче теплоносителя</v>
      </c>
      <c r="G224" s="2635" t="str">
        <f>INDEX(PT_DIFFERENTIATION_NTAR,MATCH(B224,PT_DIFFERENTIATION_NTAR_ID,0))</f>
        <v/>
      </c>
      <c r="H224" s="1777"/>
      <c r="I224" s="1656"/>
      <c r="J224" s="1690"/>
      <c r="K224" s="1695"/>
      <c r="L224" s="1777" t="s">
        <v>303</v>
      </c>
      <c r="M224" s="278"/>
      <c r="N224" s="271"/>
      <c r="O224" s="1542"/>
      <c r="P224" s="1542"/>
      <c r="AH224" s="1549">
        <v>0</v>
      </c>
    </row>
    <row r="225" spans="1:34" s="2062" customFormat="1" ht="18.75" hidden="1" customHeight="1">
      <c r="A225" s="1697"/>
      <c r="B225" s="1697"/>
      <c r="C225" s="305" t="s">
        <v>1216</v>
      </c>
      <c r="D225" s="2659"/>
      <c r="E225" s="2412"/>
      <c r="F225" s="2550"/>
      <c r="G225" s="2635"/>
      <c r="H225" s="1418"/>
      <c r="I225" s="587" t="s">
        <v>1215</v>
      </c>
      <c r="J225" s="507"/>
      <c r="K225" s="1418"/>
      <c r="L225" s="151"/>
      <c r="M225" s="278"/>
      <c r="N225" s="271"/>
      <c r="O225" s="1542"/>
      <c r="P225" s="1542"/>
      <c r="AH225" s="1549">
        <v>0</v>
      </c>
    </row>
    <row r="226" spans="1:34" s="2062" customFormat="1" ht="0.75" hidden="1" customHeight="1">
      <c r="A226" s="1697"/>
      <c r="B226" s="1697"/>
      <c r="C226" s="305" t="s">
        <v>1223</v>
      </c>
      <c r="D226" s="2659"/>
      <c r="E226" s="2412"/>
      <c r="F226" s="2550"/>
      <c r="G226" s="336"/>
      <c r="H226" s="1418"/>
      <c r="I226" s="587"/>
      <c r="J226" s="507"/>
      <c r="K226" s="1418"/>
      <c r="L226" s="151"/>
      <c r="M226" s="278"/>
      <c r="N226" s="271"/>
      <c r="O226" s="1542"/>
      <c r="P226" s="1542"/>
      <c r="AH226" s="1549">
        <v>0</v>
      </c>
    </row>
    <row r="227" spans="1:34" s="2062" customFormat="1" ht="18.75" hidden="1" customHeight="1">
      <c r="A227" s="1697" t="s">
        <v>190</v>
      </c>
      <c r="B227" s="1697" t="s">
        <v>191</v>
      </c>
      <c r="C227" s="305"/>
      <c r="D227" s="2659"/>
      <c r="E227" s="2412"/>
      <c r="F227" s="25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35" t="str">
        <f>INDEX(PT_DIFFERENTIATION_NTAR,MATCH(B227,PT_DIFFERENTIATION_NTAR_ID,0))</f>
        <v/>
      </c>
      <c r="H227" s="1777"/>
      <c r="I227" s="1656"/>
      <c r="J227" s="1690"/>
      <c r="K227" s="1695"/>
      <c r="L227" s="1777" t="s">
        <v>303</v>
      </c>
      <c r="M227" s="278"/>
      <c r="N227" s="271"/>
      <c r="O227" s="1542"/>
      <c r="P227" s="1542"/>
      <c r="AH227" s="1549">
        <v>0</v>
      </c>
    </row>
    <row r="228" spans="1:34" s="2062" customFormat="1" ht="18.75" hidden="1" customHeight="1">
      <c r="A228" s="1697"/>
      <c r="B228" s="1697"/>
      <c r="C228" s="305" t="s">
        <v>1216</v>
      </c>
      <c r="D228" s="2659"/>
      <c r="E228" s="2412"/>
      <c r="F228" s="2550"/>
      <c r="G228" s="2635"/>
      <c r="H228" s="1418"/>
      <c r="I228" s="587" t="s">
        <v>1215</v>
      </c>
      <c r="J228" s="507"/>
      <c r="K228" s="1418"/>
      <c r="L228" s="151"/>
      <c r="M228" s="278"/>
      <c r="N228" s="271"/>
      <c r="O228" s="1542"/>
      <c r="P228" s="1542"/>
      <c r="AH228" s="1549">
        <v>0</v>
      </c>
    </row>
    <row r="229" spans="1:34" s="2062" customFormat="1" ht="0.75" hidden="1" customHeight="1">
      <c r="A229" s="1697"/>
      <c r="B229" s="1697"/>
      <c r="C229" s="305" t="s">
        <v>1223</v>
      </c>
      <c r="D229" s="2659"/>
      <c r="E229" s="2412"/>
      <c r="F229" s="2550"/>
      <c r="G229" s="336"/>
      <c r="H229" s="1418"/>
      <c r="I229" s="587"/>
      <c r="J229" s="507"/>
      <c r="K229" s="1418"/>
      <c r="L229" s="151"/>
      <c r="M229" s="278"/>
      <c r="N229" s="271"/>
      <c r="O229" s="1542"/>
      <c r="P229" s="1542"/>
      <c r="AH229" s="1549">
        <v>0</v>
      </c>
    </row>
    <row r="230" spans="1:34" s="2062" customFormat="1" ht="18.75" hidden="1" customHeight="1">
      <c r="A230" s="1697" t="s">
        <v>196</v>
      </c>
      <c r="B230" s="1697" t="s">
        <v>197</v>
      </c>
      <c r="C230" s="305"/>
      <c r="D230" s="2659"/>
      <c r="E230" s="2412"/>
      <c r="F230" s="2550" t="str">
        <f>INDEX(PT_DIFFERENTIATION_VTAR,MATCH(A230,PT_DIFFERENTIATION_VTAR_ID,0))</f>
        <v>Плата за подключение (технологическое присоединение) к системе теплоснабжения</v>
      </c>
      <c r="G230" s="2635" t="str">
        <f>INDEX(PT_DIFFERENTIATION_NTAR,MATCH(B230,PT_DIFFERENTIATION_NTAR_ID,0))</f>
        <v/>
      </c>
      <c r="H230" s="1777"/>
      <c r="I230" s="1656"/>
      <c r="J230" s="1690"/>
      <c r="K230" s="1695"/>
      <c r="L230" s="1777" t="s">
        <v>303</v>
      </c>
      <c r="M230" s="278"/>
      <c r="N230" s="271"/>
      <c r="O230" s="1542"/>
      <c r="P230" s="1542"/>
      <c r="AH230" s="1549">
        <v>0</v>
      </c>
    </row>
    <row r="231" spans="1:34" s="2062" customFormat="1" ht="18.75" hidden="1" customHeight="1">
      <c r="A231" s="1697"/>
      <c r="B231" s="1697"/>
      <c r="C231" s="305" t="s">
        <v>1216</v>
      </c>
      <c r="D231" s="2659"/>
      <c r="E231" s="2412"/>
      <c r="F231" s="2550"/>
      <c r="G231" s="2635"/>
      <c r="H231" s="1418"/>
      <c r="I231" s="587" t="s">
        <v>1215</v>
      </c>
      <c r="J231" s="507"/>
      <c r="K231" s="1418"/>
      <c r="L231" s="151"/>
      <c r="M231" s="278"/>
      <c r="N231" s="271"/>
      <c r="O231" s="1542"/>
      <c r="P231" s="1542"/>
      <c r="AH231" s="1549">
        <v>0</v>
      </c>
    </row>
    <row r="232" spans="1:34" s="2062" customFormat="1" ht="0.75" hidden="1" customHeight="1">
      <c r="A232" s="1697"/>
      <c r="B232" s="1697"/>
      <c r="C232" s="305" t="s">
        <v>1223</v>
      </c>
      <c r="D232" s="2659"/>
      <c r="E232" s="2412"/>
      <c r="F232" s="2550"/>
      <c r="G232" s="336"/>
      <c r="H232" s="1418"/>
      <c r="I232" s="587"/>
      <c r="J232" s="507"/>
      <c r="K232" s="1418"/>
      <c r="L232" s="151"/>
      <c r="M232" s="278"/>
      <c r="N232" s="271"/>
      <c r="O232" s="1542"/>
      <c r="P232" s="1542"/>
      <c r="AH232" s="1549">
        <v>0</v>
      </c>
    </row>
    <row r="233" spans="1:34" s="2062" customFormat="1" ht="18.75" hidden="1" customHeight="1">
      <c r="A233" s="1697" t="s">
        <v>202</v>
      </c>
      <c r="B233" s="1697" t="s">
        <v>203</v>
      </c>
      <c r="C233" s="305"/>
      <c r="D233" s="2659"/>
      <c r="E233" s="2412"/>
      <c r="F233" s="2550" t="str">
        <f>INDEX(PT_DIFFERENTIATION_VTAR,MATCH(A233,PT_DIFFERENTIATION_VTAR_ID,0))</f>
        <v>Плата за подключение (технологическое присоединение) к системе теплоснабжения (индивидуальная)</v>
      </c>
      <c r="G233" s="2635" t="str">
        <f>INDEX(PT_DIFFERENTIATION_NTAR,MATCH(B233,PT_DIFFERENTIATION_NTAR_ID,0))</f>
        <v/>
      </c>
      <c r="H233" s="1901"/>
      <c r="I233" s="1656"/>
      <c r="J233" s="1690"/>
      <c r="K233" s="1695"/>
      <c r="L233" s="1901" t="s">
        <v>303</v>
      </c>
      <c r="M233" s="278"/>
      <c r="N233" s="271"/>
      <c r="O233" s="1542"/>
      <c r="P233" s="1542"/>
      <c r="AH233" s="1549">
        <v>0</v>
      </c>
    </row>
    <row r="234" spans="1:34" s="2062" customFormat="1" ht="18.75" hidden="1" customHeight="1">
      <c r="A234" s="1697"/>
      <c r="B234" s="1697"/>
      <c r="C234" s="305" t="s">
        <v>1216</v>
      </c>
      <c r="D234" s="2659"/>
      <c r="E234" s="2412"/>
      <c r="F234" s="2550"/>
      <c r="G234" s="2635"/>
      <c r="H234" s="1418"/>
      <c r="I234" s="587" t="s">
        <v>1215</v>
      </c>
      <c r="J234" s="507"/>
      <c r="K234" s="1418"/>
      <c r="L234" s="151"/>
      <c r="M234" s="278"/>
      <c r="N234" s="271"/>
      <c r="O234" s="1542"/>
      <c r="P234" s="1542"/>
      <c r="AH234" s="1549">
        <v>0</v>
      </c>
    </row>
    <row r="235" spans="1:34" s="2062" customFormat="1" ht="0.75" hidden="1" customHeight="1">
      <c r="A235" s="1697"/>
      <c r="B235" s="1697"/>
      <c r="C235" s="305" t="s">
        <v>1223</v>
      </c>
      <c r="D235" s="2659"/>
      <c r="E235" s="2412"/>
      <c r="F235" s="2550"/>
      <c r="G235" s="336"/>
      <c r="H235" s="1418"/>
      <c r="I235" s="587"/>
      <c r="J235" s="507"/>
      <c r="K235" s="1418"/>
      <c r="L235" s="151"/>
      <c r="M235" s="278"/>
      <c r="N235" s="271"/>
      <c r="O235" s="1542"/>
      <c r="P235" s="1542"/>
      <c r="AH235" s="1549">
        <v>0</v>
      </c>
    </row>
    <row r="236" spans="1:34" s="2062" customFormat="1" ht="18.75" hidden="1" customHeight="1">
      <c r="A236" s="1697" t="s">
        <v>222</v>
      </c>
      <c r="B236" s="1697" t="s">
        <v>223</v>
      </c>
      <c r="C236" s="305"/>
      <c r="D236" s="2659"/>
      <c r="E236" s="2412"/>
      <c r="F236" s="2550" t="str">
        <f>INDEX(PT_DIFFERENTIATION_VTAR,MATCH(A236,PT_DIFFERENTIATION_VTAR_ID,0))</f>
        <v>Тариф на питьевую воду (питьевое водоснабжение)</v>
      </c>
      <c r="G236" s="2635" t="str">
        <f>INDEX(PT_DIFFERENTIATION_NTAR,MATCH(B236,PT_DIFFERENTIATION_NTAR_ID,0))</f>
        <v/>
      </c>
      <c r="H236" s="1777"/>
      <c r="I236" s="1656"/>
      <c r="J236" s="1690"/>
      <c r="K236" s="1695"/>
      <c r="L236" s="1777" t="s">
        <v>303</v>
      </c>
      <c r="M236" s="278"/>
      <c r="N236" s="271"/>
      <c r="O236" s="1542"/>
      <c r="P236" s="1542"/>
      <c r="AH236" s="1549">
        <v>0</v>
      </c>
    </row>
    <row r="237" spans="1:34" s="2062" customFormat="1" ht="18.75" hidden="1" customHeight="1">
      <c r="A237" s="1697"/>
      <c r="B237" s="1697"/>
      <c r="C237" s="305" t="s">
        <v>1216</v>
      </c>
      <c r="D237" s="2659"/>
      <c r="E237" s="2412"/>
      <c r="F237" s="2550"/>
      <c r="G237" s="2635"/>
      <c r="H237" s="1418"/>
      <c r="I237" s="587" t="s">
        <v>1215</v>
      </c>
      <c r="J237" s="507"/>
      <c r="K237" s="1418"/>
      <c r="L237" s="151"/>
      <c r="M237" s="278"/>
      <c r="N237" s="271"/>
      <c r="O237" s="1542"/>
      <c r="P237" s="1542"/>
      <c r="AH237" s="1549">
        <v>0</v>
      </c>
    </row>
    <row r="238" spans="1:34" s="2062" customFormat="1" ht="0.75" hidden="1" customHeight="1">
      <c r="A238" s="1697"/>
      <c r="B238" s="1697"/>
      <c r="C238" s="305" t="s">
        <v>1223</v>
      </c>
      <c r="D238" s="2659"/>
      <c r="E238" s="2412"/>
      <c r="F238" s="2550"/>
      <c r="G238" s="336"/>
      <c r="H238" s="1418"/>
      <c r="I238" s="587"/>
      <c r="J238" s="507"/>
      <c r="K238" s="1418"/>
      <c r="L238" s="151"/>
      <c r="M238" s="278"/>
      <c r="N238" s="271"/>
      <c r="O238" s="1542"/>
      <c r="P238" s="1542"/>
      <c r="AH238" s="1549">
        <v>0</v>
      </c>
    </row>
    <row r="239" spans="1:34" s="2062" customFormat="1" ht="18.75" hidden="1" customHeight="1">
      <c r="A239" s="1697" t="s">
        <v>227</v>
      </c>
      <c r="B239" s="1697" t="s">
        <v>228</v>
      </c>
      <c r="C239" s="305"/>
      <c r="D239" s="2659"/>
      <c r="E239" s="2412"/>
      <c r="F239" s="2550" t="str">
        <f>INDEX(PT_DIFFERENTIATION_VTAR,MATCH(A239,PT_DIFFERENTIATION_VTAR_ID,0))</f>
        <v>Тариф на техническую воду</v>
      </c>
      <c r="G239" s="2635" t="str">
        <f>INDEX(PT_DIFFERENTIATION_NTAR,MATCH(B239,PT_DIFFERENTIATION_NTAR_ID,0))</f>
        <v/>
      </c>
      <c r="H239" s="1777"/>
      <c r="I239" s="1656"/>
      <c r="J239" s="1690"/>
      <c r="K239" s="1695"/>
      <c r="L239" s="1777" t="s">
        <v>303</v>
      </c>
      <c r="M239" s="278"/>
      <c r="N239" s="271"/>
      <c r="O239" s="1542"/>
      <c r="P239" s="1542"/>
      <c r="AH239" s="1549">
        <v>0</v>
      </c>
    </row>
    <row r="240" spans="1:34" s="2062" customFormat="1" ht="18.75" hidden="1" customHeight="1">
      <c r="A240" s="1697"/>
      <c r="B240" s="1697"/>
      <c r="C240" s="305" t="s">
        <v>1216</v>
      </c>
      <c r="D240" s="2659"/>
      <c r="E240" s="2412"/>
      <c r="F240" s="2550"/>
      <c r="G240" s="2635"/>
      <c r="H240" s="1418"/>
      <c r="I240" s="587" t="s">
        <v>1215</v>
      </c>
      <c r="J240" s="507"/>
      <c r="K240" s="1418"/>
      <c r="L240" s="151"/>
      <c r="M240" s="278"/>
      <c r="N240" s="271"/>
      <c r="O240" s="1542"/>
      <c r="P240" s="1542"/>
      <c r="AH240" s="1549">
        <v>0</v>
      </c>
    </row>
    <row r="241" spans="1:34" s="2062" customFormat="1" ht="0.75" hidden="1" customHeight="1">
      <c r="A241" s="1697"/>
      <c r="B241" s="1697"/>
      <c r="C241" s="305" t="s">
        <v>1223</v>
      </c>
      <c r="D241" s="2659"/>
      <c r="E241" s="2412"/>
      <c r="F241" s="2550"/>
      <c r="G241" s="336"/>
      <c r="H241" s="1418"/>
      <c r="I241" s="587"/>
      <c r="J241" s="507"/>
      <c r="K241" s="1418"/>
      <c r="L241" s="151"/>
      <c r="M241" s="278"/>
      <c r="N241" s="271"/>
      <c r="O241" s="1542"/>
      <c r="P241" s="1542"/>
      <c r="AH241" s="1549">
        <v>0</v>
      </c>
    </row>
    <row r="242" spans="1:34" s="2062" customFormat="1" ht="18.75" hidden="1" customHeight="1">
      <c r="A242" s="1697" t="s">
        <v>232</v>
      </c>
      <c r="B242" s="1697" t="s">
        <v>233</v>
      </c>
      <c r="C242" s="305"/>
      <c r="D242" s="2659"/>
      <c r="E242" s="2412"/>
      <c r="F242" s="2550" t="str">
        <f>INDEX(PT_DIFFERENTIATION_VTAR,MATCH(A242,PT_DIFFERENTIATION_VTAR_ID,0))</f>
        <v>Тариф на транспортировку воды</v>
      </c>
      <c r="G242" s="2635" t="str">
        <f>INDEX(PT_DIFFERENTIATION_NTAR,MATCH(B242,PT_DIFFERENTIATION_NTAR_ID,0))</f>
        <v/>
      </c>
      <c r="H242" s="1777"/>
      <c r="I242" s="1656"/>
      <c r="J242" s="1690"/>
      <c r="K242" s="1695"/>
      <c r="L242" s="1777" t="s">
        <v>303</v>
      </c>
      <c r="M242" s="278"/>
      <c r="N242" s="271"/>
      <c r="O242" s="1542"/>
      <c r="P242" s="1542"/>
      <c r="AH242" s="1549">
        <v>0</v>
      </c>
    </row>
    <row r="243" spans="1:34" s="2062" customFormat="1" ht="18.75" hidden="1" customHeight="1">
      <c r="A243" s="1697"/>
      <c r="B243" s="1697"/>
      <c r="C243" s="305" t="s">
        <v>1216</v>
      </c>
      <c r="D243" s="2659"/>
      <c r="E243" s="2412"/>
      <c r="F243" s="2550"/>
      <c r="G243" s="2635"/>
      <c r="H243" s="1418"/>
      <c r="I243" s="587" t="s">
        <v>1215</v>
      </c>
      <c r="J243" s="507"/>
      <c r="K243" s="1418"/>
      <c r="L243" s="151"/>
      <c r="M243" s="278"/>
      <c r="N243" s="271"/>
      <c r="O243" s="1542"/>
      <c r="P243" s="1542"/>
      <c r="AH243" s="1549">
        <v>0</v>
      </c>
    </row>
    <row r="244" spans="1:34" s="2062" customFormat="1" ht="0.75" hidden="1" customHeight="1">
      <c r="A244" s="1697"/>
      <c r="B244" s="1697"/>
      <c r="C244" s="305" t="s">
        <v>1223</v>
      </c>
      <c r="D244" s="2659"/>
      <c r="E244" s="2412"/>
      <c r="F244" s="2550"/>
      <c r="G244" s="336"/>
      <c r="H244" s="1418"/>
      <c r="I244" s="587"/>
      <c r="J244" s="507"/>
      <c r="K244" s="1418"/>
      <c r="L244" s="151"/>
      <c r="M244" s="278"/>
      <c r="N244" s="271"/>
      <c r="O244" s="1542"/>
      <c r="P244" s="1542"/>
      <c r="AH244" s="1549">
        <v>0</v>
      </c>
    </row>
    <row r="245" spans="1:34" s="2062" customFormat="1" ht="18.75" hidden="1" customHeight="1">
      <c r="A245" s="1697" t="s">
        <v>237</v>
      </c>
      <c r="B245" s="1697" t="s">
        <v>238</v>
      </c>
      <c r="C245" s="305"/>
      <c r="D245" s="2659"/>
      <c r="E245" s="2412"/>
      <c r="F245" s="2550" t="str">
        <f>INDEX(PT_DIFFERENTIATION_VTAR,MATCH(A245,PT_DIFFERENTIATION_VTAR_ID,0))</f>
        <v>Тариф на подвоз воды</v>
      </c>
      <c r="G245" s="2635" t="str">
        <f>INDEX(PT_DIFFERENTIATION_NTAR,MATCH(B245,PT_DIFFERENTIATION_NTAR_ID,0))</f>
        <v/>
      </c>
      <c r="H245" s="1777"/>
      <c r="I245" s="1656"/>
      <c r="J245" s="1690"/>
      <c r="K245" s="1695"/>
      <c r="L245" s="1777" t="s">
        <v>303</v>
      </c>
      <c r="M245" s="278"/>
      <c r="N245" s="271"/>
      <c r="O245" s="1542"/>
      <c r="P245" s="1542"/>
      <c r="AH245" s="1549">
        <v>0</v>
      </c>
    </row>
    <row r="246" spans="1:34" s="2062" customFormat="1" ht="18.75" hidden="1" customHeight="1">
      <c r="A246" s="1697"/>
      <c r="B246" s="1697"/>
      <c r="C246" s="305" t="s">
        <v>1216</v>
      </c>
      <c r="D246" s="2659"/>
      <c r="E246" s="2412"/>
      <c r="F246" s="2550"/>
      <c r="G246" s="2635"/>
      <c r="H246" s="1418"/>
      <c r="I246" s="587" t="s">
        <v>1215</v>
      </c>
      <c r="J246" s="507"/>
      <c r="K246" s="1418"/>
      <c r="L246" s="151"/>
      <c r="M246" s="278"/>
      <c r="N246" s="271"/>
      <c r="O246" s="1542"/>
      <c r="P246" s="1542"/>
      <c r="AH246" s="1549">
        <v>0</v>
      </c>
    </row>
    <row r="247" spans="1:34" s="2062" customFormat="1" ht="0.75" hidden="1" customHeight="1">
      <c r="A247" s="1697"/>
      <c r="B247" s="1697"/>
      <c r="C247" s="305" t="s">
        <v>1223</v>
      </c>
      <c r="D247" s="2659"/>
      <c r="E247" s="2412"/>
      <c r="F247" s="2550"/>
      <c r="G247" s="336"/>
      <c r="H247" s="1418"/>
      <c r="I247" s="587"/>
      <c r="J247" s="507"/>
      <c r="K247" s="1418"/>
      <c r="L247" s="151"/>
      <c r="M247" s="278"/>
      <c r="N247" s="271"/>
      <c r="O247" s="1542"/>
      <c r="P247" s="1542"/>
      <c r="AH247" s="1549">
        <v>0</v>
      </c>
    </row>
    <row r="248" spans="1:34" s="2062" customFormat="1" ht="18.75" hidden="1" customHeight="1">
      <c r="A248" s="1697" t="s">
        <v>242</v>
      </c>
      <c r="B248" s="1697" t="s">
        <v>243</v>
      </c>
      <c r="C248" s="305"/>
      <c r="D248" s="2659"/>
      <c r="E248" s="2412"/>
      <c r="F248" s="25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35" t="str">
        <f>INDEX(PT_DIFFERENTIATION_NTAR,MATCH(B248,PT_DIFFERENTIATION_NTAR_ID,0))</f>
        <v/>
      </c>
      <c r="H248" s="1777"/>
      <c r="I248" s="1656"/>
      <c r="J248" s="1690"/>
      <c r="K248" s="1695"/>
      <c r="L248" s="1777" t="s">
        <v>303</v>
      </c>
      <c r="M248" s="278"/>
      <c r="N248" s="271"/>
      <c r="O248" s="1542"/>
      <c r="P248" s="1542"/>
      <c r="AH248" s="1549">
        <v>0</v>
      </c>
    </row>
    <row r="249" spans="1:34" s="2062" customFormat="1" ht="18.75" hidden="1" customHeight="1">
      <c r="A249" s="1697"/>
      <c r="B249" s="1697"/>
      <c r="C249" s="305" t="s">
        <v>1216</v>
      </c>
      <c r="D249" s="2659"/>
      <c r="E249" s="2412"/>
      <c r="F249" s="2550"/>
      <c r="G249" s="2635"/>
      <c r="H249" s="1418"/>
      <c r="I249" s="587" t="s">
        <v>1215</v>
      </c>
      <c r="J249" s="507"/>
      <c r="K249" s="1418"/>
      <c r="L249" s="151"/>
      <c r="M249" s="278"/>
      <c r="N249" s="271"/>
      <c r="O249" s="1542"/>
      <c r="P249" s="1542"/>
      <c r="AH249" s="1549">
        <v>0</v>
      </c>
    </row>
    <row r="250" spans="1:34" s="2062" customFormat="1" ht="0.75" hidden="1" customHeight="1">
      <c r="A250" s="1697"/>
      <c r="B250" s="1697"/>
      <c r="C250" s="305" t="s">
        <v>1223</v>
      </c>
      <c r="D250" s="2659"/>
      <c r="E250" s="2412"/>
      <c r="F250" s="2550"/>
      <c r="G250" s="336"/>
      <c r="H250" s="1418"/>
      <c r="I250" s="587"/>
      <c r="J250" s="507"/>
      <c r="K250" s="1418"/>
      <c r="L250" s="151"/>
      <c r="M250" s="278"/>
      <c r="N250" s="271"/>
      <c r="O250" s="1542"/>
      <c r="P250" s="1542"/>
      <c r="AH250" s="1549">
        <v>0</v>
      </c>
    </row>
    <row r="251" spans="1:34" s="2062" customFormat="1" ht="18.75" hidden="1" customHeight="1">
      <c r="A251" s="1697" t="s">
        <v>247</v>
      </c>
      <c r="B251" s="1697" t="s">
        <v>248</v>
      </c>
      <c r="C251" s="305"/>
      <c r="D251" s="2659"/>
      <c r="E251" s="2412"/>
      <c r="F251" s="2550" t="str">
        <f>INDEX(PT_DIFFERENTIATION_VTAR,MATCH(A251,PT_DIFFERENTIATION_VTAR_ID,0))</f>
        <v>Тариф на горячую воду (горячее водоснабжение)</v>
      </c>
      <c r="G251" s="2635" t="str">
        <f>INDEX(PT_DIFFERENTIATION_NTAR,MATCH(B251,PT_DIFFERENTIATION_NTAR_ID,0))</f>
        <v/>
      </c>
      <c r="H251" s="1777"/>
      <c r="I251" s="1656"/>
      <c r="J251" s="1690"/>
      <c r="K251" s="1695"/>
      <c r="L251" s="1777" t="s">
        <v>303</v>
      </c>
      <c r="M251" s="278"/>
      <c r="N251" s="271"/>
      <c r="O251" s="1542"/>
      <c r="P251" s="1542"/>
      <c r="AH251" s="1549">
        <v>0</v>
      </c>
    </row>
    <row r="252" spans="1:34" s="2062" customFormat="1" ht="18.75" hidden="1" customHeight="1">
      <c r="A252" s="1697"/>
      <c r="B252" s="1697"/>
      <c r="C252" s="305" t="s">
        <v>1216</v>
      </c>
      <c r="D252" s="2659"/>
      <c r="E252" s="2412"/>
      <c r="F252" s="2550"/>
      <c r="G252" s="2635"/>
      <c r="H252" s="1418"/>
      <c r="I252" s="587" t="s">
        <v>1215</v>
      </c>
      <c r="J252" s="507"/>
      <c r="K252" s="1418"/>
      <c r="L252" s="151"/>
      <c r="M252" s="278"/>
      <c r="N252" s="271"/>
      <c r="O252" s="1542"/>
      <c r="P252" s="1542"/>
      <c r="AH252" s="1549">
        <v>0</v>
      </c>
    </row>
    <row r="253" spans="1:34" s="2062" customFormat="1" ht="0.75" hidden="1" customHeight="1">
      <c r="A253" s="1697"/>
      <c r="B253" s="1697"/>
      <c r="C253" s="305" t="s">
        <v>1223</v>
      </c>
      <c r="D253" s="2659"/>
      <c r="E253" s="2412"/>
      <c r="F253" s="2550"/>
      <c r="G253" s="336"/>
      <c r="H253" s="1418"/>
      <c r="I253" s="587"/>
      <c r="J253" s="507"/>
      <c r="K253" s="1418"/>
      <c r="L253" s="151"/>
      <c r="M253" s="278"/>
      <c r="N253" s="271"/>
      <c r="O253" s="1542"/>
      <c r="P253" s="1542"/>
      <c r="AH253" s="1549">
        <v>0</v>
      </c>
    </row>
    <row r="254" spans="1:34" s="2062" customFormat="1" ht="18.75" hidden="1" customHeight="1">
      <c r="A254" s="1697" t="s">
        <v>252</v>
      </c>
      <c r="B254" s="1697" t="s">
        <v>253</v>
      </c>
      <c r="C254" s="305"/>
      <c r="D254" s="2659"/>
      <c r="E254" s="2412"/>
      <c r="F254" s="2550" t="str">
        <f>INDEX(PT_DIFFERENTIATION_VTAR,MATCH(A254,PT_DIFFERENTIATION_VTAR_ID,0))</f>
        <v>Тариф на транспортировку горячей воды</v>
      </c>
      <c r="G254" s="2635" t="str">
        <f>INDEX(PT_DIFFERENTIATION_NTAR,MATCH(B254,PT_DIFFERENTIATION_NTAR_ID,0))</f>
        <v/>
      </c>
      <c r="H254" s="1777"/>
      <c r="I254" s="1656"/>
      <c r="J254" s="1690"/>
      <c r="K254" s="1695"/>
      <c r="L254" s="1777" t="s">
        <v>303</v>
      </c>
      <c r="M254" s="278"/>
      <c r="N254" s="271"/>
      <c r="O254" s="1542"/>
      <c r="P254" s="1542"/>
      <c r="AH254" s="1549">
        <v>0</v>
      </c>
    </row>
    <row r="255" spans="1:34" s="2062" customFormat="1" ht="18.75" hidden="1" customHeight="1">
      <c r="A255" s="1697"/>
      <c r="B255" s="1697"/>
      <c r="C255" s="305" t="s">
        <v>1216</v>
      </c>
      <c r="D255" s="2659"/>
      <c r="E255" s="2412"/>
      <c r="F255" s="2550"/>
      <c r="G255" s="2635"/>
      <c r="H255" s="1418"/>
      <c r="I255" s="587" t="s">
        <v>1215</v>
      </c>
      <c r="J255" s="507"/>
      <c r="K255" s="1418"/>
      <c r="L255" s="151"/>
      <c r="M255" s="278"/>
      <c r="N255" s="271"/>
      <c r="O255" s="1542"/>
      <c r="P255" s="1542"/>
      <c r="AH255" s="1549">
        <v>0</v>
      </c>
    </row>
    <row r="256" spans="1:34" s="2062" customFormat="1" ht="0.75" hidden="1" customHeight="1">
      <c r="A256" s="1697"/>
      <c r="B256" s="1697"/>
      <c r="C256" s="305" t="s">
        <v>1223</v>
      </c>
      <c r="D256" s="2659"/>
      <c r="E256" s="2412"/>
      <c r="F256" s="2550"/>
      <c r="G256" s="336"/>
      <c r="H256" s="1418"/>
      <c r="I256" s="587"/>
      <c r="J256" s="507"/>
      <c r="K256" s="1418"/>
      <c r="L256" s="151"/>
      <c r="M256" s="278"/>
      <c r="N256" s="271"/>
      <c r="O256" s="1542"/>
      <c r="P256" s="1542"/>
      <c r="AH256" s="1549">
        <v>0</v>
      </c>
    </row>
    <row r="257" spans="1:34" s="2062" customFormat="1" ht="18.75" hidden="1" customHeight="1">
      <c r="A257" s="1697" t="s">
        <v>257</v>
      </c>
      <c r="B257" s="1697" t="s">
        <v>258</v>
      </c>
      <c r="C257" s="305"/>
      <c r="D257" s="2659"/>
      <c r="E257" s="2412"/>
      <c r="F257" s="25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35" t="str">
        <f>INDEX(PT_DIFFERENTIATION_NTAR,MATCH(B257,PT_DIFFERENTIATION_NTAR_ID,0))</f>
        <v/>
      </c>
      <c r="H257" s="1777"/>
      <c r="I257" s="1656"/>
      <c r="J257" s="1690"/>
      <c r="K257" s="1695"/>
      <c r="L257" s="1777" t="s">
        <v>303</v>
      </c>
      <c r="M257" s="278"/>
      <c r="N257" s="271"/>
      <c r="O257" s="1542"/>
      <c r="P257" s="1542"/>
      <c r="AH257" s="1549">
        <v>0</v>
      </c>
    </row>
    <row r="258" spans="1:34" s="2062" customFormat="1" ht="18.75" hidden="1" customHeight="1">
      <c r="A258" s="1697"/>
      <c r="B258" s="1697"/>
      <c r="C258" s="305" t="s">
        <v>1216</v>
      </c>
      <c r="D258" s="2659"/>
      <c r="E258" s="2412"/>
      <c r="F258" s="2550"/>
      <c r="G258" s="2635"/>
      <c r="H258" s="1418"/>
      <c r="I258" s="587" t="s">
        <v>1215</v>
      </c>
      <c r="J258" s="507"/>
      <c r="K258" s="1418"/>
      <c r="L258" s="151"/>
      <c r="M258" s="278"/>
      <c r="N258" s="271"/>
      <c r="O258" s="1542"/>
      <c r="P258" s="1542"/>
      <c r="AH258" s="1549">
        <v>0</v>
      </c>
    </row>
    <row r="259" spans="1:34" s="2062" customFormat="1" ht="0.75" hidden="1" customHeight="1">
      <c r="A259" s="1697"/>
      <c r="B259" s="1697"/>
      <c r="C259" s="305" t="s">
        <v>1223</v>
      </c>
      <c r="D259" s="2659"/>
      <c r="E259" s="2412"/>
      <c r="F259" s="2550"/>
      <c r="G259" s="336"/>
      <c r="H259" s="1418"/>
      <c r="I259" s="587"/>
      <c r="J259" s="507"/>
      <c r="K259" s="1418"/>
      <c r="L259" s="151"/>
      <c r="M259" s="278"/>
      <c r="N259" s="271"/>
      <c r="O259" s="1542"/>
      <c r="P259" s="1542"/>
      <c r="AH259" s="1549">
        <v>0</v>
      </c>
    </row>
    <row r="260" spans="1:34" s="2062" customFormat="1" ht="18.75" hidden="1" customHeight="1">
      <c r="A260" s="1697" t="s">
        <v>262</v>
      </c>
      <c r="B260" s="1697" t="s">
        <v>263</v>
      </c>
      <c r="C260" s="305"/>
      <c r="D260" s="2659"/>
      <c r="E260" s="2412"/>
      <c r="F260" s="2550" t="str">
        <f>INDEX(PT_DIFFERENTIATION_VTAR,MATCH(A260,PT_DIFFERENTIATION_VTAR_ID,0))</f>
        <v>Тариф на водоотведение</v>
      </c>
      <c r="G260" s="2635" t="str">
        <f>INDEX(PT_DIFFERENTIATION_NTAR,MATCH(B260,PT_DIFFERENTIATION_NTAR_ID,0))</f>
        <v/>
      </c>
      <c r="H260" s="1777"/>
      <c r="I260" s="1656"/>
      <c r="J260" s="1690"/>
      <c r="K260" s="1695"/>
      <c r="L260" s="1777" t="s">
        <v>303</v>
      </c>
      <c r="M260" s="278"/>
      <c r="N260" s="271"/>
      <c r="O260" s="1542"/>
      <c r="P260" s="1542"/>
      <c r="AH260" s="1549">
        <v>0</v>
      </c>
    </row>
    <row r="261" spans="1:34" s="2062" customFormat="1" ht="18.75" hidden="1" customHeight="1">
      <c r="A261" s="1697"/>
      <c r="B261" s="1697"/>
      <c r="C261" s="305" t="s">
        <v>1216</v>
      </c>
      <c r="D261" s="2659"/>
      <c r="E261" s="2412"/>
      <c r="F261" s="2550"/>
      <c r="G261" s="2635"/>
      <c r="H261" s="1418"/>
      <c r="I261" s="587" t="s">
        <v>1215</v>
      </c>
      <c r="J261" s="507"/>
      <c r="K261" s="1418"/>
      <c r="L261" s="151"/>
      <c r="M261" s="278"/>
      <c r="N261" s="271"/>
      <c r="O261" s="1542"/>
      <c r="P261" s="1542"/>
      <c r="AH261" s="1549">
        <v>0</v>
      </c>
    </row>
    <row r="262" spans="1:34" s="2062" customFormat="1" ht="0.75" hidden="1" customHeight="1">
      <c r="A262" s="1697"/>
      <c r="B262" s="1697"/>
      <c r="C262" s="305" t="s">
        <v>1223</v>
      </c>
      <c r="D262" s="2659"/>
      <c r="E262" s="2412"/>
      <c r="F262" s="2550"/>
      <c r="G262" s="336"/>
      <c r="H262" s="1418"/>
      <c r="I262" s="587"/>
      <c r="J262" s="507"/>
      <c r="K262" s="1418"/>
      <c r="L262" s="151"/>
      <c r="M262" s="278"/>
      <c r="N262" s="271"/>
      <c r="O262" s="1542"/>
      <c r="P262" s="1542"/>
      <c r="AH262" s="1549">
        <v>0</v>
      </c>
    </row>
    <row r="263" spans="1:34" s="2062" customFormat="1" ht="18.75" hidden="1" customHeight="1">
      <c r="A263" s="1697" t="s">
        <v>267</v>
      </c>
      <c r="B263" s="1697" t="s">
        <v>268</v>
      </c>
      <c r="C263" s="305"/>
      <c r="D263" s="2659"/>
      <c r="E263" s="2412"/>
      <c r="F263" s="2550" t="str">
        <f>INDEX(PT_DIFFERENTIATION_VTAR,MATCH(A263,PT_DIFFERENTIATION_VTAR_ID,0))</f>
        <v>Тариф на транспортировку сточных вод</v>
      </c>
      <c r="G263" s="2635" t="str">
        <f>INDEX(PT_DIFFERENTIATION_NTAR,MATCH(B263,PT_DIFFERENTIATION_NTAR_ID,0))</f>
        <v/>
      </c>
      <c r="H263" s="1777"/>
      <c r="I263" s="1656"/>
      <c r="J263" s="1690"/>
      <c r="K263" s="1695"/>
      <c r="L263" s="1777" t="s">
        <v>303</v>
      </c>
      <c r="M263" s="278"/>
      <c r="N263" s="271"/>
      <c r="O263" s="1542"/>
      <c r="P263" s="1542"/>
      <c r="AH263" s="1549">
        <v>0</v>
      </c>
    </row>
    <row r="264" spans="1:34" s="2062" customFormat="1" ht="18.75" hidden="1" customHeight="1">
      <c r="A264" s="1697"/>
      <c r="B264" s="1697"/>
      <c r="C264" s="305" t="s">
        <v>1216</v>
      </c>
      <c r="D264" s="2659"/>
      <c r="E264" s="2412"/>
      <c r="F264" s="2550"/>
      <c r="G264" s="2635"/>
      <c r="H264" s="1418"/>
      <c r="I264" s="587" t="s">
        <v>1215</v>
      </c>
      <c r="J264" s="507"/>
      <c r="K264" s="1418"/>
      <c r="L264" s="151"/>
      <c r="M264" s="278"/>
      <c r="N264" s="271"/>
      <c r="O264" s="1542"/>
      <c r="P264" s="1542"/>
      <c r="AH264" s="1549">
        <v>0</v>
      </c>
    </row>
    <row r="265" spans="1:34" s="2062" customFormat="1" ht="0.75" hidden="1" customHeight="1">
      <c r="A265" s="1697"/>
      <c r="B265" s="1697"/>
      <c r="C265" s="305" t="s">
        <v>1223</v>
      </c>
      <c r="D265" s="2659"/>
      <c r="E265" s="2412"/>
      <c r="F265" s="2550"/>
      <c r="G265" s="336"/>
      <c r="H265" s="1418"/>
      <c r="I265" s="587"/>
      <c r="J265" s="507"/>
      <c r="K265" s="1418"/>
      <c r="L265" s="151"/>
      <c r="M265" s="278"/>
      <c r="N265" s="271"/>
      <c r="O265" s="1542"/>
      <c r="P265" s="1542"/>
      <c r="AH265" s="1549">
        <v>0</v>
      </c>
    </row>
    <row r="266" spans="1:34" s="2062" customFormat="1" ht="18.75" hidden="1" customHeight="1">
      <c r="A266" s="1697" t="s">
        <v>272</v>
      </c>
      <c r="B266" s="1697" t="s">
        <v>273</v>
      </c>
      <c r="C266" s="305"/>
      <c r="D266" s="2659"/>
      <c r="E266" s="2412"/>
      <c r="F266" s="2550" t="str">
        <f>INDEX(PT_DIFFERENTIATION_VTAR,MATCH(A266,PT_DIFFERENTIATION_VTAR_ID,0))</f>
        <v>Тариф на подключение (технологическое присоединение) к централизованной системе водоотведения</v>
      </c>
      <c r="G266" s="2635" t="str">
        <f>INDEX(PT_DIFFERENTIATION_NTAR,MATCH(B266,PT_DIFFERENTIATION_NTAR_ID,0))</f>
        <v/>
      </c>
      <c r="H266" s="1777"/>
      <c r="I266" s="1656"/>
      <c r="J266" s="1690"/>
      <c r="K266" s="1695"/>
      <c r="L266" s="1777" t="s">
        <v>303</v>
      </c>
      <c r="M266" s="278"/>
      <c r="N266" s="271"/>
      <c r="O266" s="1542"/>
      <c r="P266" s="1542"/>
      <c r="AH266" s="1549">
        <v>0</v>
      </c>
    </row>
    <row r="267" spans="1:34" s="2062" customFormat="1" ht="18.75" hidden="1" customHeight="1">
      <c r="A267" s="1697"/>
      <c r="B267" s="1697"/>
      <c r="C267" s="305" t="s">
        <v>1216</v>
      </c>
      <c r="D267" s="2659"/>
      <c r="E267" s="2412"/>
      <c r="F267" s="2550"/>
      <c r="G267" s="2635"/>
      <c r="H267" s="1418"/>
      <c r="I267" s="587" t="s">
        <v>1215</v>
      </c>
      <c r="J267" s="507"/>
      <c r="K267" s="1418"/>
      <c r="L267" s="151"/>
      <c r="M267" s="278"/>
      <c r="N267" s="271"/>
      <c r="O267" s="1542"/>
      <c r="P267" s="1542"/>
      <c r="AH267" s="1549">
        <v>0</v>
      </c>
    </row>
    <row r="268" spans="1:34" s="2062" customFormat="1" ht="1.1499999999999999" customHeight="1">
      <c r="A268" s="1697"/>
      <c r="B268" s="1697"/>
      <c r="C268" s="305" t="s">
        <v>1223</v>
      </c>
      <c r="D268" s="2659"/>
      <c r="E268" s="2412"/>
      <c r="F268" s="2550"/>
      <c r="G268" s="336"/>
      <c r="H268" s="1418"/>
      <c r="I268" s="587"/>
      <c r="J268" s="507"/>
      <c r="K268" s="1418"/>
      <c r="L268" s="151"/>
      <c r="M268" s="278"/>
      <c r="N268" s="271"/>
      <c r="O268" s="1542"/>
      <c r="P268" s="1542"/>
      <c r="AH268" s="1549">
        <v>1</v>
      </c>
    </row>
    <row r="269" spans="1:34" ht="27.4" customHeight="1">
      <c r="A269" s="1697"/>
      <c r="B269" s="1697"/>
      <c r="D269" s="312"/>
      <c r="E269" s="85" t="s">
        <v>94</v>
      </c>
      <c r="F269" s="265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58"/>
      <c r="H269" s="2658"/>
      <c r="I269" s="2658"/>
      <c r="J269" s="2658"/>
      <c r="K269" s="2658"/>
      <c r="L269" s="2658"/>
      <c r="M269" s="234"/>
      <c r="N269" s="271"/>
      <c r="AH269" s="310">
        <v>26</v>
      </c>
    </row>
    <row r="270" spans="1:34" s="2062" customFormat="1" ht="60.75" hidden="1" customHeight="1">
      <c r="A270" s="1697" t="s">
        <v>154</v>
      </c>
      <c r="B270" s="1697" t="s">
        <v>155</v>
      </c>
      <c r="C270" s="305"/>
      <c r="D270" s="2659"/>
      <c r="E270" s="2412"/>
      <c r="F270" s="25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35" t="str">
        <f>INDEX(PT_DIFFERENTIATION_NTAR,MATCH(B270,PT_DIFFERENTIATION_NTAR_ID,0))</f>
        <v/>
      </c>
      <c r="H270" s="1777"/>
      <c r="I270" s="1656"/>
      <c r="J270" s="1690"/>
      <c r="K270" s="1695"/>
      <c r="L270" s="1777" t="s">
        <v>303</v>
      </c>
      <c r="M270" s="23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062" customFormat="1" ht="18.75" hidden="1" customHeight="1">
      <c r="A271" s="1697"/>
      <c r="B271" s="1697"/>
      <c r="C271" s="305" t="s">
        <v>1216</v>
      </c>
      <c r="D271" s="2659"/>
      <c r="E271" s="2412"/>
      <c r="F271" s="2550"/>
      <c r="G271" s="2635"/>
      <c r="H271" s="1418"/>
      <c r="I271" s="587" t="s">
        <v>1215</v>
      </c>
      <c r="J271" s="507"/>
      <c r="K271" s="1418"/>
      <c r="L271" s="151"/>
      <c r="M271" s="2373"/>
      <c r="N271" s="271"/>
      <c r="O271" s="1542"/>
      <c r="P271" s="1542"/>
      <c r="AH271" s="1549">
        <v>0</v>
      </c>
    </row>
    <row r="272" spans="1:34" s="2062" customFormat="1" ht="0.75" hidden="1" customHeight="1">
      <c r="A272" s="1697"/>
      <c r="B272" s="1697"/>
      <c r="C272" s="305" t="s">
        <v>1223</v>
      </c>
      <c r="D272" s="2659"/>
      <c r="E272" s="2412"/>
      <c r="F272" s="2550"/>
      <c r="G272" s="336"/>
      <c r="H272" s="1418"/>
      <c r="I272" s="587"/>
      <c r="J272" s="507"/>
      <c r="K272" s="1418"/>
      <c r="L272" s="151"/>
      <c r="M272" s="2373"/>
      <c r="N272" s="271"/>
      <c r="O272" s="1542"/>
      <c r="P272" s="1542"/>
      <c r="AH272" s="1549">
        <v>0</v>
      </c>
    </row>
    <row r="273" spans="1:34" s="2062" customFormat="1" ht="45" hidden="1" customHeight="1">
      <c r="A273" s="1697" t="s">
        <v>159</v>
      </c>
      <c r="B273" s="1697" t="s">
        <v>160</v>
      </c>
      <c r="C273" s="305"/>
      <c r="D273" s="2659"/>
      <c r="E273" s="2412"/>
      <c r="F273" s="2550" t="str">
        <f>INDEX(PT_DIFFERENTIATION_VTAR,MATCH(A273,PT_DIFFERENTIATION_VTAR_ID,0))</f>
        <v/>
      </c>
      <c r="G273" s="2635" t="str">
        <f>INDEX(PT_DIFFERENTIATION_NTAR,MATCH(B273,PT_DIFFERENTIATION_NTAR_ID,0))</f>
        <v/>
      </c>
      <c r="H273" s="1777"/>
      <c r="I273" s="1656"/>
      <c r="J273" s="1690"/>
      <c r="K273" s="1695"/>
      <c r="L273" s="1777" t="s">
        <v>303</v>
      </c>
      <c r="M273" s="2374"/>
      <c r="N273" s="271"/>
      <c r="O273" s="1542"/>
      <c r="P273" s="1542"/>
      <c r="AH273" s="1549">
        <v>0</v>
      </c>
    </row>
    <row r="274" spans="1:34" s="2062" customFormat="1" ht="18.75" hidden="1" customHeight="1">
      <c r="A274" s="1697"/>
      <c r="B274" s="1697"/>
      <c r="C274" s="305" t="s">
        <v>1216</v>
      </c>
      <c r="D274" s="2659"/>
      <c r="E274" s="2412"/>
      <c r="F274" s="2550"/>
      <c r="G274" s="2635"/>
      <c r="H274" s="1418"/>
      <c r="I274" s="587" t="s">
        <v>1215</v>
      </c>
      <c r="J274" s="507"/>
      <c r="K274" s="1418"/>
      <c r="L274" s="151"/>
      <c r="M274" s="1776"/>
      <c r="N274" s="271"/>
      <c r="O274" s="1542"/>
      <c r="P274" s="1542"/>
      <c r="AH274" s="1549">
        <v>0</v>
      </c>
    </row>
    <row r="275" spans="1:34" s="2062" customFormat="1" ht="0.75" hidden="1" customHeight="1">
      <c r="A275" s="1697"/>
      <c r="B275" s="1697"/>
      <c r="C275" s="305" t="s">
        <v>1223</v>
      </c>
      <c r="D275" s="2659"/>
      <c r="E275" s="2412"/>
      <c r="F275" s="2550"/>
      <c r="G275" s="336"/>
      <c r="H275" s="1418"/>
      <c r="I275" s="587"/>
      <c r="J275" s="507"/>
      <c r="K275" s="1418"/>
      <c r="L275" s="151"/>
      <c r="M275" s="278"/>
      <c r="N275" s="271"/>
      <c r="O275" s="1542"/>
      <c r="P275" s="1542"/>
      <c r="AH275" s="1549">
        <v>0</v>
      </c>
    </row>
    <row r="276" spans="1:34" s="2062" customFormat="1" ht="45" hidden="1" customHeight="1">
      <c r="A276" s="1697" t="s">
        <v>166</v>
      </c>
      <c r="B276" s="1697" t="s">
        <v>167</v>
      </c>
      <c r="C276" s="305"/>
      <c r="D276" s="2659"/>
      <c r="E276" s="2412"/>
      <c r="F276" s="25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35" t="str">
        <f>INDEX(PT_DIFFERENTIATION_NTAR,MATCH(B276,PT_DIFFERENTIATION_NTAR_ID,0))</f>
        <v/>
      </c>
      <c r="H276" s="1777"/>
      <c r="I276" s="1656"/>
      <c r="J276" s="1690"/>
      <c r="K276" s="1695"/>
      <c r="L276" s="1777" t="s">
        <v>303</v>
      </c>
      <c r="M276" s="278"/>
      <c r="N276" s="271"/>
      <c r="O276" s="1542"/>
      <c r="P276" s="1542"/>
      <c r="AH276" s="1549">
        <v>0</v>
      </c>
    </row>
    <row r="277" spans="1:34" s="2062" customFormat="1" ht="18.75" hidden="1" customHeight="1">
      <c r="A277" s="1697"/>
      <c r="B277" s="1697"/>
      <c r="C277" s="305" t="s">
        <v>1216</v>
      </c>
      <c r="D277" s="2659"/>
      <c r="E277" s="2412"/>
      <c r="F277" s="2550"/>
      <c r="G277" s="2635"/>
      <c r="H277" s="1418"/>
      <c r="I277" s="587" t="s">
        <v>1215</v>
      </c>
      <c r="J277" s="507"/>
      <c r="K277" s="1418"/>
      <c r="L277" s="151"/>
      <c r="M277" s="278"/>
      <c r="N277" s="271"/>
      <c r="O277" s="1542"/>
      <c r="P277" s="1542"/>
      <c r="AH277" s="1549">
        <v>0</v>
      </c>
    </row>
    <row r="278" spans="1:34" s="2062" customFormat="1" ht="0.75" hidden="1" customHeight="1">
      <c r="A278" s="1697"/>
      <c r="B278" s="1697"/>
      <c r="C278" s="305" t="s">
        <v>1223</v>
      </c>
      <c r="D278" s="2659"/>
      <c r="E278" s="2412"/>
      <c r="F278" s="2550"/>
      <c r="G278" s="336"/>
      <c r="H278" s="1418"/>
      <c r="I278" s="587"/>
      <c r="J278" s="507"/>
      <c r="K278" s="1418"/>
      <c r="L278" s="151"/>
      <c r="M278" s="278"/>
      <c r="N278" s="271"/>
      <c r="O278" s="1542"/>
      <c r="P278" s="1542"/>
      <c r="AH278" s="1549">
        <v>0</v>
      </c>
    </row>
    <row r="279" spans="1:34" s="2062" customFormat="1" ht="45" hidden="1" customHeight="1">
      <c r="A279" s="1697" t="s">
        <v>172</v>
      </c>
      <c r="B279" s="1697" t="s">
        <v>173</v>
      </c>
      <c r="C279" s="305"/>
      <c r="D279" s="2659"/>
      <c r="E279" s="2412"/>
      <c r="F279" s="25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35" t="str">
        <f>INDEX(PT_DIFFERENTIATION_NTAR,MATCH(B279,PT_DIFFERENTIATION_NTAR_ID,0))</f>
        <v/>
      </c>
      <c r="H279" s="1777"/>
      <c r="I279" s="1656"/>
      <c r="J279" s="1690"/>
      <c r="K279" s="1695"/>
      <c r="L279" s="1777" t="s">
        <v>303</v>
      </c>
      <c r="M279" s="278"/>
      <c r="N279" s="271"/>
      <c r="O279" s="1542"/>
      <c r="P279" s="1542"/>
      <c r="AH279" s="1549">
        <v>0</v>
      </c>
    </row>
    <row r="280" spans="1:34" s="2062" customFormat="1" ht="18.75" hidden="1" customHeight="1">
      <c r="A280" s="1697"/>
      <c r="B280" s="1697"/>
      <c r="C280" s="305" t="s">
        <v>1216</v>
      </c>
      <c r="D280" s="2659"/>
      <c r="E280" s="2412"/>
      <c r="F280" s="2550"/>
      <c r="G280" s="2635"/>
      <c r="H280" s="1418"/>
      <c r="I280" s="587" t="s">
        <v>1215</v>
      </c>
      <c r="J280" s="507"/>
      <c r="K280" s="1418"/>
      <c r="L280" s="151"/>
      <c r="M280" s="278"/>
      <c r="N280" s="271"/>
      <c r="O280" s="1542"/>
      <c r="P280" s="1542"/>
      <c r="AH280" s="1549">
        <v>0</v>
      </c>
    </row>
    <row r="281" spans="1:34" s="2062" customFormat="1" ht="0.75" hidden="1" customHeight="1">
      <c r="A281" s="1697"/>
      <c r="B281" s="1697"/>
      <c r="C281" s="305" t="s">
        <v>1223</v>
      </c>
      <c r="D281" s="2659"/>
      <c r="E281" s="2412"/>
      <c r="F281" s="2550"/>
      <c r="G281" s="336"/>
      <c r="H281" s="1418"/>
      <c r="I281" s="587"/>
      <c r="J281" s="507"/>
      <c r="K281" s="1418"/>
      <c r="L281" s="151"/>
      <c r="M281" s="278"/>
      <c r="N281" s="271"/>
      <c r="O281" s="1542"/>
      <c r="P281" s="1542"/>
      <c r="AH281" s="1549">
        <v>0</v>
      </c>
    </row>
    <row r="282" spans="1:34" s="2062" customFormat="1" ht="18.75" hidden="1" customHeight="1">
      <c r="A282" s="1697" t="s">
        <v>178</v>
      </c>
      <c r="B282" s="1697" t="s">
        <v>179</v>
      </c>
      <c r="C282" s="305"/>
      <c r="D282" s="2659"/>
      <c r="E282" s="2412"/>
      <c r="F282" s="2550" t="str">
        <f>INDEX(PT_DIFFERENTIATION_VTAR,MATCH(A282,PT_DIFFERENTIATION_VTAR_ID,0))</f>
        <v>Тарифы на услуги по передаче тепловой энергии</v>
      </c>
      <c r="G282" s="2635" t="str">
        <f>INDEX(PT_DIFFERENTIATION_NTAR,MATCH(B282,PT_DIFFERENTIATION_NTAR_ID,0))</f>
        <v/>
      </c>
      <c r="H282" s="1777"/>
      <c r="I282" s="1656"/>
      <c r="J282" s="1690"/>
      <c r="K282" s="1695"/>
      <c r="L282" s="1777" t="s">
        <v>303</v>
      </c>
      <c r="M282" s="278"/>
      <c r="N282" s="271"/>
      <c r="O282" s="1542"/>
      <c r="P282" s="1542"/>
      <c r="AH282" s="1549">
        <v>0</v>
      </c>
    </row>
    <row r="283" spans="1:34" s="2062" customFormat="1" ht="18.75" hidden="1" customHeight="1">
      <c r="A283" s="1697"/>
      <c r="B283" s="1697"/>
      <c r="C283" s="305" t="s">
        <v>1216</v>
      </c>
      <c r="D283" s="2659"/>
      <c r="E283" s="2412"/>
      <c r="F283" s="2550"/>
      <c r="G283" s="2635"/>
      <c r="H283" s="1418"/>
      <c r="I283" s="587" t="s">
        <v>1215</v>
      </c>
      <c r="J283" s="507"/>
      <c r="K283" s="1418"/>
      <c r="L283" s="151"/>
      <c r="M283" s="278"/>
      <c r="N283" s="271"/>
      <c r="O283" s="1542"/>
      <c r="P283" s="1542"/>
      <c r="AH283" s="1549">
        <v>0</v>
      </c>
    </row>
    <row r="284" spans="1:34" s="2062" customFormat="1" ht="0.75" hidden="1" customHeight="1">
      <c r="A284" s="1697"/>
      <c r="B284" s="1697"/>
      <c r="C284" s="305" t="s">
        <v>1223</v>
      </c>
      <c r="D284" s="2659"/>
      <c r="E284" s="2412"/>
      <c r="F284" s="2550"/>
      <c r="G284" s="336"/>
      <c r="H284" s="1418"/>
      <c r="I284" s="587"/>
      <c r="J284" s="507"/>
      <c r="K284" s="1418"/>
      <c r="L284" s="151"/>
      <c r="M284" s="278"/>
      <c r="N284" s="271"/>
      <c r="O284" s="1542"/>
      <c r="P284" s="1542"/>
      <c r="AH284" s="1549">
        <v>0</v>
      </c>
    </row>
    <row r="285" spans="1:34" s="2062" customFormat="1" ht="18.75" hidden="1" customHeight="1">
      <c r="A285" s="1697" t="s">
        <v>184</v>
      </c>
      <c r="B285" s="1697" t="s">
        <v>185</v>
      </c>
      <c r="C285" s="305"/>
      <c r="D285" s="2659"/>
      <c r="E285" s="2412"/>
      <c r="F285" s="2550" t="str">
        <f>INDEX(PT_DIFFERENTIATION_VTAR,MATCH(A285,PT_DIFFERENTIATION_VTAR_ID,0))</f>
        <v>Тарифы на услуги по передаче теплоносителя</v>
      </c>
      <c r="G285" s="2635" t="str">
        <f>INDEX(PT_DIFFERENTIATION_NTAR,MATCH(B285,PT_DIFFERENTIATION_NTAR_ID,0))</f>
        <v/>
      </c>
      <c r="H285" s="1777"/>
      <c r="I285" s="1656"/>
      <c r="J285" s="1690"/>
      <c r="K285" s="1695"/>
      <c r="L285" s="1777" t="s">
        <v>303</v>
      </c>
      <c r="M285" s="278"/>
      <c r="N285" s="271"/>
      <c r="O285" s="1542"/>
      <c r="P285" s="1542"/>
      <c r="AH285" s="1549">
        <v>0</v>
      </c>
    </row>
    <row r="286" spans="1:34" s="2062" customFormat="1" ht="18.75" hidden="1" customHeight="1">
      <c r="A286" s="1697"/>
      <c r="B286" s="1697"/>
      <c r="C286" s="305" t="s">
        <v>1216</v>
      </c>
      <c r="D286" s="2659"/>
      <c r="E286" s="2412"/>
      <c r="F286" s="2550"/>
      <c r="G286" s="2635"/>
      <c r="H286" s="1418"/>
      <c r="I286" s="587" t="s">
        <v>1215</v>
      </c>
      <c r="J286" s="507"/>
      <c r="K286" s="1418"/>
      <c r="L286" s="151"/>
      <c r="M286" s="278"/>
      <c r="N286" s="271"/>
      <c r="O286" s="1542"/>
      <c r="P286" s="1542"/>
      <c r="AH286" s="1549">
        <v>0</v>
      </c>
    </row>
    <row r="287" spans="1:34" s="2062" customFormat="1" ht="0.75" hidden="1" customHeight="1">
      <c r="A287" s="1697"/>
      <c r="B287" s="1697"/>
      <c r="C287" s="305" t="s">
        <v>1223</v>
      </c>
      <c r="D287" s="2659"/>
      <c r="E287" s="2412"/>
      <c r="F287" s="2550"/>
      <c r="G287" s="336"/>
      <c r="H287" s="1418"/>
      <c r="I287" s="587"/>
      <c r="J287" s="507"/>
      <c r="K287" s="1418"/>
      <c r="L287" s="151"/>
      <c r="M287" s="278"/>
      <c r="N287" s="271"/>
      <c r="O287" s="1542"/>
      <c r="P287" s="1542"/>
      <c r="AH287" s="1549">
        <v>0</v>
      </c>
    </row>
    <row r="288" spans="1:34" s="2062" customFormat="1" ht="18.75" hidden="1" customHeight="1">
      <c r="A288" s="1697" t="s">
        <v>190</v>
      </c>
      <c r="B288" s="1697" t="s">
        <v>191</v>
      </c>
      <c r="C288" s="305"/>
      <c r="D288" s="2659"/>
      <c r="E288" s="2412"/>
      <c r="F288" s="25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35" t="str">
        <f>INDEX(PT_DIFFERENTIATION_NTAR,MATCH(B288,PT_DIFFERENTIATION_NTAR_ID,0))</f>
        <v/>
      </c>
      <c r="H288" s="1777"/>
      <c r="I288" s="1656"/>
      <c r="J288" s="1690"/>
      <c r="K288" s="1695"/>
      <c r="L288" s="1777" t="s">
        <v>303</v>
      </c>
      <c r="M288" s="278"/>
      <c r="N288" s="271"/>
      <c r="O288" s="1542"/>
      <c r="P288" s="1542"/>
      <c r="AH288" s="1549">
        <v>0</v>
      </c>
    </row>
    <row r="289" spans="1:34" s="2062" customFormat="1" ht="18.75" hidden="1" customHeight="1">
      <c r="A289" s="1697"/>
      <c r="B289" s="1697"/>
      <c r="C289" s="305" t="s">
        <v>1216</v>
      </c>
      <c r="D289" s="2659"/>
      <c r="E289" s="2412"/>
      <c r="F289" s="2550"/>
      <c r="G289" s="2635"/>
      <c r="H289" s="1418"/>
      <c r="I289" s="587" t="s">
        <v>1215</v>
      </c>
      <c r="J289" s="507"/>
      <c r="K289" s="1418"/>
      <c r="L289" s="151"/>
      <c r="M289" s="278"/>
      <c r="N289" s="271"/>
      <c r="O289" s="1542"/>
      <c r="P289" s="1542"/>
      <c r="AH289" s="1549">
        <v>0</v>
      </c>
    </row>
    <row r="290" spans="1:34" s="2062" customFormat="1" ht="0.75" hidden="1" customHeight="1">
      <c r="A290" s="1697"/>
      <c r="B290" s="1697"/>
      <c r="C290" s="305" t="s">
        <v>1223</v>
      </c>
      <c r="D290" s="2659"/>
      <c r="E290" s="2412"/>
      <c r="F290" s="2550"/>
      <c r="G290" s="336"/>
      <c r="H290" s="1418"/>
      <c r="I290" s="587"/>
      <c r="J290" s="507"/>
      <c r="K290" s="1418"/>
      <c r="L290" s="151"/>
      <c r="M290" s="278"/>
      <c r="N290" s="271"/>
      <c r="O290" s="1542"/>
      <c r="P290" s="1542"/>
      <c r="AH290" s="1549">
        <v>0</v>
      </c>
    </row>
    <row r="291" spans="1:34" s="2062" customFormat="1" ht="18.75" hidden="1" customHeight="1">
      <c r="A291" s="1697" t="s">
        <v>196</v>
      </c>
      <c r="B291" s="1697" t="s">
        <v>197</v>
      </c>
      <c r="C291" s="305"/>
      <c r="D291" s="2659"/>
      <c r="E291" s="2412"/>
      <c r="F291" s="2550" t="str">
        <f>INDEX(PT_DIFFERENTIATION_VTAR,MATCH(A291,PT_DIFFERENTIATION_VTAR_ID,0))</f>
        <v>Плата за подключение (технологическое присоединение) к системе теплоснабжения</v>
      </c>
      <c r="G291" s="2635" t="str">
        <f>INDEX(PT_DIFFERENTIATION_NTAR,MATCH(B291,PT_DIFFERENTIATION_NTAR_ID,0))</f>
        <v/>
      </c>
      <c r="H291" s="1777"/>
      <c r="I291" s="1656"/>
      <c r="J291" s="1690"/>
      <c r="K291" s="1695"/>
      <c r="L291" s="1777" t="s">
        <v>303</v>
      </c>
      <c r="M291" s="278"/>
      <c r="N291" s="271"/>
      <c r="O291" s="1542"/>
      <c r="P291" s="1542"/>
      <c r="AH291" s="1549">
        <v>0</v>
      </c>
    </row>
    <row r="292" spans="1:34" s="2062" customFormat="1" ht="18.75" hidden="1" customHeight="1">
      <c r="A292" s="1697"/>
      <c r="B292" s="1697"/>
      <c r="C292" s="305" t="s">
        <v>1216</v>
      </c>
      <c r="D292" s="2659"/>
      <c r="E292" s="2412"/>
      <c r="F292" s="2550"/>
      <c r="G292" s="2635"/>
      <c r="H292" s="1418"/>
      <c r="I292" s="587" t="s">
        <v>1215</v>
      </c>
      <c r="J292" s="507"/>
      <c r="K292" s="1418"/>
      <c r="L292" s="151"/>
      <c r="M292" s="278"/>
      <c r="N292" s="271"/>
      <c r="O292" s="1542"/>
      <c r="P292" s="1542"/>
      <c r="AH292" s="1549">
        <v>0</v>
      </c>
    </row>
    <row r="293" spans="1:34" s="2062" customFormat="1" ht="0.75" hidden="1" customHeight="1">
      <c r="A293" s="1697"/>
      <c r="B293" s="1697"/>
      <c r="C293" s="305" t="s">
        <v>1223</v>
      </c>
      <c r="D293" s="2659"/>
      <c r="E293" s="2412"/>
      <c r="F293" s="2550"/>
      <c r="G293" s="336"/>
      <c r="H293" s="1418"/>
      <c r="I293" s="587"/>
      <c r="J293" s="507"/>
      <c r="K293" s="1418"/>
      <c r="L293" s="151"/>
      <c r="M293" s="278"/>
      <c r="N293" s="271"/>
      <c r="O293" s="1542"/>
      <c r="P293" s="1542"/>
      <c r="AH293" s="1549">
        <v>0</v>
      </c>
    </row>
    <row r="294" spans="1:34" s="2062" customFormat="1" ht="18.75" hidden="1" customHeight="1">
      <c r="A294" s="1697" t="s">
        <v>202</v>
      </c>
      <c r="B294" s="1697" t="s">
        <v>203</v>
      </c>
      <c r="C294" s="305"/>
      <c r="D294" s="2659"/>
      <c r="E294" s="2412"/>
      <c r="F294" s="2550" t="str">
        <f>INDEX(PT_DIFFERENTIATION_VTAR,MATCH(A294,PT_DIFFERENTIATION_VTAR_ID,0))</f>
        <v>Плата за подключение (технологическое присоединение) к системе теплоснабжения (индивидуальная)</v>
      </c>
      <c r="G294" s="2635" t="str">
        <f>INDEX(PT_DIFFERENTIATION_NTAR,MATCH(B294,PT_DIFFERENTIATION_NTAR_ID,0))</f>
        <v/>
      </c>
      <c r="H294" s="1901"/>
      <c r="I294" s="1656"/>
      <c r="J294" s="1690"/>
      <c r="K294" s="1695"/>
      <c r="L294" s="1901" t="s">
        <v>303</v>
      </c>
      <c r="M294" s="278"/>
      <c r="N294" s="271"/>
      <c r="O294" s="1542"/>
      <c r="P294" s="1542"/>
      <c r="AH294" s="1549">
        <v>0</v>
      </c>
    </row>
    <row r="295" spans="1:34" s="2062" customFormat="1" ht="18.75" hidden="1" customHeight="1">
      <c r="A295" s="1697"/>
      <c r="B295" s="1697"/>
      <c r="C295" s="305" t="s">
        <v>1216</v>
      </c>
      <c r="D295" s="2659"/>
      <c r="E295" s="2412"/>
      <c r="F295" s="2550"/>
      <c r="G295" s="2635"/>
      <c r="H295" s="1418"/>
      <c r="I295" s="587" t="s">
        <v>1215</v>
      </c>
      <c r="J295" s="507"/>
      <c r="K295" s="1418"/>
      <c r="L295" s="151"/>
      <c r="M295" s="278"/>
      <c r="N295" s="271"/>
      <c r="O295" s="1542"/>
      <c r="P295" s="1542"/>
      <c r="AH295" s="1549">
        <v>0</v>
      </c>
    </row>
    <row r="296" spans="1:34" s="2062" customFormat="1" ht="0.75" hidden="1" customHeight="1">
      <c r="A296" s="1697"/>
      <c r="B296" s="1697"/>
      <c r="C296" s="305" t="s">
        <v>1223</v>
      </c>
      <c r="D296" s="2659"/>
      <c r="E296" s="2412"/>
      <c r="F296" s="2550"/>
      <c r="G296" s="336"/>
      <c r="H296" s="1418"/>
      <c r="I296" s="587"/>
      <c r="J296" s="507"/>
      <c r="K296" s="1418"/>
      <c r="L296" s="151"/>
      <c r="M296" s="278"/>
      <c r="N296" s="271"/>
      <c r="O296" s="1542"/>
      <c r="P296" s="1542"/>
      <c r="AH296" s="1549">
        <v>0</v>
      </c>
    </row>
    <row r="297" spans="1:34" s="2062" customFormat="1" ht="18.75" hidden="1" customHeight="1">
      <c r="A297" s="1697" t="s">
        <v>222</v>
      </c>
      <c r="B297" s="1697" t="s">
        <v>223</v>
      </c>
      <c r="C297" s="305"/>
      <c r="D297" s="2659"/>
      <c r="E297" s="2412"/>
      <c r="F297" s="2550" t="str">
        <f>INDEX(PT_DIFFERENTIATION_VTAR,MATCH(A297,PT_DIFFERENTIATION_VTAR_ID,0))</f>
        <v>Тариф на питьевую воду (питьевое водоснабжение)</v>
      </c>
      <c r="G297" s="2635" t="str">
        <f>INDEX(PT_DIFFERENTIATION_NTAR,MATCH(B297,PT_DIFFERENTIATION_NTAR_ID,0))</f>
        <v/>
      </c>
      <c r="H297" s="1777"/>
      <c r="I297" s="1656"/>
      <c r="J297" s="1690"/>
      <c r="K297" s="1695"/>
      <c r="L297" s="1777" t="s">
        <v>303</v>
      </c>
      <c r="M297" s="278"/>
      <c r="N297" s="271"/>
      <c r="O297" s="1542"/>
      <c r="P297" s="1542"/>
      <c r="AH297" s="1549">
        <v>0</v>
      </c>
    </row>
    <row r="298" spans="1:34" s="2062" customFormat="1" ht="18.75" hidden="1" customHeight="1">
      <c r="A298" s="1697"/>
      <c r="B298" s="1697"/>
      <c r="C298" s="305" t="s">
        <v>1216</v>
      </c>
      <c r="D298" s="2659"/>
      <c r="E298" s="2412"/>
      <c r="F298" s="2550"/>
      <c r="G298" s="2635"/>
      <c r="H298" s="1418"/>
      <c r="I298" s="587" t="s">
        <v>1215</v>
      </c>
      <c r="J298" s="507"/>
      <c r="K298" s="1418"/>
      <c r="L298" s="151"/>
      <c r="M298" s="278"/>
      <c r="N298" s="271"/>
      <c r="O298" s="1542"/>
      <c r="P298" s="1542"/>
      <c r="AH298" s="1549">
        <v>0</v>
      </c>
    </row>
    <row r="299" spans="1:34" s="2062" customFormat="1" ht="0.75" hidden="1" customHeight="1">
      <c r="A299" s="1697"/>
      <c r="B299" s="1697"/>
      <c r="C299" s="305" t="s">
        <v>1223</v>
      </c>
      <c r="D299" s="2659"/>
      <c r="E299" s="2412"/>
      <c r="F299" s="2550"/>
      <c r="G299" s="336"/>
      <c r="H299" s="1418"/>
      <c r="I299" s="587"/>
      <c r="J299" s="507"/>
      <c r="K299" s="1418"/>
      <c r="L299" s="151"/>
      <c r="M299" s="278"/>
      <c r="N299" s="271"/>
      <c r="O299" s="1542"/>
      <c r="P299" s="1542"/>
      <c r="AH299" s="1549">
        <v>0</v>
      </c>
    </row>
    <row r="300" spans="1:34" s="2062" customFormat="1" ht="18.75" hidden="1" customHeight="1">
      <c r="A300" s="1697" t="s">
        <v>227</v>
      </c>
      <c r="B300" s="1697" t="s">
        <v>228</v>
      </c>
      <c r="C300" s="305"/>
      <c r="D300" s="2659"/>
      <c r="E300" s="2412"/>
      <c r="F300" s="2550" t="str">
        <f>INDEX(PT_DIFFERENTIATION_VTAR,MATCH(A300,PT_DIFFERENTIATION_VTAR_ID,0))</f>
        <v>Тариф на техническую воду</v>
      </c>
      <c r="G300" s="2635" t="str">
        <f>INDEX(PT_DIFFERENTIATION_NTAR,MATCH(B300,PT_DIFFERENTIATION_NTAR_ID,0))</f>
        <v/>
      </c>
      <c r="H300" s="1777"/>
      <c r="I300" s="1656"/>
      <c r="J300" s="1690"/>
      <c r="K300" s="1695"/>
      <c r="L300" s="1777" t="s">
        <v>303</v>
      </c>
      <c r="M300" s="278"/>
      <c r="N300" s="271"/>
      <c r="O300" s="1542"/>
      <c r="P300" s="1542"/>
      <c r="AH300" s="1549">
        <v>0</v>
      </c>
    </row>
    <row r="301" spans="1:34" s="2062" customFormat="1" ht="18.75" hidden="1" customHeight="1">
      <c r="A301" s="1697"/>
      <c r="B301" s="1697"/>
      <c r="C301" s="305" t="s">
        <v>1216</v>
      </c>
      <c r="D301" s="2659"/>
      <c r="E301" s="2412"/>
      <c r="F301" s="2550"/>
      <c r="G301" s="2635"/>
      <c r="H301" s="1418"/>
      <c r="I301" s="587" t="s">
        <v>1215</v>
      </c>
      <c r="J301" s="507"/>
      <c r="K301" s="1418"/>
      <c r="L301" s="151"/>
      <c r="M301" s="278"/>
      <c r="N301" s="271"/>
      <c r="O301" s="1542"/>
      <c r="P301" s="1542"/>
      <c r="AH301" s="1549">
        <v>0</v>
      </c>
    </row>
    <row r="302" spans="1:34" s="2062" customFormat="1" ht="0.75" hidden="1" customHeight="1">
      <c r="A302" s="1697"/>
      <c r="B302" s="1697"/>
      <c r="C302" s="305" t="s">
        <v>1223</v>
      </c>
      <c r="D302" s="2659"/>
      <c r="E302" s="2412"/>
      <c r="F302" s="2550"/>
      <c r="G302" s="336"/>
      <c r="H302" s="1418"/>
      <c r="I302" s="587"/>
      <c r="J302" s="507"/>
      <c r="K302" s="1418"/>
      <c r="L302" s="151"/>
      <c r="M302" s="278"/>
      <c r="N302" s="271"/>
      <c r="O302" s="1542"/>
      <c r="P302" s="1542"/>
      <c r="AH302" s="1549">
        <v>0</v>
      </c>
    </row>
    <row r="303" spans="1:34" s="2062" customFormat="1" ht="18.75" hidden="1" customHeight="1">
      <c r="A303" s="1697" t="s">
        <v>232</v>
      </c>
      <c r="B303" s="1697" t="s">
        <v>233</v>
      </c>
      <c r="C303" s="305"/>
      <c r="D303" s="2659"/>
      <c r="E303" s="2412"/>
      <c r="F303" s="2550" t="str">
        <f>INDEX(PT_DIFFERENTIATION_VTAR,MATCH(A303,PT_DIFFERENTIATION_VTAR_ID,0))</f>
        <v>Тариф на транспортировку воды</v>
      </c>
      <c r="G303" s="2635" t="str">
        <f>INDEX(PT_DIFFERENTIATION_NTAR,MATCH(B303,PT_DIFFERENTIATION_NTAR_ID,0))</f>
        <v/>
      </c>
      <c r="H303" s="1777"/>
      <c r="I303" s="1656"/>
      <c r="J303" s="1690"/>
      <c r="K303" s="1695"/>
      <c r="L303" s="1777" t="s">
        <v>303</v>
      </c>
      <c r="M303" s="278"/>
      <c r="N303" s="271"/>
      <c r="O303" s="1542"/>
      <c r="P303" s="1542"/>
      <c r="AH303" s="1549">
        <v>0</v>
      </c>
    </row>
    <row r="304" spans="1:34" s="2062" customFormat="1" ht="18.75" hidden="1" customHeight="1">
      <c r="A304" s="1697"/>
      <c r="B304" s="1697"/>
      <c r="C304" s="305" t="s">
        <v>1216</v>
      </c>
      <c r="D304" s="2659"/>
      <c r="E304" s="2412"/>
      <c r="F304" s="2550"/>
      <c r="G304" s="2635"/>
      <c r="H304" s="1418"/>
      <c r="I304" s="587" t="s">
        <v>1215</v>
      </c>
      <c r="J304" s="507"/>
      <c r="K304" s="1418"/>
      <c r="L304" s="151"/>
      <c r="M304" s="278"/>
      <c r="N304" s="271"/>
      <c r="O304" s="1542"/>
      <c r="P304" s="1542"/>
      <c r="AH304" s="1549">
        <v>0</v>
      </c>
    </row>
    <row r="305" spans="1:34" s="2062" customFormat="1" ht="0.75" hidden="1" customHeight="1">
      <c r="A305" s="1697"/>
      <c r="B305" s="1697"/>
      <c r="C305" s="305" t="s">
        <v>1223</v>
      </c>
      <c r="D305" s="2659"/>
      <c r="E305" s="2412"/>
      <c r="F305" s="2550"/>
      <c r="G305" s="336"/>
      <c r="H305" s="1418"/>
      <c r="I305" s="587"/>
      <c r="J305" s="507"/>
      <c r="K305" s="1418"/>
      <c r="L305" s="151"/>
      <c r="M305" s="278"/>
      <c r="N305" s="271"/>
      <c r="O305" s="1542"/>
      <c r="P305" s="1542"/>
      <c r="AH305" s="1549">
        <v>0</v>
      </c>
    </row>
    <row r="306" spans="1:34" s="2062" customFormat="1" ht="18.75" hidden="1" customHeight="1">
      <c r="A306" s="1697" t="s">
        <v>237</v>
      </c>
      <c r="B306" s="1697" t="s">
        <v>238</v>
      </c>
      <c r="C306" s="305"/>
      <c r="D306" s="2659"/>
      <c r="E306" s="2412"/>
      <c r="F306" s="2550" t="str">
        <f>INDEX(PT_DIFFERENTIATION_VTAR,MATCH(A306,PT_DIFFERENTIATION_VTAR_ID,0))</f>
        <v>Тариф на подвоз воды</v>
      </c>
      <c r="G306" s="2635" t="str">
        <f>INDEX(PT_DIFFERENTIATION_NTAR,MATCH(B306,PT_DIFFERENTIATION_NTAR_ID,0))</f>
        <v/>
      </c>
      <c r="H306" s="1777"/>
      <c r="I306" s="1656"/>
      <c r="J306" s="1690"/>
      <c r="K306" s="1695"/>
      <c r="L306" s="1777" t="s">
        <v>303</v>
      </c>
      <c r="M306" s="278"/>
      <c r="N306" s="271"/>
      <c r="O306" s="1542"/>
      <c r="P306" s="1542"/>
      <c r="AH306" s="1549">
        <v>0</v>
      </c>
    </row>
    <row r="307" spans="1:34" s="2062" customFormat="1" ht="18.75" hidden="1" customHeight="1">
      <c r="A307" s="1697"/>
      <c r="B307" s="1697"/>
      <c r="C307" s="305" t="s">
        <v>1216</v>
      </c>
      <c r="D307" s="2659"/>
      <c r="E307" s="2412"/>
      <c r="F307" s="2550"/>
      <c r="G307" s="2635"/>
      <c r="H307" s="1418"/>
      <c r="I307" s="587" t="s">
        <v>1215</v>
      </c>
      <c r="J307" s="507"/>
      <c r="K307" s="1418"/>
      <c r="L307" s="151"/>
      <c r="M307" s="278"/>
      <c r="N307" s="271"/>
      <c r="O307" s="1542"/>
      <c r="P307" s="1542"/>
      <c r="AH307" s="1549">
        <v>0</v>
      </c>
    </row>
    <row r="308" spans="1:34" s="2062" customFormat="1" ht="0.75" hidden="1" customHeight="1">
      <c r="A308" s="1697"/>
      <c r="B308" s="1697"/>
      <c r="C308" s="305" t="s">
        <v>1223</v>
      </c>
      <c r="D308" s="2659"/>
      <c r="E308" s="2412"/>
      <c r="F308" s="2550"/>
      <c r="G308" s="336"/>
      <c r="H308" s="1418"/>
      <c r="I308" s="587"/>
      <c r="J308" s="507"/>
      <c r="K308" s="1418"/>
      <c r="L308" s="151"/>
      <c r="M308" s="278"/>
      <c r="N308" s="271"/>
      <c r="O308" s="1542"/>
      <c r="P308" s="1542"/>
      <c r="AH308" s="1549">
        <v>0</v>
      </c>
    </row>
    <row r="309" spans="1:34" s="2062" customFormat="1" ht="18.75" hidden="1" customHeight="1">
      <c r="A309" s="1697" t="s">
        <v>242</v>
      </c>
      <c r="B309" s="1697" t="s">
        <v>243</v>
      </c>
      <c r="C309" s="305"/>
      <c r="D309" s="2659"/>
      <c r="E309" s="2412"/>
      <c r="F309" s="25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35" t="str">
        <f>INDEX(PT_DIFFERENTIATION_NTAR,MATCH(B309,PT_DIFFERENTIATION_NTAR_ID,0))</f>
        <v/>
      </c>
      <c r="H309" s="1777"/>
      <c r="I309" s="1656"/>
      <c r="J309" s="1690"/>
      <c r="K309" s="1695"/>
      <c r="L309" s="1777" t="s">
        <v>303</v>
      </c>
      <c r="M309" s="278"/>
      <c r="N309" s="271"/>
      <c r="O309" s="1542"/>
      <c r="P309" s="1542"/>
      <c r="AH309" s="1549">
        <v>0</v>
      </c>
    </row>
    <row r="310" spans="1:34" s="2062" customFormat="1" ht="18.75" hidden="1" customHeight="1">
      <c r="A310" s="1697"/>
      <c r="B310" s="1697"/>
      <c r="C310" s="305" t="s">
        <v>1216</v>
      </c>
      <c r="D310" s="2659"/>
      <c r="E310" s="2412"/>
      <c r="F310" s="2550"/>
      <c r="G310" s="2635"/>
      <c r="H310" s="1418"/>
      <c r="I310" s="587" t="s">
        <v>1215</v>
      </c>
      <c r="J310" s="507"/>
      <c r="K310" s="1418"/>
      <c r="L310" s="151"/>
      <c r="M310" s="278"/>
      <c r="N310" s="271"/>
      <c r="O310" s="1542"/>
      <c r="P310" s="1542"/>
      <c r="AH310" s="1549">
        <v>0</v>
      </c>
    </row>
    <row r="311" spans="1:34" s="2062" customFormat="1" ht="0.75" hidden="1" customHeight="1">
      <c r="A311" s="1697"/>
      <c r="B311" s="1697"/>
      <c r="C311" s="305" t="s">
        <v>1223</v>
      </c>
      <c r="D311" s="2659"/>
      <c r="E311" s="2412"/>
      <c r="F311" s="2550"/>
      <c r="G311" s="336"/>
      <c r="H311" s="1418"/>
      <c r="I311" s="587"/>
      <c r="J311" s="507"/>
      <c r="K311" s="1418"/>
      <c r="L311" s="151"/>
      <c r="M311" s="278"/>
      <c r="N311" s="271"/>
      <c r="O311" s="1542"/>
      <c r="P311" s="1542"/>
      <c r="AH311" s="1549">
        <v>0</v>
      </c>
    </row>
    <row r="312" spans="1:34" s="2062" customFormat="1" ht="18.75" hidden="1" customHeight="1">
      <c r="A312" s="1697" t="s">
        <v>247</v>
      </c>
      <c r="B312" s="1697" t="s">
        <v>248</v>
      </c>
      <c r="C312" s="305"/>
      <c r="D312" s="2659"/>
      <c r="E312" s="2412"/>
      <c r="F312" s="2550" t="str">
        <f>INDEX(PT_DIFFERENTIATION_VTAR,MATCH(A312,PT_DIFFERENTIATION_VTAR_ID,0))</f>
        <v>Тариф на горячую воду (горячее водоснабжение)</v>
      </c>
      <c r="G312" s="2635" t="str">
        <f>INDEX(PT_DIFFERENTIATION_NTAR,MATCH(B312,PT_DIFFERENTIATION_NTAR_ID,0))</f>
        <v/>
      </c>
      <c r="H312" s="1777"/>
      <c r="I312" s="1656"/>
      <c r="J312" s="1690"/>
      <c r="K312" s="1695"/>
      <c r="L312" s="1777" t="s">
        <v>303</v>
      </c>
      <c r="M312" s="278"/>
      <c r="N312" s="271"/>
      <c r="O312" s="1542"/>
      <c r="P312" s="1542"/>
      <c r="AH312" s="1549">
        <v>0</v>
      </c>
    </row>
    <row r="313" spans="1:34" s="2062" customFormat="1" ht="18.75" hidden="1" customHeight="1">
      <c r="A313" s="1697"/>
      <c r="B313" s="1697"/>
      <c r="C313" s="305" t="s">
        <v>1216</v>
      </c>
      <c r="D313" s="2659"/>
      <c r="E313" s="2412"/>
      <c r="F313" s="2550"/>
      <c r="G313" s="2635"/>
      <c r="H313" s="1418"/>
      <c r="I313" s="587" t="s">
        <v>1215</v>
      </c>
      <c r="J313" s="507"/>
      <c r="K313" s="1418"/>
      <c r="L313" s="151"/>
      <c r="M313" s="278"/>
      <c r="N313" s="271"/>
      <c r="O313" s="1542"/>
      <c r="P313" s="1542"/>
      <c r="AH313" s="1549">
        <v>0</v>
      </c>
    </row>
    <row r="314" spans="1:34" s="2062" customFormat="1" ht="0.75" hidden="1" customHeight="1">
      <c r="A314" s="1697"/>
      <c r="B314" s="1697"/>
      <c r="C314" s="305" t="s">
        <v>1223</v>
      </c>
      <c r="D314" s="2659"/>
      <c r="E314" s="2412"/>
      <c r="F314" s="2550"/>
      <c r="G314" s="336"/>
      <c r="H314" s="1418"/>
      <c r="I314" s="587"/>
      <c r="J314" s="507"/>
      <c r="K314" s="1418"/>
      <c r="L314" s="151"/>
      <c r="M314" s="278"/>
      <c r="N314" s="271"/>
      <c r="O314" s="1542"/>
      <c r="P314" s="1542"/>
      <c r="AH314" s="1549">
        <v>0</v>
      </c>
    </row>
    <row r="315" spans="1:34" s="2062" customFormat="1" ht="18.75" hidden="1" customHeight="1">
      <c r="A315" s="1697" t="s">
        <v>252</v>
      </c>
      <c r="B315" s="1697" t="s">
        <v>253</v>
      </c>
      <c r="C315" s="305"/>
      <c r="D315" s="2659"/>
      <c r="E315" s="2412"/>
      <c r="F315" s="2550" t="str">
        <f>INDEX(PT_DIFFERENTIATION_VTAR,MATCH(A315,PT_DIFFERENTIATION_VTAR_ID,0))</f>
        <v>Тариф на транспортировку горячей воды</v>
      </c>
      <c r="G315" s="2635" t="str">
        <f>INDEX(PT_DIFFERENTIATION_NTAR,MATCH(B315,PT_DIFFERENTIATION_NTAR_ID,0))</f>
        <v/>
      </c>
      <c r="H315" s="1777"/>
      <c r="I315" s="1656"/>
      <c r="J315" s="1690"/>
      <c r="K315" s="1695"/>
      <c r="L315" s="1777" t="s">
        <v>303</v>
      </c>
      <c r="M315" s="278"/>
      <c r="N315" s="271"/>
      <c r="O315" s="1542"/>
      <c r="P315" s="1542"/>
      <c r="AH315" s="1549">
        <v>0</v>
      </c>
    </row>
    <row r="316" spans="1:34" s="2062" customFormat="1" ht="18.75" hidden="1" customHeight="1">
      <c r="A316" s="1697"/>
      <c r="B316" s="1697"/>
      <c r="C316" s="305" t="s">
        <v>1216</v>
      </c>
      <c r="D316" s="2659"/>
      <c r="E316" s="2412"/>
      <c r="F316" s="2550"/>
      <c r="G316" s="2635"/>
      <c r="H316" s="1418"/>
      <c r="I316" s="587" t="s">
        <v>1215</v>
      </c>
      <c r="J316" s="507"/>
      <c r="K316" s="1418"/>
      <c r="L316" s="151"/>
      <c r="M316" s="278"/>
      <c r="N316" s="271"/>
      <c r="O316" s="1542"/>
      <c r="P316" s="1542"/>
      <c r="AH316" s="1549">
        <v>0</v>
      </c>
    </row>
    <row r="317" spans="1:34" s="2062" customFormat="1" ht="0.75" hidden="1" customHeight="1">
      <c r="A317" s="1697"/>
      <c r="B317" s="1697"/>
      <c r="C317" s="305" t="s">
        <v>1223</v>
      </c>
      <c r="D317" s="2659"/>
      <c r="E317" s="2412"/>
      <c r="F317" s="2550"/>
      <c r="G317" s="336"/>
      <c r="H317" s="1418"/>
      <c r="I317" s="587"/>
      <c r="J317" s="507"/>
      <c r="K317" s="1418"/>
      <c r="L317" s="151"/>
      <c r="M317" s="278"/>
      <c r="N317" s="271"/>
      <c r="O317" s="1542"/>
      <c r="P317" s="1542"/>
      <c r="AH317" s="1549">
        <v>0</v>
      </c>
    </row>
    <row r="318" spans="1:34" s="2062" customFormat="1" ht="18.75" hidden="1" customHeight="1">
      <c r="A318" s="1697" t="s">
        <v>257</v>
      </c>
      <c r="B318" s="1697" t="s">
        <v>258</v>
      </c>
      <c r="C318" s="305"/>
      <c r="D318" s="2659"/>
      <c r="E318" s="2412"/>
      <c r="F318" s="25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35" t="str">
        <f>INDEX(PT_DIFFERENTIATION_NTAR,MATCH(B318,PT_DIFFERENTIATION_NTAR_ID,0))</f>
        <v/>
      </c>
      <c r="H318" s="1777"/>
      <c r="I318" s="1656"/>
      <c r="J318" s="1690"/>
      <c r="K318" s="1695"/>
      <c r="L318" s="1777" t="s">
        <v>303</v>
      </c>
      <c r="M318" s="278"/>
      <c r="N318" s="271"/>
      <c r="O318" s="1542"/>
      <c r="P318" s="1542"/>
      <c r="AH318" s="1549">
        <v>0</v>
      </c>
    </row>
    <row r="319" spans="1:34" s="2062" customFormat="1" ht="18.75" hidden="1" customHeight="1">
      <c r="A319" s="1697"/>
      <c r="B319" s="1697"/>
      <c r="C319" s="305" t="s">
        <v>1216</v>
      </c>
      <c r="D319" s="2659"/>
      <c r="E319" s="2412"/>
      <c r="F319" s="2550"/>
      <c r="G319" s="2635"/>
      <c r="H319" s="1418"/>
      <c r="I319" s="587" t="s">
        <v>1215</v>
      </c>
      <c r="J319" s="507"/>
      <c r="K319" s="1418"/>
      <c r="L319" s="151"/>
      <c r="M319" s="278"/>
      <c r="N319" s="271"/>
      <c r="O319" s="1542"/>
      <c r="P319" s="1542"/>
      <c r="AH319" s="1549">
        <v>0</v>
      </c>
    </row>
    <row r="320" spans="1:34" s="2062" customFormat="1" ht="0.75" hidden="1" customHeight="1">
      <c r="A320" s="1697"/>
      <c r="B320" s="1697"/>
      <c r="C320" s="305" t="s">
        <v>1223</v>
      </c>
      <c r="D320" s="2659"/>
      <c r="E320" s="2412"/>
      <c r="F320" s="2550"/>
      <c r="G320" s="336"/>
      <c r="H320" s="1418"/>
      <c r="I320" s="587"/>
      <c r="J320" s="507"/>
      <c r="K320" s="1418"/>
      <c r="L320" s="151"/>
      <c r="M320" s="278"/>
      <c r="N320" s="271"/>
      <c r="O320" s="1542"/>
      <c r="P320" s="1542"/>
      <c r="AH320" s="1549">
        <v>0</v>
      </c>
    </row>
    <row r="321" spans="1:34" s="2062" customFormat="1" ht="18.75" hidden="1" customHeight="1">
      <c r="A321" s="1697" t="s">
        <v>262</v>
      </c>
      <c r="B321" s="1697" t="s">
        <v>263</v>
      </c>
      <c r="C321" s="305"/>
      <c r="D321" s="2659"/>
      <c r="E321" s="2412"/>
      <c r="F321" s="2550" t="str">
        <f>INDEX(PT_DIFFERENTIATION_VTAR,MATCH(A321,PT_DIFFERENTIATION_VTAR_ID,0))</f>
        <v>Тариф на водоотведение</v>
      </c>
      <c r="G321" s="2635" t="str">
        <f>INDEX(PT_DIFFERENTIATION_NTAR,MATCH(B321,PT_DIFFERENTIATION_NTAR_ID,0))</f>
        <v/>
      </c>
      <c r="H321" s="1777"/>
      <c r="I321" s="1656"/>
      <c r="J321" s="1690"/>
      <c r="K321" s="1695"/>
      <c r="L321" s="1777" t="s">
        <v>303</v>
      </c>
      <c r="M321" s="278"/>
      <c r="N321" s="271"/>
      <c r="O321" s="1542"/>
      <c r="P321" s="1542"/>
      <c r="AH321" s="1549">
        <v>0</v>
      </c>
    </row>
    <row r="322" spans="1:34" s="2062" customFormat="1" ht="18.75" hidden="1" customHeight="1">
      <c r="A322" s="1697"/>
      <c r="B322" s="1697"/>
      <c r="C322" s="305" t="s">
        <v>1216</v>
      </c>
      <c r="D322" s="2659"/>
      <c r="E322" s="2412"/>
      <c r="F322" s="2550"/>
      <c r="G322" s="2635"/>
      <c r="H322" s="1418"/>
      <c r="I322" s="587" t="s">
        <v>1215</v>
      </c>
      <c r="J322" s="507"/>
      <c r="K322" s="1418"/>
      <c r="L322" s="151"/>
      <c r="M322" s="278"/>
      <c r="N322" s="271"/>
      <c r="O322" s="1542"/>
      <c r="P322" s="1542"/>
      <c r="AH322" s="1549">
        <v>0</v>
      </c>
    </row>
    <row r="323" spans="1:34" s="2062" customFormat="1" ht="0.75" hidden="1" customHeight="1">
      <c r="A323" s="1697"/>
      <c r="B323" s="1697"/>
      <c r="C323" s="305" t="s">
        <v>1223</v>
      </c>
      <c r="D323" s="2659"/>
      <c r="E323" s="2412"/>
      <c r="F323" s="2550"/>
      <c r="G323" s="336"/>
      <c r="H323" s="1418"/>
      <c r="I323" s="587"/>
      <c r="J323" s="507"/>
      <c r="K323" s="1418"/>
      <c r="L323" s="151"/>
      <c r="M323" s="278"/>
      <c r="N323" s="271"/>
      <c r="O323" s="1542"/>
      <c r="P323" s="1542"/>
      <c r="AH323" s="1549">
        <v>0</v>
      </c>
    </row>
    <row r="324" spans="1:34" s="2062" customFormat="1" ht="18.75" hidden="1" customHeight="1">
      <c r="A324" s="1697" t="s">
        <v>267</v>
      </c>
      <c r="B324" s="1697" t="s">
        <v>268</v>
      </c>
      <c r="C324" s="305"/>
      <c r="D324" s="2659"/>
      <c r="E324" s="2412"/>
      <c r="F324" s="2550" t="str">
        <f>INDEX(PT_DIFFERENTIATION_VTAR,MATCH(A324,PT_DIFFERENTIATION_VTAR_ID,0))</f>
        <v>Тариф на транспортировку сточных вод</v>
      </c>
      <c r="G324" s="2635" t="str">
        <f>INDEX(PT_DIFFERENTIATION_NTAR,MATCH(B324,PT_DIFFERENTIATION_NTAR_ID,0))</f>
        <v/>
      </c>
      <c r="H324" s="1777"/>
      <c r="I324" s="1656"/>
      <c r="J324" s="1690"/>
      <c r="K324" s="1695"/>
      <c r="L324" s="1777" t="s">
        <v>303</v>
      </c>
      <c r="M324" s="278"/>
      <c r="N324" s="271"/>
      <c r="O324" s="1542"/>
      <c r="P324" s="1542"/>
      <c r="AH324" s="1549">
        <v>0</v>
      </c>
    </row>
    <row r="325" spans="1:34" s="2062" customFormat="1" ht="18.75" hidden="1" customHeight="1">
      <c r="A325" s="1697"/>
      <c r="B325" s="1697"/>
      <c r="C325" s="305" t="s">
        <v>1216</v>
      </c>
      <c r="D325" s="2659"/>
      <c r="E325" s="2412"/>
      <c r="F325" s="2550"/>
      <c r="G325" s="2635"/>
      <c r="H325" s="1418"/>
      <c r="I325" s="587" t="s">
        <v>1215</v>
      </c>
      <c r="J325" s="507"/>
      <c r="K325" s="1418"/>
      <c r="L325" s="151"/>
      <c r="M325" s="278"/>
      <c r="N325" s="271"/>
      <c r="O325" s="1542"/>
      <c r="P325" s="1542"/>
      <c r="AH325" s="1549">
        <v>0</v>
      </c>
    </row>
    <row r="326" spans="1:34" s="2062" customFormat="1" ht="0.75" hidden="1" customHeight="1">
      <c r="A326" s="1697"/>
      <c r="B326" s="1697"/>
      <c r="C326" s="305" t="s">
        <v>1223</v>
      </c>
      <c r="D326" s="2659"/>
      <c r="E326" s="2412"/>
      <c r="F326" s="2550"/>
      <c r="G326" s="336"/>
      <c r="H326" s="1418"/>
      <c r="I326" s="587"/>
      <c r="J326" s="507"/>
      <c r="K326" s="1418"/>
      <c r="L326" s="151"/>
      <c r="M326" s="278"/>
      <c r="N326" s="271"/>
      <c r="O326" s="1542"/>
      <c r="P326" s="1542"/>
      <c r="AH326" s="1549">
        <v>0</v>
      </c>
    </row>
    <row r="327" spans="1:34" s="2062" customFormat="1" ht="18.75" hidden="1" customHeight="1">
      <c r="A327" s="1697" t="s">
        <v>272</v>
      </c>
      <c r="B327" s="1697" t="s">
        <v>273</v>
      </c>
      <c r="C327" s="305"/>
      <c r="D327" s="2659"/>
      <c r="E327" s="2412"/>
      <c r="F327" s="2550" t="str">
        <f>INDEX(PT_DIFFERENTIATION_VTAR,MATCH(A327,PT_DIFFERENTIATION_VTAR_ID,0))</f>
        <v>Тариф на подключение (технологическое присоединение) к централизованной системе водоотведения</v>
      </c>
      <c r="G327" s="2635" t="str">
        <f>INDEX(PT_DIFFERENTIATION_NTAR,MATCH(B327,PT_DIFFERENTIATION_NTAR_ID,0))</f>
        <v/>
      </c>
      <c r="H327" s="1777"/>
      <c r="I327" s="1656"/>
      <c r="J327" s="1690"/>
      <c r="K327" s="1695"/>
      <c r="L327" s="1777" t="s">
        <v>303</v>
      </c>
      <c r="M327" s="278"/>
      <c r="N327" s="271"/>
      <c r="O327" s="1542"/>
      <c r="P327" s="1542"/>
      <c r="AH327" s="1549">
        <v>0</v>
      </c>
    </row>
    <row r="328" spans="1:34" s="2062" customFormat="1" ht="18.75" hidden="1" customHeight="1">
      <c r="A328" s="1697"/>
      <c r="B328" s="1697"/>
      <c r="C328" s="305" t="s">
        <v>1216</v>
      </c>
      <c r="D328" s="2659"/>
      <c r="E328" s="2412"/>
      <c r="F328" s="2550"/>
      <c r="G328" s="2635"/>
      <c r="H328" s="1418"/>
      <c r="I328" s="587" t="s">
        <v>1215</v>
      </c>
      <c r="J328" s="507"/>
      <c r="K328" s="1418"/>
      <c r="L328" s="151"/>
      <c r="M328" s="278"/>
      <c r="N328" s="271"/>
      <c r="O328" s="1542"/>
      <c r="P328" s="1542"/>
      <c r="AH328" s="1549">
        <v>0</v>
      </c>
    </row>
    <row r="329" spans="1:34" s="2062" customFormat="1" ht="1.1499999999999999" customHeight="1">
      <c r="A329" s="1697"/>
      <c r="B329" s="1697"/>
      <c r="C329" s="305" t="s">
        <v>1223</v>
      </c>
      <c r="D329" s="2659"/>
      <c r="E329" s="2412"/>
      <c r="F329" s="2550"/>
      <c r="G329" s="336"/>
      <c r="H329" s="1418"/>
      <c r="I329" s="587"/>
      <c r="J329" s="507"/>
      <c r="K329" s="1418"/>
      <c r="L329" s="151"/>
      <c r="M329" s="278"/>
      <c r="N329" s="271"/>
      <c r="O329" s="1542"/>
      <c r="P329" s="1542"/>
      <c r="AH329" s="1549">
        <v>1</v>
      </c>
    </row>
    <row r="330" spans="1:34" s="2093"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455"/>
      <c r="G331" s="2455"/>
      <c r="H331" s="2455"/>
      <c r="I331" s="2455"/>
      <c r="J331" s="2455"/>
      <c r="K331" s="2455"/>
      <c r="L331" s="2455"/>
      <c r="M331" s="2455"/>
      <c r="AH331" s="310">
        <v>25</v>
      </c>
    </row>
    <row r="332" spans="1:34" ht="14.25" hidden="1" customHeight="1">
      <c r="A332" s="1696" t="s">
        <v>84</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109" hidden="1" customWidth="1"/>
    <col min="2" max="2" width="9.140625" style="2056" hidden="1" customWidth="1"/>
    <col min="3" max="3" width="3" style="2059" customWidth="1"/>
    <col min="4" max="4" width="6" style="2062" customWidth="1"/>
    <col min="5" max="5" width="53" style="2062" customWidth="1"/>
    <col min="6" max="7" width="35" style="2062" customWidth="1"/>
    <col min="8" max="8" width="89" style="2062" customWidth="1"/>
    <col min="9" max="9" width="10" style="2062" customWidth="1"/>
    <col min="10" max="11" width="10" style="2057" customWidth="1"/>
    <col min="12" max="17" width="10" style="2062" customWidth="1"/>
    <col min="18" max="18" width="10.5703125" style="2062" hidden="1"/>
  </cols>
  <sheetData>
    <row r="1" spans="1:18" ht="22.5" hidden="1" customHeight="1">
      <c r="N1" s="192"/>
      <c r="O1" s="192"/>
      <c r="Q1" s="192"/>
      <c r="R1" s="310" t="s">
        <v>14</v>
      </c>
    </row>
    <row r="2" spans="1:18" s="2062" customFormat="1" ht="18.75" hidden="1" customHeight="1">
      <c r="A2" s="42"/>
      <c r="B2" s="1078"/>
      <c r="C2" s="1647" t="s">
        <v>686</v>
      </c>
      <c r="D2" s="1591"/>
      <c r="E2" s="1600"/>
      <c r="F2" s="194"/>
      <c r="G2" s="1079"/>
      <c r="H2" s="310"/>
      <c r="I2" s="1542"/>
      <c r="J2" s="1542"/>
      <c r="R2" s="1549">
        <v>0</v>
      </c>
    </row>
    <row r="3" spans="1:18" ht="14.25" hidden="1" customHeight="1">
      <c r="R3" s="310">
        <v>0</v>
      </c>
    </row>
    <row r="4" spans="1:18" ht="6.4" customHeight="1">
      <c r="C4" s="312"/>
      <c r="D4" s="299"/>
      <c r="E4" s="299"/>
      <c r="F4" s="299"/>
      <c r="G4" s="25"/>
      <c r="H4" s="25"/>
      <c r="R4" s="310">
        <v>6</v>
      </c>
    </row>
    <row r="5" spans="1:18" ht="34.5" customHeight="1">
      <c r="C5" s="312"/>
      <c r="D5" s="23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79"/>
      <c r="F5" s="2379"/>
      <c r="G5" s="2380"/>
      <c r="H5" s="203"/>
      <c r="R5" s="310">
        <v>33</v>
      </c>
    </row>
    <row r="6" spans="1:18" s="2062" customFormat="1" ht="18" customHeight="1">
      <c r="A6" s="1587"/>
      <c r="B6" s="1078"/>
      <c r="C6" s="312"/>
      <c r="D6" s="2431" t="str">
        <f>IF(org=0,"Не определено",org)</f>
        <v>ПАО "ТГК-1" филиал "Невский"</v>
      </c>
      <c r="E6" s="2432"/>
      <c r="F6" s="2432"/>
      <c r="G6" s="2433"/>
      <c r="H6" s="203"/>
      <c r="J6" s="1542"/>
      <c r="K6" s="1542"/>
      <c r="R6" s="1549">
        <v>17</v>
      </c>
    </row>
    <row r="7" spans="1:18" ht="14.65" customHeight="1">
      <c r="C7" s="312"/>
      <c r="D7" s="299"/>
      <c r="E7" s="325"/>
      <c r="F7" s="325"/>
      <c r="G7" s="688"/>
      <c r="H7" s="130"/>
      <c r="R7" s="310">
        <v>14</v>
      </c>
    </row>
    <row r="8" spans="1:18" ht="14.65" customHeight="1">
      <c r="C8" s="312"/>
      <c r="D8" s="2417" t="s">
        <v>297</v>
      </c>
      <c r="E8" s="2417"/>
      <c r="F8" s="2417"/>
      <c r="G8" s="2417"/>
      <c r="H8" s="2560" t="s">
        <v>298</v>
      </c>
      <c r="R8" s="310">
        <v>14</v>
      </c>
    </row>
    <row r="9" spans="1:18" ht="24" customHeight="1">
      <c r="C9" s="312"/>
      <c r="D9" s="322" t="s">
        <v>90</v>
      </c>
      <c r="E9" s="48" t="s">
        <v>299</v>
      </c>
      <c r="F9" s="48" t="s">
        <v>300</v>
      </c>
      <c r="G9" s="48" t="s">
        <v>387</v>
      </c>
      <c r="H9" s="2560"/>
      <c r="R9" s="310">
        <v>23</v>
      </c>
    </row>
    <row r="10" spans="1:18" ht="14.65" customHeight="1">
      <c r="A10" s="280"/>
      <c r="C10" s="312"/>
      <c r="D10" s="85" t="s">
        <v>108</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72" t="s">
        <v>1224</v>
      </c>
      <c r="R10" s="310">
        <v>14</v>
      </c>
    </row>
    <row r="11" spans="1:18" ht="14.65" customHeight="1">
      <c r="A11" s="280"/>
      <c r="C11" s="312"/>
      <c r="D11" s="85" t="s">
        <v>109</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73"/>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0"/>
      <c r="H12" s="23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73"/>
      <c r="I13" s="286"/>
      <c r="K13" s="310"/>
      <c r="R13" s="310">
        <v>14</v>
      </c>
    </row>
    <row r="14" spans="1:18" ht="14.65" customHeight="1">
      <c r="A14" s="280"/>
      <c r="C14" s="312"/>
      <c r="D14" s="284"/>
      <c r="E14" s="331" t="s">
        <v>319</v>
      </c>
      <c r="F14" s="285"/>
      <c r="G14" s="138"/>
      <c r="H14" s="2374"/>
      <c r="R14" s="310">
        <v>14</v>
      </c>
    </row>
    <row r="15" spans="1:18" s="2062" customFormat="1" ht="14.65" customHeight="1">
      <c r="A15" s="280"/>
      <c r="B15" s="1078"/>
      <c r="C15" s="312"/>
      <c r="D15" s="332"/>
      <c r="E15" s="1595"/>
      <c r="F15" s="1596"/>
      <c r="G15" s="1597"/>
      <c r="H15" s="1598"/>
      <c r="J15" s="1542"/>
      <c r="K15" s="1542"/>
      <c r="R15" s="1549">
        <v>14</v>
      </c>
    </row>
    <row r="16" spans="1:18" ht="14.65" customHeight="1">
      <c r="D16" s="1599"/>
      <c r="E16" s="2455"/>
      <c r="F16" s="2455"/>
      <c r="G16" s="2455"/>
      <c r="H16" s="2455"/>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57" hidden="1" customWidth="1"/>
    <col min="3" max="3" width="3" style="2098" customWidth="1"/>
    <col min="4" max="4" width="6" style="2098" customWidth="1"/>
    <col min="5" max="5" width="42" style="2098" customWidth="1"/>
    <col min="6" max="6" width="15" style="2098" customWidth="1"/>
    <col min="7" max="7" width="42" style="2098" customWidth="1"/>
    <col min="8" max="8" width="3" style="2098" customWidth="1"/>
    <col min="9" max="9" width="5" style="2098" customWidth="1"/>
    <col min="10" max="10" width="47" style="2098" customWidth="1"/>
    <col min="11" max="12" width="3" style="2098" customWidth="1"/>
    <col min="13" max="13" width="5" style="2098" customWidth="1"/>
    <col min="14" max="14" width="28" style="2098" customWidth="1"/>
    <col min="15" max="16" width="3" style="2098" customWidth="1"/>
    <col min="17" max="17" width="5" style="2098" customWidth="1"/>
    <col min="18" max="18" width="34" style="2098" customWidth="1"/>
    <col min="19" max="20" width="3.7109375" style="2098" customWidth="1"/>
    <col min="21" max="21" width="5.7109375" style="2098" customWidth="1"/>
    <col min="22" max="22" width="34.42578125" style="2098" customWidth="1"/>
    <col min="23" max="23" width="30" style="2098" customWidth="1"/>
    <col min="24" max="24" width="3" style="2098" customWidth="1"/>
    <col min="25" max="28" width="9.85546875" style="2065" hidden="1" customWidth="1"/>
    <col min="29" max="29" width="27" style="2065" hidden="1" customWidth="1"/>
    <col min="30" max="30" width="10.5703125" style="2065" hidden="1" customWidth="1"/>
    <col min="31" max="31" width="10.7109375" style="2065" hidden="1" customWidth="1"/>
    <col min="32" max="32" width="10" style="2065" hidden="1" customWidth="1"/>
    <col min="33" max="33" width="12.85546875" style="2065" hidden="1" customWidth="1"/>
    <col min="34" max="34" width="24.42578125" style="2065" hidden="1" customWidth="1"/>
    <col min="35" max="35" width="15.85546875" style="2065" hidden="1" customWidth="1"/>
    <col min="36" max="36" width="19.42578125" style="2065" hidden="1" customWidth="1"/>
    <col min="37" max="37" width="11" style="2065" hidden="1" customWidth="1"/>
    <col min="38" max="38" width="23.5703125" style="2065" hidden="1" customWidth="1"/>
    <col min="39" max="39" width="23.85546875" style="2065" hidden="1" customWidth="1"/>
    <col min="40" max="40" width="25.28515625" style="2065" hidden="1" customWidth="1"/>
    <col min="41" max="41" width="16.85546875" style="2065" hidden="1" customWidth="1"/>
    <col min="42" max="42" width="29.5703125" style="2065" hidden="1" customWidth="1"/>
    <col min="43" max="43" width="29.85546875" style="2065" hidden="1" customWidth="1"/>
    <col min="44" max="44" width="9.140625" style="209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1" customFormat="1" ht="30.4" customHeight="1">
      <c r="A5" s="92"/>
      <c r="B5" s="92"/>
      <c r="D5" s="23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79"/>
      <c r="F5" s="2379"/>
      <c r="G5" s="2379"/>
      <c r="H5" s="2379"/>
      <c r="I5" s="2379"/>
      <c r="J5" s="2380"/>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011" customFormat="1" ht="14.65" customHeight="1">
      <c r="A6" s="521"/>
      <c r="B6" s="521"/>
      <c r="C6" s="521"/>
      <c r="D6" s="2384" t="str">
        <f>IF(org=0,"Не определено",org)</f>
        <v>ПАО "ТГК-1" филиал "Невский"</v>
      </c>
      <c r="E6" s="2384"/>
      <c r="F6" s="2384"/>
      <c r="G6" s="2384"/>
      <c r="H6" s="2384"/>
      <c r="I6" s="2384"/>
      <c r="J6" s="2384"/>
      <c r="K6" s="522"/>
      <c r="L6" s="522"/>
      <c r="M6" s="522"/>
      <c r="N6" s="522"/>
      <c r="O6" s="796"/>
      <c r="P6" s="796"/>
      <c r="Q6" s="796"/>
      <c r="R6" s="796"/>
      <c r="S6" s="796"/>
      <c r="T6" s="796"/>
      <c r="U6" s="796"/>
      <c r="V6" s="796"/>
      <c r="W6" s="796"/>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010" customFormat="1" ht="11.45" customHeight="1">
      <c r="A7" s="148"/>
      <c r="B7" s="148"/>
      <c r="D7" s="2381"/>
      <c r="E7" s="2382"/>
      <c r="F7" s="2382"/>
      <c r="G7" s="2382"/>
      <c r="H7" s="2382"/>
      <c r="I7" s="2382"/>
      <c r="J7" s="2383"/>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01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328" t="s">
        <v>90</v>
      </c>
      <c r="E9" s="2310" t="s">
        <v>121</v>
      </c>
      <c r="F9" s="2309"/>
      <c r="G9" s="2328" t="s">
        <v>104</v>
      </c>
      <c r="H9" s="2328" t="s">
        <v>90</v>
      </c>
      <c r="I9" s="2328"/>
      <c r="J9" s="2328" t="s">
        <v>122</v>
      </c>
      <c r="K9" s="2385" t="s">
        <v>123</v>
      </c>
      <c r="L9" s="2385"/>
      <c r="M9" s="2385"/>
      <c r="N9" s="2385"/>
      <c r="O9" s="2385" t="s">
        <v>124</v>
      </c>
      <c r="P9" s="2385"/>
      <c r="Q9" s="2385"/>
      <c r="R9" s="2385"/>
      <c r="S9" s="2385" t="s">
        <v>125</v>
      </c>
      <c r="T9" s="2385"/>
      <c r="U9" s="2385"/>
      <c r="V9" s="2385"/>
      <c r="W9" s="2328" t="s">
        <v>126</v>
      </c>
      <c r="AR9" s="44">
        <v>27</v>
      </c>
    </row>
    <row r="10" spans="1:44" ht="31.5" customHeight="1">
      <c r="D10" s="2328"/>
      <c r="E10" s="1202" t="s">
        <v>91</v>
      </c>
      <c r="F10" s="1202" t="s">
        <v>127</v>
      </c>
      <c r="G10" s="2328"/>
      <c r="H10" s="2328"/>
      <c r="I10" s="2328"/>
      <c r="J10" s="2328"/>
      <c r="K10" s="50" t="s">
        <v>107</v>
      </c>
      <c r="L10" s="2328" t="s">
        <v>90</v>
      </c>
      <c r="M10" s="2328"/>
      <c r="N10" s="50" t="s">
        <v>128</v>
      </c>
      <c r="O10" s="50" t="s">
        <v>107</v>
      </c>
      <c r="P10" s="2328" t="s">
        <v>90</v>
      </c>
      <c r="Q10" s="2328"/>
      <c r="R10" s="50" t="s">
        <v>128</v>
      </c>
      <c r="S10" s="220" t="s">
        <v>107</v>
      </c>
      <c r="T10" s="2328" t="s">
        <v>90</v>
      </c>
      <c r="U10" s="2328"/>
      <c r="V10" s="220" t="s">
        <v>91</v>
      </c>
      <c r="W10" s="2328"/>
      <c r="Z10" s="1177" t="s">
        <v>129</v>
      </c>
      <c r="AA10" s="1177" t="s">
        <v>130</v>
      </c>
      <c r="AB10" s="1177" t="s">
        <v>131</v>
      </c>
      <c r="AC10" s="1177" t="s">
        <v>132</v>
      </c>
      <c r="AD10" s="1177" t="s">
        <v>133</v>
      </c>
      <c r="AE10" s="1177" t="s">
        <v>134</v>
      </c>
      <c r="AF10" s="1177" t="s">
        <v>135</v>
      </c>
      <c r="AG10" s="1177" t="s">
        <v>136</v>
      </c>
      <c r="AH10" s="1177" t="s">
        <v>137</v>
      </c>
      <c r="AI10" s="1177" t="s">
        <v>138</v>
      </c>
      <c r="AJ10" s="1177" t="s">
        <v>139</v>
      </c>
      <c r="AK10" s="1177" t="s">
        <v>140</v>
      </c>
      <c r="AL10" s="1177" t="s">
        <v>141</v>
      </c>
      <c r="AM10" s="1177" t="s">
        <v>142</v>
      </c>
      <c r="AN10" s="1177" t="s">
        <v>143</v>
      </c>
      <c r="AO10" s="1177" t="s">
        <v>144</v>
      </c>
      <c r="AP10" s="1177" t="s">
        <v>145</v>
      </c>
      <c r="AQ10" s="1177" t="s">
        <v>146</v>
      </c>
      <c r="AR10" s="44">
        <v>30</v>
      </c>
    </row>
    <row r="11" spans="1:44" s="2057" customFormat="1" ht="12" hidden="1" customHeight="1">
      <c r="D11" s="1167" t="s">
        <v>108</v>
      </c>
      <c r="E11" s="1167" t="s">
        <v>109</v>
      </c>
      <c r="F11" s="1167"/>
      <c r="G11" s="1167" t="s">
        <v>92</v>
      </c>
      <c r="H11" s="2377" t="s">
        <v>110</v>
      </c>
      <c r="I11" s="2377"/>
      <c r="J11" s="1167" t="s">
        <v>94</v>
      </c>
      <c r="K11" s="1167" t="s">
        <v>95</v>
      </c>
      <c r="L11" s="2377" t="s">
        <v>111</v>
      </c>
      <c r="M11" s="2377"/>
      <c r="N11" s="1167" t="s">
        <v>147</v>
      </c>
      <c r="O11" s="1167" t="s">
        <v>148</v>
      </c>
      <c r="P11" s="2377" t="s">
        <v>149</v>
      </c>
      <c r="Q11" s="2377"/>
      <c r="R11" s="1167" t="s">
        <v>150</v>
      </c>
      <c r="S11" s="1167" t="s">
        <v>149</v>
      </c>
      <c r="T11" s="2377" t="s">
        <v>150</v>
      </c>
      <c r="U11" s="2377"/>
      <c r="V11" s="1167" t="s">
        <v>151</v>
      </c>
      <c r="W11" s="1167" t="s">
        <v>152</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98" customFormat="1" ht="17.25" hidden="1" customHeight="1">
      <c r="A13" s="258"/>
      <c r="C13" s="146"/>
      <c r="D13" s="2361">
        <v>1</v>
      </c>
      <c r="E13" s="2350" t="s">
        <v>153</v>
      </c>
      <c r="F13" s="2363" t="s">
        <v>19</v>
      </c>
      <c r="G13" s="2350"/>
      <c r="H13" s="2352"/>
      <c r="I13" s="2354"/>
      <c r="J13" s="2356"/>
      <c r="K13" s="2348"/>
      <c r="L13" s="2348"/>
      <c r="M13" s="2348"/>
      <c r="N13" s="2359"/>
      <c r="O13" s="2348"/>
      <c r="P13" s="2348"/>
      <c r="Q13" s="2348"/>
      <c r="R13" s="2346"/>
      <c r="S13" s="2348"/>
      <c r="T13" s="1338"/>
      <c r="U13" s="1338"/>
      <c r="V13" s="1337"/>
      <c r="W13" s="1214"/>
      <c r="Y13" s="1185"/>
      <c r="Z13" s="1185"/>
      <c r="AA13" s="1185"/>
      <c r="AB13" s="1185"/>
      <c r="AC13" s="1185" t="s">
        <v>154</v>
      </c>
      <c r="AD13" s="1185" t="s">
        <v>155</v>
      </c>
      <c r="AE13" s="1185" t="s">
        <v>156</v>
      </c>
      <c r="AF13" s="1185" t="s">
        <v>157</v>
      </c>
      <c r="AG13" s="1185" t="s">
        <v>158</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098" customFormat="1" ht="17.25" hidden="1" customHeight="1">
      <c r="A14" s="258"/>
      <c r="C14" s="257"/>
      <c r="D14" s="2361"/>
      <c r="E14" s="2350"/>
      <c r="F14" s="2364"/>
      <c r="G14" s="2350"/>
      <c r="H14" s="2353"/>
      <c r="I14" s="2355"/>
      <c r="J14" s="2357"/>
      <c r="K14" s="2349"/>
      <c r="L14" s="2349"/>
      <c r="M14" s="2349"/>
      <c r="N14" s="2360"/>
      <c r="O14" s="2349"/>
      <c r="P14" s="2349"/>
      <c r="Q14" s="2349"/>
      <c r="R14" s="2347"/>
      <c r="S14" s="2349"/>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098" customFormat="1" ht="17.25" hidden="1" customHeight="1">
      <c r="A15" s="258"/>
      <c r="C15" s="146"/>
      <c r="D15" s="2361"/>
      <c r="E15" s="2350"/>
      <c r="F15" s="2364"/>
      <c r="G15" s="2350"/>
      <c r="H15" s="2353"/>
      <c r="I15" s="2355"/>
      <c r="J15" s="2358"/>
      <c r="K15" s="2349"/>
      <c r="L15" s="2349"/>
      <c r="M15" s="2349"/>
      <c r="N15" s="2347"/>
      <c r="O15" s="2349"/>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98" customFormat="1" ht="17.25" hidden="1" customHeight="1">
      <c r="A16" s="258"/>
      <c r="C16" s="257"/>
      <c r="D16" s="2361"/>
      <c r="E16" s="2350"/>
      <c r="F16" s="2364"/>
      <c r="G16" s="2350"/>
      <c r="H16" s="2353"/>
      <c r="I16" s="2355"/>
      <c r="J16" s="2358"/>
      <c r="K16" s="2349"/>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98" customFormat="1" ht="17.25" hidden="1" customHeight="1">
      <c r="A17" s="258"/>
      <c r="C17" s="257"/>
      <c r="D17" s="2362"/>
      <c r="E17" s="2351"/>
      <c r="F17" s="2365"/>
      <c r="G17" s="2351"/>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098" customFormat="1" ht="17.25" hidden="1" customHeight="1">
      <c r="A18" s="258"/>
      <c r="C18" s="146"/>
      <c r="D18" s="2361">
        <v>2</v>
      </c>
      <c r="E18" s="2375"/>
      <c r="F18" s="2363" t="s">
        <v>19</v>
      </c>
      <c r="G18" s="2350"/>
      <c r="H18" s="2352"/>
      <c r="I18" s="2354"/>
      <c r="J18" s="2356"/>
      <c r="K18" s="2348"/>
      <c r="L18" s="2348"/>
      <c r="M18" s="2348"/>
      <c r="N18" s="2359"/>
      <c r="O18" s="2348"/>
      <c r="P18" s="2348"/>
      <c r="Q18" s="2348"/>
      <c r="R18" s="2346"/>
      <c r="S18" s="2348"/>
      <c r="T18" s="1338"/>
      <c r="U18" s="1338"/>
      <c r="V18" s="1337"/>
      <c r="W18" s="1214"/>
      <c r="X18" s="1185"/>
      <c r="Y18" s="1185"/>
      <c r="Z18" s="1185"/>
      <c r="AA18" s="1185"/>
      <c r="AB18" s="1185"/>
      <c r="AC18" s="1185" t="s">
        <v>159</v>
      </c>
      <c r="AD18" s="1185" t="s">
        <v>160</v>
      </c>
      <c r="AE18" s="1185" t="s">
        <v>161</v>
      </c>
      <c r="AF18" s="1185" t="s">
        <v>162</v>
      </c>
      <c r="AG18" s="1185" t="s">
        <v>163</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098" customFormat="1" ht="17.25" hidden="1" customHeight="1">
      <c r="A19" s="258"/>
      <c r="C19" s="257"/>
      <c r="D19" s="2361"/>
      <c r="E19" s="2375"/>
      <c r="F19" s="2364"/>
      <c r="G19" s="2350"/>
      <c r="H19" s="2353"/>
      <c r="I19" s="2355"/>
      <c r="J19" s="2357"/>
      <c r="K19" s="2349"/>
      <c r="L19" s="2349"/>
      <c r="M19" s="2349"/>
      <c r="N19" s="2360"/>
      <c r="O19" s="2349"/>
      <c r="P19" s="2349"/>
      <c r="Q19" s="2349"/>
      <c r="R19" s="2347"/>
      <c r="S19" s="2349"/>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98" customFormat="1" ht="17.25" hidden="1" customHeight="1">
      <c r="A20" s="258"/>
      <c r="C20" s="257"/>
      <c r="D20" s="2362"/>
      <c r="E20" s="2376"/>
      <c r="F20" s="2364"/>
      <c r="G20" s="2351"/>
      <c r="H20" s="2353"/>
      <c r="I20" s="2355"/>
      <c r="J20" s="2358"/>
      <c r="K20" s="2349"/>
      <c r="L20" s="2349"/>
      <c r="M20" s="2349"/>
      <c r="N20" s="2347"/>
      <c r="O20" s="2349"/>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98" customFormat="1" ht="17.25" hidden="1" customHeight="1">
      <c r="A21" s="258"/>
      <c r="C21" s="257"/>
      <c r="D21" s="2362"/>
      <c r="E21" s="2376"/>
      <c r="F21" s="2364"/>
      <c r="G21" s="2351"/>
      <c r="H21" s="2353"/>
      <c r="I21" s="2355"/>
      <c r="J21" s="2358"/>
      <c r="K21" s="2349"/>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98" customFormat="1" ht="17.25" hidden="1" customHeight="1">
      <c r="A22" s="258"/>
      <c r="C22" s="257"/>
      <c r="D22" s="2362"/>
      <c r="E22" s="2376"/>
      <c r="F22" s="2365"/>
      <c r="G22" s="2351"/>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98" customFormat="1" ht="17.25" hidden="1" customHeight="1">
      <c r="A23" s="258"/>
      <c r="C23" s="146"/>
      <c r="D23" s="2361">
        <v>2</v>
      </c>
      <c r="E23" s="2350" t="s">
        <v>164</v>
      </c>
      <c r="F23" s="2363" t="s">
        <v>19</v>
      </c>
      <c r="G23" s="2350"/>
      <c r="H23" s="2352"/>
      <c r="I23" s="2354"/>
      <c r="J23" s="2356"/>
      <c r="K23" s="2348"/>
      <c r="L23" s="2348"/>
      <c r="M23" s="2348"/>
      <c r="N23" s="2359"/>
      <c r="O23" s="2348"/>
      <c r="P23" s="2348"/>
      <c r="Q23" s="2348"/>
      <c r="R23" s="2346"/>
      <c r="S23" s="2348"/>
      <c r="T23" s="1910"/>
      <c r="U23" s="1910"/>
      <c r="V23" s="1912"/>
      <c r="W23" s="1214"/>
      <c r="X23" s="1185"/>
      <c r="Y23" s="1185"/>
      <c r="Z23" s="1185"/>
      <c r="AA23" s="1185"/>
      <c r="AB23" s="1185"/>
      <c r="AC23" s="1185" t="s">
        <v>159</v>
      </c>
      <c r="AD23" s="1185" t="s">
        <v>160</v>
      </c>
      <c r="AE23" s="1185" t="s">
        <v>161</v>
      </c>
      <c r="AF23" s="1185" t="s">
        <v>162</v>
      </c>
      <c r="AG23" s="1185" t="s">
        <v>163</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098" customFormat="1" ht="17.25" hidden="1" customHeight="1">
      <c r="A24" s="258"/>
      <c r="C24" s="257"/>
      <c r="D24" s="2361"/>
      <c r="E24" s="2350"/>
      <c r="F24" s="2364"/>
      <c r="G24" s="2350"/>
      <c r="H24" s="2353"/>
      <c r="I24" s="2355"/>
      <c r="J24" s="2357"/>
      <c r="K24" s="2349"/>
      <c r="L24" s="2349"/>
      <c r="M24" s="2349"/>
      <c r="N24" s="2360"/>
      <c r="O24" s="2349"/>
      <c r="P24" s="2349"/>
      <c r="Q24" s="2349"/>
      <c r="R24" s="2347"/>
      <c r="S24" s="2349"/>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98" customFormat="1" ht="17.25" hidden="1" customHeight="1">
      <c r="A25" s="258"/>
      <c r="C25" s="257"/>
      <c r="D25" s="2362"/>
      <c r="E25" s="2351"/>
      <c r="F25" s="2364"/>
      <c r="G25" s="2351"/>
      <c r="H25" s="2353"/>
      <c r="I25" s="2355"/>
      <c r="J25" s="2358"/>
      <c r="K25" s="2349"/>
      <c r="L25" s="2349"/>
      <c r="M25" s="2349"/>
      <c r="N25" s="2347"/>
      <c r="O25" s="2349"/>
      <c r="P25" s="1911"/>
      <c r="Q25" s="1915"/>
      <c r="R25" s="1915"/>
      <c r="S25" s="266"/>
      <c r="T25" s="266"/>
      <c r="U25" s="266"/>
      <c r="V25" s="266"/>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98" customFormat="1" ht="17.25" hidden="1" customHeight="1">
      <c r="A26" s="258"/>
      <c r="C26" s="257"/>
      <c r="D26" s="2362"/>
      <c r="E26" s="2351"/>
      <c r="F26" s="2364"/>
      <c r="G26" s="2351"/>
      <c r="H26" s="2353"/>
      <c r="I26" s="2355"/>
      <c r="J26" s="2358"/>
      <c r="K26" s="2349"/>
      <c r="L26" s="1915"/>
      <c r="M26" s="1915"/>
      <c r="N26" s="1915"/>
      <c r="O26" s="1915"/>
      <c r="P26" s="1915"/>
      <c r="Q26" s="1915"/>
      <c r="R26" s="1915"/>
      <c r="S26" s="266"/>
      <c r="T26" s="266"/>
      <c r="U26" s="266"/>
      <c r="V26" s="266"/>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98" customFormat="1" ht="17.25" hidden="1" customHeight="1">
      <c r="A27" s="258"/>
      <c r="C27" s="257"/>
      <c r="D27" s="2362"/>
      <c r="E27" s="2351"/>
      <c r="F27" s="2365"/>
      <c r="G27" s="2351"/>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98" customFormat="1" ht="17.25" hidden="1" customHeight="1">
      <c r="A28" s="258"/>
      <c r="C28" s="146"/>
      <c r="D28" s="2361">
        <v>3</v>
      </c>
      <c r="E28" s="2350" t="s">
        <v>165</v>
      </c>
      <c r="F28" s="2363" t="s">
        <v>19</v>
      </c>
      <c r="G28" s="2350"/>
      <c r="H28" s="2352"/>
      <c r="I28" s="2354"/>
      <c r="J28" s="2356"/>
      <c r="K28" s="2348"/>
      <c r="L28" s="2348"/>
      <c r="M28" s="2348"/>
      <c r="N28" s="2359"/>
      <c r="O28" s="2348"/>
      <c r="P28" s="2348"/>
      <c r="Q28" s="2348"/>
      <c r="R28" s="2346"/>
      <c r="S28" s="2348"/>
      <c r="T28" s="1338"/>
      <c r="U28" s="1338"/>
      <c r="V28" s="1337"/>
      <c r="W28" s="1214"/>
      <c r="X28" s="1185"/>
      <c r="Y28" s="1185"/>
      <c r="Z28" s="1185"/>
      <c r="AA28" s="1185"/>
      <c r="AB28" s="1185"/>
      <c r="AC28" s="1185" t="s">
        <v>166</v>
      </c>
      <c r="AD28" s="1185" t="s">
        <v>167</v>
      </c>
      <c r="AE28" s="1185" t="s">
        <v>168</v>
      </c>
      <c r="AF28" s="1185" t="s">
        <v>169</v>
      </c>
      <c r="AG28" s="1185" t="s">
        <v>170</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098" customFormat="1" ht="17.25" hidden="1" customHeight="1">
      <c r="A29" s="258"/>
      <c r="C29" s="257"/>
      <c r="D29" s="2361"/>
      <c r="E29" s="2350"/>
      <c r="F29" s="2364"/>
      <c r="G29" s="2350"/>
      <c r="H29" s="2353"/>
      <c r="I29" s="2355"/>
      <c r="J29" s="2357"/>
      <c r="K29" s="2349"/>
      <c r="L29" s="2349"/>
      <c r="M29" s="2349"/>
      <c r="N29" s="2360"/>
      <c r="O29" s="2349"/>
      <c r="P29" s="2349"/>
      <c r="Q29" s="2349"/>
      <c r="R29" s="2347"/>
      <c r="S29" s="2349"/>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98" customFormat="1" ht="17.25" hidden="1" customHeight="1">
      <c r="A30" s="258"/>
      <c r="C30" s="257"/>
      <c r="D30" s="2362"/>
      <c r="E30" s="2351"/>
      <c r="F30" s="2364"/>
      <c r="G30" s="2351"/>
      <c r="H30" s="2353"/>
      <c r="I30" s="2355"/>
      <c r="J30" s="2358"/>
      <c r="K30" s="2349"/>
      <c r="L30" s="2349"/>
      <c r="M30" s="2349"/>
      <c r="N30" s="2347"/>
      <c r="O30" s="2349"/>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98" customFormat="1" ht="17.25" hidden="1" customHeight="1">
      <c r="A31" s="258"/>
      <c r="C31" s="257"/>
      <c r="D31" s="2362"/>
      <c r="E31" s="2351"/>
      <c r="F31" s="2364"/>
      <c r="G31" s="2351"/>
      <c r="H31" s="2353"/>
      <c r="I31" s="2355"/>
      <c r="J31" s="2358"/>
      <c r="K31" s="2349"/>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98" customFormat="1" ht="17.25" hidden="1" customHeight="1">
      <c r="A32" s="258"/>
      <c r="C32" s="257"/>
      <c r="D32" s="2362"/>
      <c r="E32" s="2351"/>
      <c r="F32" s="2365"/>
      <c r="G32" s="2351"/>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98" customFormat="1" ht="17.25" hidden="1" customHeight="1">
      <c r="A33" s="258"/>
      <c r="C33" s="146"/>
      <c r="D33" s="2361">
        <v>4</v>
      </c>
      <c r="E33" s="2350" t="s">
        <v>171</v>
      </c>
      <c r="F33" s="2363" t="s">
        <v>19</v>
      </c>
      <c r="G33" s="2350"/>
      <c r="H33" s="2352"/>
      <c r="I33" s="2354"/>
      <c r="J33" s="2356"/>
      <c r="K33" s="2348"/>
      <c r="L33" s="2348"/>
      <c r="M33" s="2348"/>
      <c r="N33" s="2359"/>
      <c r="O33" s="2348"/>
      <c r="P33" s="2348"/>
      <c r="Q33" s="2348"/>
      <c r="R33" s="2346"/>
      <c r="S33" s="2348"/>
      <c r="T33" s="1338"/>
      <c r="U33" s="1338"/>
      <c r="V33" s="1337"/>
      <c r="W33" s="1214"/>
      <c r="X33" s="1185"/>
      <c r="Y33" s="1185"/>
      <c r="Z33" s="1185"/>
      <c r="AA33" s="1185"/>
      <c r="AB33" s="1185"/>
      <c r="AC33" s="1185" t="s">
        <v>172</v>
      </c>
      <c r="AD33" s="1185" t="s">
        <v>173</v>
      </c>
      <c r="AE33" s="1185" t="s">
        <v>174</v>
      </c>
      <c r="AF33" s="1185" t="s">
        <v>175</v>
      </c>
      <c r="AG33" s="1185" t="s">
        <v>176</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98" customFormat="1" ht="17.25" hidden="1" customHeight="1">
      <c r="A34" s="258"/>
      <c r="C34" s="257"/>
      <c r="D34" s="2361"/>
      <c r="E34" s="2350"/>
      <c r="F34" s="2364"/>
      <c r="G34" s="2350"/>
      <c r="H34" s="2353"/>
      <c r="I34" s="2355"/>
      <c r="J34" s="2357"/>
      <c r="K34" s="2349"/>
      <c r="L34" s="2349"/>
      <c r="M34" s="2349"/>
      <c r="N34" s="2360"/>
      <c r="O34" s="2349"/>
      <c r="P34" s="2349"/>
      <c r="Q34" s="2349"/>
      <c r="R34" s="2347"/>
      <c r="S34" s="2349"/>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98" customFormat="1" ht="17.25" hidden="1" customHeight="1">
      <c r="A35" s="258"/>
      <c r="C35" s="257"/>
      <c r="D35" s="2362"/>
      <c r="E35" s="2351"/>
      <c r="F35" s="2364"/>
      <c r="G35" s="2351"/>
      <c r="H35" s="2353"/>
      <c r="I35" s="2355"/>
      <c r="J35" s="2358"/>
      <c r="K35" s="2349"/>
      <c r="L35" s="2349"/>
      <c r="M35" s="2349"/>
      <c r="N35" s="2347"/>
      <c r="O35" s="2349"/>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98" customFormat="1" ht="17.25" hidden="1" customHeight="1">
      <c r="A36" s="258"/>
      <c r="C36" s="257"/>
      <c r="D36" s="2362"/>
      <c r="E36" s="2351"/>
      <c r="F36" s="2364"/>
      <c r="G36" s="2351"/>
      <c r="H36" s="2353"/>
      <c r="I36" s="2355"/>
      <c r="J36" s="2358"/>
      <c r="K36" s="2349"/>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98" customFormat="1" ht="17.25" hidden="1" customHeight="1">
      <c r="A37" s="258"/>
      <c r="C37" s="257"/>
      <c r="D37" s="2362"/>
      <c r="E37" s="2351"/>
      <c r="F37" s="2365"/>
      <c r="G37" s="2351"/>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98" customFormat="1" ht="17.25" hidden="1" customHeight="1">
      <c r="A38" s="258"/>
      <c r="C38" s="146"/>
      <c r="D38" s="2361">
        <v>5</v>
      </c>
      <c r="E38" s="2350" t="s">
        <v>177</v>
      </c>
      <c r="F38" s="2363" t="s">
        <v>19</v>
      </c>
      <c r="G38" s="2350"/>
      <c r="H38" s="2352"/>
      <c r="I38" s="2354"/>
      <c r="J38" s="2356"/>
      <c r="K38" s="2348"/>
      <c r="L38" s="2348"/>
      <c r="M38" s="2348"/>
      <c r="N38" s="2359"/>
      <c r="O38" s="2348"/>
      <c r="P38" s="2348"/>
      <c r="Q38" s="2348"/>
      <c r="R38" s="2346"/>
      <c r="S38" s="2348"/>
      <c r="T38" s="1338"/>
      <c r="U38" s="1338"/>
      <c r="V38" s="1337"/>
      <c r="W38" s="1214"/>
      <c r="X38" s="1185"/>
      <c r="Y38" s="1185"/>
      <c r="Z38" s="1185"/>
      <c r="AA38" s="1185"/>
      <c r="AB38" s="1185"/>
      <c r="AC38" s="1185" t="s">
        <v>178</v>
      </c>
      <c r="AD38" s="1185" t="s">
        <v>179</v>
      </c>
      <c r="AE38" s="1185" t="s">
        <v>180</v>
      </c>
      <c r="AF38" s="1185" t="s">
        <v>181</v>
      </c>
      <c r="AG38" s="1185" t="s">
        <v>182</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098" customFormat="1" ht="17.25" hidden="1" customHeight="1">
      <c r="A39" s="258"/>
      <c r="C39" s="257"/>
      <c r="D39" s="2361"/>
      <c r="E39" s="2350"/>
      <c r="F39" s="2364"/>
      <c r="G39" s="2350"/>
      <c r="H39" s="2353"/>
      <c r="I39" s="2355"/>
      <c r="J39" s="2357"/>
      <c r="K39" s="2349"/>
      <c r="L39" s="2349"/>
      <c r="M39" s="2349"/>
      <c r="N39" s="2360"/>
      <c r="O39" s="2349"/>
      <c r="P39" s="2349"/>
      <c r="Q39" s="2349"/>
      <c r="R39" s="2347"/>
      <c r="S39" s="2349"/>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98" customFormat="1" ht="17.25" hidden="1" customHeight="1">
      <c r="A40" s="258"/>
      <c r="C40" s="257"/>
      <c r="D40" s="2362"/>
      <c r="E40" s="2351"/>
      <c r="F40" s="2364"/>
      <c r="G40" s="2351"/>
      <c r="H40" s="2353"/>
      <c r="I40" s="2355"/>
      <c r="J40" s="2358"/>
      <c r="K40" s="2349"/>
      <c r="L40" s="2349"/>
      <c r="M40" s="2349"/>
      <c r="N40" s="2347"/>
      <c r="O40" s="2349"/>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98" customFormat="1" ht="17.25" hidden="1" customHeight="1">
      <c r="A41" s="258"/>
      <c r="C41" s="257"/>
      <c r="D41" s="2362"/>
      <c r="E41" s="2351"/>
      <c r="F41" s="2364"/>
      <c r="G41" s="2351"/>
      <c r="H41" s="2353"/>
      <c r="I41" s="2355"/>
      <c r="J41" s="2358"/>
      <c r="K41" s="2349"/>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98" customFormat="1" ht="17.25" hidden="1" customHeight="1">
      <c r="A42" s="258"/>
      <c r="C42" s="257"/>
      <c r="D42" s="2362"/>
      <c r="E42" s="2351"/>
      <c r="F42" s="2365"/>
      <c r="G42" s="2351"/>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98" customFormat="1" ht="17.25" hidden="1" customHeight="1">
      <c r="A43" s="258"/>
      <c r="C43" s="146"/>
      <c r="D43" s="2361">
        <v>6</v>
      </c>
      <c r="E43" s="2350" t="s">
        <v>183</v>
      </c>
      <c r="F43" s="2363" t="s">
        <v>19</v>
      </c>
      <c r="G43" s="2350"/>
      <c r="H43" s="2352"/>
      <c r="I43" s="2354"/>
      <c r="J43" s="2356"/>
      <c r="K43" s="2348"/>
      <c r="L43" s="2348"/>
      <c r="M43" s="2348"/>
      <c r="N43" s="2359"/>
      <c r="O43" s="2348"/>
      <c r="P43" s="2348"/>
      <c r="Q43" s="2348"/>
      <c r="R43" s="2346"/>
      <c r="S43" s="2348"/>
      <c r="T43" s="1338"/>
      <c r="U43" s="1338"/>
      <c r="V43" s="1337"/>
      <c r="W43" s="1214"/>
      <c r="X43" s="1185"/>
      <c r="Y43" s="1185"/>
      <c r="Z43" s="1185"/>
      <c r="AA43" s="1185"/>
      <c r="AB43" s="1185"/>
      <c r="AC43" s="1185" t="s">
        <v>184</v>
      </c>
      <c r="AD43" s="1185" t="s">
        <v>185</v>
      </c>
      <c r="AE43" s="1185" t="s">
        <v>186</v>
      </c>
      <c r="AF43" s="1185" t="s">
        <v>187</v>
      </c>
      <c r="AG43" s="1185" t="s">
        <v>188</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98" customFormat="1" ht="17.25" hidden="1" customHeight="1">
      <c r="A44" s="258"/>
      <c r="C44" s="257"/>
      <c r="D44" s="2361"/>
      <c r="E44" s="2350"/>
      <c r="F44" s="2364"/>
      <c r="G44" s="2350"/>
      <c r="H44" s="2353"/>
      <c r="I44" s="2355"/>
      <c r="J44" s="2357"/>
      <c r="K44" s="2349"/>
      <c r="L44" s="2349"/>
      <c r="M44" s="2349"/>
      <c r="N44" s="2360"/>
      <c r="O44" s="2349"/>
      <c r="P44" s="2349"/>
      <c r="Q44" s="2349"/>
      <c r="R44" s="2347"/>
      <c r="S44" s="2349"/>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98" customFormat="1" ht="17.25" hidden="1" customHeight="1">
      <c r="A45" s="258"/>
      <c r="C45" s="257"/>
      <c r="D45" s="2362"/>
      <c r="E45" s="2351"/>
      <c r="F45" s="2364"/>
      <c r="G45" s="2351"/>
      <c r="H45" s="2353"/>
      <c r="I45" s="2355"/>
      <c r="J45" s="2358"/>
      <c r="K45" s="2349"/>
      <c r="L45" s="2349"/>
      <c r="M45" s="2349"/>
      <c r="N45" s="2347"/>
      <c r="O45" s="2349"/>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98" customFormat="1" ht="17.25" hidden="1" customHeight="1">
      <c r="A46" s="258"/>
      <c r="C46" s="146"/>
      <c r="D46" s="2362"/>
      <c r="E46" s="2351"/>
      <c r="F46" s="2364"/>
      <c r="G46" s="2351"/>
      <c r="H46" s="2353"/>
      <c r="I46" s="2355"/>
      <c r="J46" s="2358"/>
      <c r="K46" s="2349"/>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98" customFormat="1" ht="17.25" hidden="1" customHeight="1">
      <c r="A47" s="258"/>
      <c r="C47" s="257"/>
      <c r="D47" s="2362"/>
      <c r="E47" s="2351"/>
      <c r="F47" s="2365"/>
      <c r="G47" s="2351"/>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98" customFormat="1" ht="17.25" hidden="1" customHeight="1">
      <c r="A48" s="258"/>
      <c r="C48" s="146"/>
      <c r="D48" s="2369">
        <v>7</v>
      </c>
      <c r="E48" s="2372" t="s">
        <v>189</v>
      </c>
      <c r="F48" s="2363" t="s">
        <v>19</v>
      </c>
      <c r="G48" s="2372"/>
      <c r="H48" s="2352"/>
      <c r="I48" s="2354"/>
      <c r="J48" s="2356"/>
      <c r="K48" s="2348"/>
      <c r="L48" s="2348"/>
      <c r="M48" s="2348"/>
      <c r="N48" s="2359"/>
      <c r="O48" s="2348"/>
      <c r="P48" s="2348"/>
      <c r="Q48" s="2348"/>
      <c r="R48" s="2346"/>
      <c r="S48" s="2348"/>
      <c r="T48" s="1338"/>
      <c r="U48" s="1338"/>
      <c r="V48" s="1337"/>
      <c r="W48" s="1214"/>
      <c r="X48" s="1185"/>
      <c r="Y48" s="1185"/>
      <c r="Z48" s="1185"/>
      <c r="AA48" s="1185"/>
      <c r="AB48" s="1185"/>
      <c r="AC48" s="1185" t="s">
        <v>190</v>
      </c>
      <c r="AD48" s="1185" t="s">
        <v>191</v>
      </c>
      <c r="AE48" s="1185" t="s">
        <v>192</v>
      </c>
      <c r="AF48" s="1185" t="s">
        <v>193</v>
      </c>
      <c r="AG48" s="1185" t="s">
        <v>194</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98" customFormat="1" ht="17.25" hidden="1" customHeight="1">
      <c r="A49" s="258"/>
      <c r="C49" s="257"/>
      <c r="D49" s="2370"/>
      <c r="E49" s="2373"/>
      <c r="F49" s="2364"/>
      <c r="G49" s="2373"/>
      <c r="H49" s="2353"/>
      <c r="I49" s="2355"/>
      <c r="J49" s="2357"/>
      <c r="K49" s="2349"/>
      <c r="L49" s="2349"/>
      <c r="M49" s="2349"/>
      <c r="N49" s="2360"/>
      <c r="O49" s="2349"/>
      <c r="P49" s="2349"/>
      <c r="Q49" s="2349"/>
      <c r="R49" s="2347"/>
      <c r="S49" s="2349"/>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98" customFormat="1" ht="17.25" hidden="1" customHeight="1">
      <c r="A50" s="258"/>
      <c r="C50" s="257"/>
      <c r="D50" s="2370"/>
      <c r="E50" s="2373"/>
      <c r="F50" s="2364"/>
      <c r="G50" s="2373"/>
      <c r="H50" s="2353"/>
      <c r="I50" s="2355"/>
      <c r="J50" s="2358"/>
      <c r="K50" s="2349"/>
      <c r="L50" s="2349"/>
      <c r="M50" s="2349"/>
      <c r="N50" s="2347"/>
      <c r="O50" s="2349"/>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98" customFormat="1" ht="17.25" hidden="1" customHeight="1">
      <c r="A51" s="258"/>
      <c r="C51" s="146"/>
      <c r="D51" s="2370"/>
      <c r="E51" s="2373"/>
      <c r="F51" s="2364"/>
      <c r="G51" s="2373"/>
      <c r="H51" s="2353"/>
      <c r="I51" s="2355"/>
      <c r="J51" s="2358"/>
      <c r="K51" s="2349"/>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98" customFormat="1" ht="17.25" hidden="1" customHeight="1">
      <c r="A52" s="258"/>
      <c r="C52" s="257"/>
      <c r="D52" s="2371"/>
      <c r="E52" s="2374"/>
      <c r="F52" s="2365"/>
      <c r="G52" s="2374"/>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98" customFormat="1" ht="17.25" hidden="1" customHeight="1">
      <c r="A53" s="258"/>
      <c r="C53" s="146"/>
      <c r="D53" s="2361">
        <v>8</v>
      </c>
      <c r="E53" s="2350" t="s">
        <v>195</v>
      </c>
      <c r="F53" s="2363" t="s">
        <v>19</v>
      </c>
      <c r="G53" s="2350"/>
      <c r="H53" s="2352"/>
      <c r="I53" s="2354"/>
      <c r="J53" s="2356"/>
      <c r="K53" s="2348"/>
      <c r="L53" s="2348"/>
      <c r="M53" s="2348"/>
      <c r="N53" s="2359"/>
      <c r="O53" s="2348"/>
      <c r="P53" s="2348"/>
      <c r="Q53" s="2348"/>
      <c r="R53" s="2346"/>
      <c r="S53" s="2348"/>
      <c r="T53" s="1388"/>
      <c r="U53" s="1388"/>
      <c r="V53" s="1390"/>
      <c r="W53" s="1214"/>
      <c r="X53" s="1185"/>
      <c r="Y53" s="1185"/>
      <c r="Z53" s="1185"/>
      <c r="AA53" s="1185"/>
      <c r="AB53" s="1185"/>
      <c r="AC53" s="1185" t="s">
        <v>196</v>
      </c>
      <c r="AD53" s="1185" t="s">
        <v>197</v>
      </c>
      <c r="AE53" s="1185" t="s">
        <v>198</v>
      </c>
      <c r="AF53" s="1185" t="s">
        <v>199</v>
      </c>
      <c r="AG53" s="1185" t="s">
        <v>200</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98" customFormat="1" ht="17.25" hidden="1" customHeight="1">
      <c r="A54" s="258"/>
      <c r="C54" s="257"/>
      <c r="D54" s="2361"/>
      <c r="E54" s="2350"/>
      <c r="F54" s="2364"/>
      <c r="G54" s="2350"/>
      <c r="H54" s="2353"/>
      <c r="I54" s="2355"/>
      <c r="J54" s="2357"/>
      <c r="K54" s="2349"/>
      <c r="L54" s="2349"/>
      <c r="M54" s="2349"/>
      <c r="N54" s="2360"/>
      <c r="O54" s="2349"/>
      <c r="P54" s="2349"/>
      <c r="Q54" s="2349"/>
      <c r="R54" s="2347"/>
      <c r="S54" s="2349"/>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98" customFormat="1" ht="17.25" hidden="1" customHeight="1">
      <c r="A55" s="258"/>
      <c r="C55" s="257"/>
      <c r="D55" s="2362"/>
      <c r="E55" s="2351"/>
      <c r="F55" s="2364"/>
      <c r="G55" s="2351"/>
      <c r="H55" s="2353"/>
      <c r="I55" s="2355"/>
      <c r="J55" s="2358"/>
      <c r="K55" s="2349"/>
      <c r="L55" s="2349"/>
      <c r="M55" s="2349"/>
      <c r="N55" s="2347"/>
      <c r="O55" s="2349"/>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98" customFormat="1" ht="17.25" hidden="1" customHeight="1">
      <c r="A56" s="258"/>
      <c r="C56" s="146"/>
      <c r="D56" s="2362"/>
      <c r="E56" s="2351"/>
      <c r="F56" s="2364"/>
      <c r="G56" s="2351"/>
      <c r="H56" s="2353"/>
      <c r="I56" s="2355"/>
      <c r="J56" s="2358"/>
      <c r="K56" s="2349"/>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98" customFormat="1" ht="17.25" hidden="1" customHeight="1">
      <c r="A57" s="258"/>
      <c r="C57" s="257"/>
      <c r="D57" s="2362"/>
      <c r="E57" s="2351"/>
      <c r="F57" s="2365"/>
      <c r="G57" s="2351"/>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98" customFormat="1" ht="17.25" hidden="1" customHeight="1">
      <c r="A58" s="258"/>
      <c r="C58" s="146"/>
      <c r="D58" s="2361">
        <v>9</v>
      </c>
      <c r="E58" s="2350" t="s">
        <v>201</v>
      </c>
      <c r="F58" s="2363" t="s">
        <v>19</v>
      </c>
      <c r="G58" s="2350"/>
      <c r="H58" s="2352"/>
      <c r="I58" s="2354"/>
      <c r="J58" s="2356"/>
      <c r="K58" s="2348"/>
      <c r="L58" s="2348"/>
      <c r="M58" s="2348"/>
      <c r="N58" s="2359"/>
      <c r="O58" s="2348"/>
      <c r="P58" s="2348"/>
      <c r="Q58" s="2348"/>
      <c r="R58" s="2346"/>
      <c r="S58" s="2348"/>
      <c r="T58" s="1843"/>
      <c r="U58" s="1843"/>
      <c r="V58" s="1845"/>
      <c r="W58" s="1214"/>
      <c r="X58" s="1185"/>
      <c r="Y58" s="1185"/>
      <c r="Z58" s="1185"/>
      <c r="AA58" s="1185"/>
      <c r="AB58" s="1185"/>
      <c r="AC58" s="1185" t="s">
        <v>202</v>
      </c>
      <c r="AD58" s="1185" t="s">
        <v>203</v>
      </c>
      <c r="AE58" s="1185" t="s">
        <v>204</v>
      </c>
      <c r="AF58" s="1185" t="s">
        <v>205</v>
      </c>
      <c r="AG58" s="1185" t="s">
        <v>206</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98" customFormat="1" ht="17.25" hidden="1" customHeight="1">
      <c r="A59" s="258"/>
      <c r="C59" s="257"/>
      <c r="D59" s="2361"/>
      <c r="E59" s="2350"/>
      <c r="F59" s="2364"/>
      <c r="G59" s="2350"/>
      <c r="H59" s="2353"/>
      <c r="I59" s="2355"/>
      <c r="J59" s="2357"/>
      <c r="K59" s="2349"/>
      <c r="L59" s="2349"/>
      <c r="M59" s="2349"/>
      <c r="N59" s="2360"/>
      <c r="O59" s="2349"/>
      <c r="P59" s="2349"/>
      <c r="Q59" s="2349"/>
      <c r="R59" s="2347"/>
      <c r="S59" s="2349"/>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98" customFormat="1" ht="17.25" hidden="1" customHeight="1">
      <c r="A60" s="258"/>
      <c r="C60" s="257"/>
      <c r="D60" s="2362"/>
      <c r="E60" s="2351"/>
      <c r="F60" s="2364"/>
      <c r="G60" s="2351"/>
      <c r="H60" s="2353"/>
      <c r="I60" s="2355"/>
      <c r="J60" s="2358"/>
      <c r="K60" s="2349"/>
      <c r="L60" s="2349"/>
      <c r="M60" s="2349"/>
      <c r="N60" s="2347"/>
      <c r="O60" s="2349"/>
      <c r="P60" s="1844"/>
      <c r="Q60" s="1846"/>
      <c r="R60" s="1846"/>
      <c r="S60" s="266"/>
      <c r="T60" s="266"/>
      <c r="U60" s="266"/>
      <c r="V60" s="266"/>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98" customFormat="1" ht="17.25" hidden="1" customHeight="1">
      <c r="A61" s="258"/>
      <c r="C61" s="146"/>
      <c r="D61" s="2362"/>
      <c r="E61" s="2351"/>
      <c r="F61" s="2364"/>
      <c r="G61" s="2351"/>
      <c r="H61" s="2353"/>
      <c r="I61" s="2355"/>
      <c r="J61" s="2358"/>
      <c r="K61" s="2349"/>
      <c r="L61" s="1846"/>
      <c r="M61" s="1846"/>
      <c r="N61" s="1846"/>
      <c r="O61" s="1846"/>
      <c r="P61" s="1846"/>
      <c r="Q61" s="1846"/>
      <c r="R61" s="1846"/>
      <c r="S61" s="266"/>
      <c r="T61" s="266"/>
      <c r="U61" s="266"/>
      <c r="V61" s="266"/>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98" customFormat="1" ht="17.25" hidden="1" customHeight="1">
      <c r="A62" s="258"/>
      <c r="C62" s="257"/>
      <c r="D62" s="2362"/>
      <c r="E62" s="2351"/>
      <c r="F62" s="2365"/>
      <c r="G62" s="2351"/>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98" customFormat="1" ht="17.25" hidden="1" customHeight="1">
      <c r="A63" s="258"/>
      <c r="C63" s="146"/>
      <c r="D63" s="2361">
        <v>10</v>
      </c>
      <c r="E63" s="2350" t="s">
        <v>207</v>
      </c>
      <c r="F63" s="2363" t="s">
        <v>19</v>
      </c>
      <c r="G63" s="2350"/>
      <c r="H63" s="2352"/>
      <c r="I63" s="2354"/>
      <c r="J63" s="2356"/>
      <c r="K63" s="2348"/>
      <c r="L63" s="2348"/>
      <c r="M63" s="2348"/>
      <c r="N63" s="2359"/>
      <c r="O63" s="2348"/>
      <c r="P63" s="2348"/>
      <c r="Q63" s="2348"/>
      <c r="R63" s="2346"/>
      <c r="S63" s="2348"/>
      <c r="T63" s="1843"/>
      <c r="U63" s="1843"/>
      <c r="V63" s="1845"/>
      <c r="W63" s="1214"/>
      <c r="X63" s="1185"/>
      <c r="Y63" s="1185"/>
      <c r="Z63" s="1185"/>
      <c r="AA63" s="1185"/>
      <c r="AB63" s="1185"/>
      <c r="AC63" s="1185" t="s">
        <v>208</v>
      </c>
      <c r="AD63" s="1185" t="s">
        <v>209</v>
      </c>
      <c r="AE63" s="1185" t="s">
        <v>210</v>
      </c>
      <c r="AF63" s="1185" t="s">
        <v>211</v>
      </c>
      <c r="AG63" s="1185" t="s">
        <v>212</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98" customFormat="1" ht="17.25" hidden="1" customHeight="1">
      <c r="A64" s="258"/>
      <c r="C64" s="257"/>
      <c r="D64" s="2361"/>
      <c r="E64" s="2350"/>
      <c r="F64" s="2364"/>
      <c r="G64" s="2350"/>
      <c r="H64" s="2353"/>
      <c r="I64" s="2355"/>
      <c r="J64" s="2357"/>
      <c r="K64" s="2349"/>
      <c r="L64" s="2349"/>
      <c r="M64" s="2349"/>
      <c r="N64" s="2360"/>
      <c r="O64" s="2349"/>
      <c r="P64" s="2349"/>
      <c r="Q64" s="2349"/>
      <c r="R64" s="2347"/>
      <c r="S64" s="2349"/>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98" customFormat="1" ht="17.25" hidden="1" customHeight="1">
      <c r="A65" s="258"/>
      <c r="C65" s="257"/>
      <c r="D65" s="2362"/>
      <c r="E65" s="2351"/>
      <c r="F65" s="2364"/>
      <c r="G65" s="2351"/>
      <c r="H65" s="2353"/>
      <c r="I65" s="2355"/>
      <c r="J65" s="2358"/>
      <c r="K65" s="2349"/>
      <c r="L65" s="2349"/>
      <c r="M65" s="2349"/>
      <c r="N65" s="2347"/>
      <c r="O65" s="2349"/>
      <c r="P65" s="1844"/>
      <c r="Q65" s="1846"/>
      <c r="R65" s="1846"/>
      <c r="S65" s="266"/>
      <c r="T65" s="266"/>
      <c r="U65" s="266"/>
      <c r="V65" s="266"/>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98" customFormat="1" ht="17.25" hidden="1" customHeight="1">
      <c r="A66" s="258"/>
      <c r="C66" s="146"/>
      <c r="D66" s="2362"/>
      <c r="E66" s="2351"/>
      <c r="F66" s="2364"/>
      <c r="G66" s="2351"/>
      <c r="H66" s="2353"/>
      <c r="I66" s="2355"/>
      <c r="J66" s="2358"/>
      <c r="K66" s="2349"/>
      <c r="L66" s="1846"/>
      <c r="M66" s="1846"/>
      <c r="N66" s="1846"/>
      <c r="O66" s="1846"/>
      <c r="P66" s="1846"/>
      <c r="Q66" s="1846"/>
      <c r="R66" s="1846"/>
      <c r="S66" s="266"/>
      <c r="T66" s="266"/>
      <c r="U66" s="266"/>
      <c r="V66" s="266"/>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98" customFormat="1" ht="17.25" hidden="1" customHeight="1">
      <c r="A67" s="258"/>
      <c r="C67" s="257"/>
      <c r="D67" s="2362"/>
      <c r="E67" s="2351"/>
      <c r="F67" s="2365"/>
      <c r="G67" s="2351"/>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2368" t="s">
        <v>213</v>
      </c>
      <c r="F69" s="2368"/>
      <c r="G69" s="2368"/>
      <c r="H69" s="2368"/>
      <c r="I69" s="2368"/>
      <c r="J69" s="2368"/>
      <c r="K69" s="2368"/>
      <c r="L69" s="2368"/>
      <c r="M69" s="2368"/>
      <c r="N69" s="2368"/>
      <c r="O69" s="2368"/>
      <c r="P69" s="2368"/>
      <c r="Q69" s="2368"/>
      <c r="R69" s="2368"/>
      <c r="S69" s="2368"/>
      <c r="T69" s="2368"/>
      <c r="U69" s="2368"/>
      <c r="V69" s="2368"/>
      <c r="W69" s="2368"/>
      <c r="AR69" s="44">
        <v>0</v>
      </c>
    </row>
    <row r="70" spans="1:44" ht="36.75" hidden="1" customHeight="1">
      <c r="E70" s="2366" t="s">
        <v>214</v>
      </c>
      <c r="F70" s="2366"/>
      <c r="G70" s="2367"/>
      <c r="H70" s="2367"/>
      <c r="I70" s="2367"/>
      <c r="J70" s="2367"/>
      <c r="K70" s="2367"/>
      <c r="L70" s="2367"/>
      <c r="M70" s="2367"/>
      <c r="N70" s="2367"/>
      <c r="O70" s="2367"/>
      <c r="P70" s="2367"/>
      <c r="Q70" s="2367"/>
      <c r="R70" s="2367"/>
      <c r="S70" s="2367"/>
      <c r="T70" s="2367"/>
      <c r="U70" s="2367"/>
      <c r="V70" s="2367"/>
      <c r="W70" s="2367"/>
      <c r="AR70" s="44">
        <v>0</v>
      </c>
    </row>
    <row r="71" spans="1:44" ht="28.5" hidden="1" customHeight="1">
      <c r="E71" s="2366" t="s">
        <v>215</v>
      </c>
      <c r="F71" s="2366"/>
      <c r="G71" s="2367"/>
      <c r="H71" s="2367"/>
      <c r="I71" s="2367"/>
      <c r="J71" s="2367"/>
      <c r="K71" s="2367"/>
      <c r="L71" s="2367"/>
      <c r="M71" s="2367"/>
      <c r="N71" s="2367"/>
      <c r="O71" s="2367"/>
      <c r="P71" s="2367"/>
      <c r="Q71" s="2367"/>
      <c r="R71" s="2367"/>
      <c r="S71" s="2367"/>
      <c r="T71" s="2367"/>
      <c r="U71" s="2367"/>
      <c r="V71" s="2367"/>
      <c r="W71" s="2367"/>
      <c r="AR71" s="44">
        <v>0</v>
      </c>
    </row>
    <row r="72" spans="1:44" ht="27" hidden="1" customHeight="1">
      <c r="E72" s="2366" t="s">
        <v>216</v>
      </c>
      <c r="F72" s="2366"/>
      <c r="G72" s="2367"/>
      <c r="H72" s="2367"/>
      <c r="I72" s="2367"/>
      <c r="J72" s="2367"/>
      <c r="K72" s="2367"/>
      <c r="L72" s="2367"/>
      <c r="M72" s="2367"/>
      <c r="N72" s="2367"/>
      <c r="O72" s="2367"/>
      <c r="P72" s="2367"/>
      <c r="Q72" s="2367"/>
      <c r="R72" s="2367"/>
      <c r="S72" s="2367"/>
      <c r="T72" s="2367"/>
      <c r="U72" s="2367"/>
      <c r="V72" s="2367"/>
      <c r="W72" s="2367"/>
      <c r="AR72" s="44">
        <v>0</v>
      </c>
    </row>
    <row r="73" spans="1:44" ht="17.25" hidden="1" customHeight="1">
      <c r="E73" s="2366" t="s">
        <v>217</v>
      </c>
      <c r="F73" s="2366"/>
      <c r="G73" s="2367"/>
      <c r="H73" s="2367"/>
      <c r="I73" s="2367"/>
      <c r="J73" s="2367"/>
      <c r="K73" s="2367"/>
      <c r="L73" s="2367"/>
      <c r="M73" s="2367"/>
      <c r="N73" s="2367"/>
      <c r="O73" s="2367"/>
      <c r="P73" s="2367"/>
      <c r="Q73" s="2367"/>
      <c r="R73" s="2367"/>
      <c r="S73" s="2367"/>
      <c r="T73" s="2367"/>
      <c r="U73" s="2367"/>
      <c r="V73" s="2367"/>
      <c r="W73" s="2367"/>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2368" t="s">
        <v>218</v>
      </c>
      <c r="F75" s="2368"/>
      <c r="G75" s="2368"/>
      <c r="H75" s="2368"/>
      <c r="I75" s="2368"/>
      <c r="J75" s="2368"/>
      <c r="K75" s="2368"/>
      <c r="L75" s="2368"/>
      <c r="M75" s="2368"/>
      <c r="N75" s="2368"/>
      <c r="O75" s="2368"/>
      <c r="P75" s="2368"/>
      <c r="Q75" s="2368"/>
      <c r="R75" s="2368"/>
      <c r="S75" s="2368"/>
      <c r="T75" s="2368"/>
      <c r="U75" s="2368"/>
      <c r="V75" s="2368"/>
      <c r="W75" s="2368"/>
      <c r="AR75" s="44">
        <v>0</v>
      </c>
    </row>
    <row r="76" spans="1:44" ht="17.25" hidden="1" customHeight="1">
      <c r="E76" s="2366" t="s">
        <v>219</v>
      </c>
      <c r="F76" s="2366"/>
      <c r="G76" s="2367"/>
      <c r="H76" s="2367"/>
      <c r="I76" s="2367"/>
      <c r="J76" s="2367"/>
      <c r="K76" s="2367"/>
      <c r="L76" s="2367"/>
      <c r="M76" s="2367"/>
      <c r="N76" s="2367"/>
      <c r="O76" s="2367"/>
      <c r="P76" s="2367"/>
      <c r="Q76" s="2367"/>
      <c r="R76" s="2367"/>
      <c r="S76" s="2367"/>
      <c r="T76" s="2367"/>
      <c r="U76" s="2367"/>
      <c r="V76" s="2367"/>
      <c r="W76" s="2367"/>
      <c r="AR76" s="44">
        <v>0</v>
      </c>
    </row>
    <row r="77" spans="1:44" ht="17.25" hidden="1" customHeight="1">
      <c r="E77" s="2366" t="s">
        <v>220</v>
      </c>
      <c r="F77" s="2366"/>
      <c r="G77" s="2367"/>
      <c r="H77" s="2367"/>
      <c r="I77" s="2367"/>
      <c r="J77" s="2367"/>
      <c r="K77" s="2367"/>
      <c r="L77" s="2367"/>
      <c r="M77" s="2367"/>
      <c r="N77" s="2367"/>
      <c r="O77" s="2367"/>
      <c r="P77" s="2367"/>
      <c r="Q77" s="2367"/>
      <c r="R77" s="2367"/>
      <c r="S77" s="2367"/>
      <c r="T77" s="2367"/>
      <c r="U77" s="2367"/>
      <c r="V77" s="2367"/>
      <c r="W77" s="2367"/>
      <c r="AR77" s="44">
        <v>0</v>
      </c>
    </row>
    <row r="78" spans="1:44" s="2098"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98" customFormat="1" ht="17.25" hidden="1" customHeight="1">
      <c r="A79" s="258"/>
      <c r="C79" s="146"/>
      <c r="D79" s="2361">
        <v>1</v>
      </c>
      <c r="E79" s="2350" t="s">
        <v>221</v>
      </c>
      <c r="F79" s="2363" t="s">
        <v>19</v>
      </c>
      <c r="G79" s="2350"/>
      <c r="H79" s="2352"/>
      <c r="I79" s="2354"/>
      <c r="J79" s="2356"/>
      <c r="K79" s="2348"/>
      <c r="L79" s="2348"/>
      <c r="M79" s="2348"/>
      <c r="N79" s="2359"/>
      <c r="O79" s="2348"/>
      <c r="P79" s="2348"/>
      <c r="Q79" s="2348"/>
      <c r="R79" s="2346"/>
      <c r="S79" s="2348"/>
      <c r="T79" s="1388"/>
      <c r="U79" s="1388"/>
      <c r="V79" s="1390"/>
      <c r="W79" s="1214"/>
      <c r="Y79" s="1185"/>
      <c r="Z79" s="1185"/>
      <c r="AA79" s="1185"/>
      <c r="AB79" s="1185"/>
      <c r="AC79" s="1185" t="s">
        <v>222</v>
      </c>
      <c r="AD79" s="1185" t="s">
        <v>223</v>
      </c>
      <c r="AE79" s="1185" t="s">
        <v>224</v>
      </c>
      <c r="AF79" s="1185" t="s">
        <v>225</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98" customFormat="1" ht="17.25" hidden="1" customHeight="1">
      <c r="A80" s="258"/>
      <c r="C80" s="257"/>
      <c r="D80" s="2361"/>
      <c r="E80" s="2350"/>
      <c r="F80" s="2364"/>
      <c r="G80" s="2350"/>
      <c r="H80" s="2353"/>
      <c r="I80" s="2355"/>
      <c r="J80" s="2357"/>
      <c r="K80" s="2349"/>
      <c r="L80" s="2349"/>
      <c r="M80" s="2349"/>
      <c r="N80" s="2360"/>
      <c r="O80" s="2349"/>
      <c r="P80" s="2349"/>
      <c r="Q80" s="2349"/>
      <c r="R80" s="2347"/>
      <c r="S80" s="2349"/>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98" customFormat="1" ht="17.25" hidden="1" customHeight="1">
      <c r="A81" s="258"/>
      <c r="C81" s="146"/>
      <c r="D81" s="2361"/>
      <c r="E81" s="2350"/>
      <c r="F81" s="2364"/>
      <c r="G81" s="2350"/>
      <c r="H81" s="2353"/>
      <c r="I81" s="2355"/>
      <c r="J81" s="2358"/>
      <c r="K81" s="2349"/>
      <c r="L81" s="2349"/>
      <c r="M81" s="2349"/>
      <c r="N81" s="2347"/>
      <c r="O81" s="2349"/>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98" customFormat="1" ht="17.25" hidden="1" customHeight="1">
      <c r="A82" s="258"/>
      <c r="C82" s="257"/>
      <c r="D82" s="2361"/>
      <c r="E82" s="2350"/>
      <c r="F82" s="2364"/>
      <c r="G82" s="2350"/>
      <c r="H82" s="2353"/>
      <c r="I82" s="2355"/>
      <c r="J82" s="2358"/>
      <c r="K82" s="2349"/>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98" customFormat="1" ht="17.25" hidden="1" customHeight="1">
      <c r="A83" s="258"/>
      <c r="C83" s="257"/>
      <c r="D83" s="2362"/>
      <c r="E83" s="2351"/>
      <c r="F83" s="2365"/>
      <c r="G83" s="2351"/>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98" customFormat="1" ht="17.25" hidden="1" customHeight="1">
      <c r="A84" s="258"/>
      <c r="C84" s="146"/>
      <c r="D84" s="2361">
        <v>2</v>
      </c>
      <c r="E84" s="2350" t="s">
        <v>226</v>
      </c>
      <c r="F84" s="2363" t="s">
        <v>19</v>
      </c>
      <c r="G84" s="2350"/>
      <c r="H84" s="2352"/>
      <c r="I84" s="2354"/>
      <c r="J84" s="2356"/>
      <c r="K84" s="2348"/>
      <c r="L84" s="2348"/>
      <c r="M84" s="2348"/>
      <c r="N84" s="2359"/>
      <c r="O84" s="2348"/>
      <c r="P84" s="2348"/>
      <c r="Q84" s="2348"/>
      <c r="R84" s="2346"/>
      <c r="S84" s="2348"/>
      <c r="T84" s="1361"/>
      <c r="U84" s="1361"/>
      <c r="V84" s="1363"/>
      <c r="W84" s="1214"/>
      <c r="X84" s="1185"/>
      <c r="Y84" s="1185"/>
      <c r="Z84" s="1185"/>
      <c r="AA84" s="1185"/>
      <c r="AB84" s="1185"/>
      <c r="AC84" s="1185" t="s">
        <v>227</v>
      </c>
      <c r="AD84" s="1185" t="s">
        <v>228</v>
      </c>
      <c r="AE84" s="1185" t="s">
        <v>229</v>
      </c>
      <c r="AF84" s="1185" t="s">
        <v>230</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98" customFormat="1" ht="17.25" hidden="1" customHeight="1">
      <c r="A85" s="258"/>
      <c r="C85" s="257"/>
      <c r="D85" s="2361"/>
      <c r="E85" s="2350"/>
      <c r="F85" s="2364"/>
      <c r="G85" s="2350"/>
      <c r="H85" s="2353"/>
      <c r="I85" s="2355"/>
      <c r="J85" s="2357"/>
      <c r="K85" s="2349"/>
      <c r="L85" s="2349"/>
      <c r="M85" s="2349"/>
      <c r="N85" s="2360"/>
      <c r="O85" s="2349"/>
      <c r="P85" s="2349"/>
      <c r="Q85" s="2349"/>
      <c r="R85" s="2347"/>
      <c r="S85" s="2349"/>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98" customFormat="1" ht="17.25" hidden="1" customHeight="1">
      <c r="A86" s="258"/>
      <c r="C86" s="257"/>
      <c r="D86" s="2362"/>
      <c r="E86" s="2351"/>
      <c r="F86" s="2364"/>
      <c r="G86" s="2351"/>
      <c r="H86" s="2353"/>
      <c r="I86" s="2355"/>
      <c r="J86" s="2358"/>
      <c r="K86" s="2349"/>
      <c r="L86" s="2349"/>
      <c r="M86" s="2349"/>
      <c r="N86" s="2347"/>
      <c r="O86" s="2349"/>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98" customFormat="1" ht="17.25" hidden="1" customHeight="1">
      <c r="A87" s="258"/>
      <c r="C87" s="257"/>
      <c r="D87" s="2362"/>
      <c r="E87" s="2351"/>
      <c r="F87" s="2364"/>
      <c r="G87" s="2351"/>
      <c r="H87" s="2353"/>
      <c r="I87" s="2355"/>
      <c r="J87" s="2358"/>
      <c r="K87" s="2349"/>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98" customFormat="1" ht="17.25" hidden="1" customHeight="1">
      <c r="A88" s="258"/>
      <c r="C88" s="257"/>
      <c r="D88" s="2362"/>
      <c r="E88" s="2351"/>
      <c r="F88" s="2365"/>
      <c r="G88" s="2351"/>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98" customFormat="1" ht="17.25" hidden="1" customHeight="1">
      <c r="A89" s="258"/>
      <c r="C89" s="146"/>
      <c r="D89" s="2361">
        <v>3</v>
      </c>
      <c r="E89" s="2350" t="s">
        <v>231</v>
      </c>
      <c r="F89" s="2363" t="s">
        <v>19</v>
      </c>
      <c r="G89" s="2350"/>
      <c r="H89" s="2352"/>
      <c r="I89" s="2354"/>
      <c r="J89" s="2356"/>
      <c r="K89" s="2348"/>
      <c r="L89" s="2348"/>
      <c r="M89" s="2348"/>
      <c r="N89" s="2359"/>
      <c r="O89" s="2348"/>
      <c r="P89" s="2348"/>
      <c r="Q89" s="2348"/>
      <c r="R89" s="2346"/>
      <c r="S89" s="2348"/>
      <c r="T89" s="1361"/>
      <c r="U89" s="1361"/>
      <c r="V89" s="1363"/>
      <c r="W89" s="1214"/>
      <c r="X89" s="1185"/>
      <c r="Y89" s="1185"/>
      <c r="Z89" s="1185"/>
      <c r="AA89" s="1185"/>
      <c r="AB89" s="1185"/>
      <c r="AC89" s="1185" t="s">
        <v>232</v>
      </c>
      <c r="AD89" s="1185" t="s">
        <v>233</v>
      </c>
      <c r="AE89" s="1185" t="s">
        <v>234</v>
      </c>
      <c r="AF89" s="1185" t="s">
        <v>235</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98" customFormat="1" ht="17.25" hidden="1" customHeight="1">
      <c r="A90" s="258"/>
      <c r="C90" s="257"/>
      <c r="D90" s="2361"/>
      <c r="E90" s="2350"/>
      <c r="F90" s="2364"/>
      <c r="G90" s="2350"/>
      <c r="H90" s="2353"/>
      <c r="I90" s="2355"/>
      <c r="J90" s="2357"/>
      <c r="K90" s="2349"/>
      <c r="L90" s="2349"/>
      <c r="M90" s="2349"/>
      <c r="N90" s="2360"/>
      <c r="O90" s="2349"/>
      <c r="P90" s="2349"/>
      <c r="Q90" s="2349"/>
      <c r="R90" s="2347"/>
      <c r="S90" s="2349"/>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98" customFormat="1" ht="17.25" hidden="1" customHeight="1">
      <c r="A91" s="258"/>
      <c r="C91" s="257"/>
      <c r="D91" s="2362"/>
      <c r="E91" s="2351"/>
      <c r="F91" s="2364"/>
      <c r="G91" s="2351"/>
      <c r="H91" s="2353"/>
      <c r="I91" s="2355"/>
      <c r="J91" s="2358"/>
      <c r="K91" s="2349"/>
      <c r="L91" s="2349"/>
      <c r="M91" s="2349"/>
      <c r="N91" s="2347"/>
      <c r="O91" s="2349"/>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98" customFormat="1" ht="17.25" hidden="1" customHeight="1">
      <c r="A92" s="258"/>
      <c r="C92" s="257"/>
      <c r="D92" s="2362"/>
      <c r="E92" s="2351"/>
      <c r="F92" s="2364"/>
      <c r="G92" s="2351"/>
      <c r="H92" s="2353"/>
      <c r="I92" s="2355"/>
      <c r="J92" s="2358"/>
      <c r="K92" s="2349"/>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98" customFormat="1" ht="17.25" hidden="1" customHeight="1">
      <c r="A93" s="258"/>
      <c r="C93" s="257"/>
      <c r="D93" s="2362"/>
      <c r="E93" s="2351"/>
      <c r="F93" s="2365"/>
      <c r="G93" s="2351"/>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98" customFormat="1" ht="17.25" hidden="1" customHeight="1">
      <c r="A94" s="258"/>
      <c r="C94" s="146"/>
      <c r="D94" s="2361">
        <v>4</v>
      </c>
      <c r="E94" s="2350" t="s">
        <v>236</v>
      </c>
      <c r="F94" s="2363" t="s">
        <v>19</v>
      </c>
      <c r="G94" s="2350"/>
      <c r="H94" s="2352"/>
      <c r="I94" s="2354"/>
      <c r="J94" s="2356"/>
      <c r="K94" s="2348"/>
      <c r="L94" s="2348"/>
      <c r="M94" s="2348"/>
      <c r="N94" s="2359"/>
      <c r="O94" s="2348"/>
      <c r="P94" s="2348"/>
      <c r="Q94" s="2348"/>
      <c r="R94" s="2346"/>
      <c r="S94" s="2348"/>
      <c r="T94" s="1361"/>
      <c r="U94" s="1361"/>
      <c r="V94" s="1363"/>
      <c r="W94" s="1214"/>
      <c r="X94" s="1185"/>
      <c r="Y94" s="1185"/>
      <c r="Z94" s="1185"/>
      <c r="AA94" s="1185"/>
      <c r="AB94" s="1185"/>
      <c r="AC94" s="1185" t="s">
        <v>237</v>
      </c>
      <c r="AD94" s="1185" t="s">
        <v>238</v>
      </c>
      <c r="AE94" s="1185" t="s">
        <v>239</v>
      </c>
      <c r="AF94" s="1185" t="s">
        <v>240</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98" customFormat="1" ht="17.25" hidden="1" customHeight="1">
      <c r="A95" s="258"/>
      <c r="C95" s="257"/>
      <c r="D95" s="2361"/>
      <c r="E95" s="2350"/>
      <c r="F95" s="2364"/>
      <c r="G95" s="2350"/>
      <c r="H95" s="2353"/>
      <c r="I95" s="2355"/>
      <c r="J95" s="2357"/>
      <c r="K95" s="2349"/>
      <c r="L95" s="2349"/>
      <c r="M95" s="2349"/>
      <c r="N95" s="2360"/>
      <c r="O95" s="2349"/>
      <c r="P95" s="2349"/>
      <c r="Q95" s="2349"/>
      <c r="R95" s="2347"/>
      <c r="S95" s="2349"/>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98" customFormat="1" ht="17.25" hidden="1" customHeight="1">
      <c r="A96" s="258"/>
      <c r="C96" s="257"/>
      <c r="D96" s="2362"/>
      <c r="E96" s="2351"/>
      <c r="F96" s="2364"/>
      <c r="G96" s="2351"/>
      <c r="H96" s="2353"/>
      <c r="I96" s="2355"/>
      <c r="J96" s="2358"/>
      <c r="K96" s="2349"/>
      <c r="L96" s="2349"/>
      <c r="M96" s="2349"/>
      <c r="N96" s="2347"/>
      <c r="O96" s="2349"/>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98" customFormat="1" ht="17.25" hidden="1" customHeight="1">
      <c r="A97" s="258"/>
      <c r="C97" s="257"/>
      <c r="D97" s="2362"/>
      <c r="E97" s="2351"/>
      <c r="F97" s="2364"/>
      <c r="G97" s="2351"/>
      <c r="H97" s="2353"/>
      <c r="I97" s="2355"/>
      <c r="J97" s="2358"/>
      <c r="K97" s="2349"/>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98" customFormat="1" ht="17.25" hidden="1" customHeight="1">
      <c r="A98" s="258"/>
      <c r="C98" s="257"/>
      <c r="D98" s="2362"/>
      <c r="E98" s="2351"/>
      <c r="F98" s="2365"/>
      <c r="G98" s="2351"/>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98" customFormat="1" ht="17.25" hidden="1" customHeight="1">
      <c r="A99" s="258"/>
      <c r="C99" s="146"/>
      <c r="D99" s="2361">
        <v>5</v>
      </c>
      <c r="E99" s="2350" t="s">
        <v>241</v>
      </c>
      <c r="F99" s="2363" t="s">
        <v>19</v>
      </c>
      <c r="G99" s="2350"/>
      <c r="H99" s="2352"/>
      <c r="I99" s="2354"/>
      <c r="J99" s="2356"/>
      <c r="K99" s="2348"/>
      <c r="L99" s="2348"/>
      <c r="M99" s="2348"/>
      <c r="N99" s="2359"/>
      <c r="O99" s="2348"/>
      <c r="P99" s="2348"/>
      <c r="Q99" s="2348"/>
      <c r="R99" s="2346"/>
      <c r="S99" s="2348"/>
      <c r="T99" s="1855"/>
      <c r="U99" s="1855"/>
      <c r="V99" s="1857"/>
      <c r="W99" s="1214"/>
      <c r="X99" s="1185"/>
      <c r="Y99" s="1185"/>
      <c r="Z99" s="1185"/>
      <c r="AA99" s="1185"/>
      <c r="AB99" s="1185"/>
      <c r="AC99" s="1185" t="s">
        <v>242</v>
      </c>
      <c r="AD99" s="1185" t="s">
        <v>243</v>
      </c>
      <c r="AE99" s="1185" t="s">
        <v>244</v>
      </c>
      <c r="AF99" s="1185" t="s">
        <v>245</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98" customFormat="1" ht="17.25" hidden="1" customHeight="1">
      <c r="A100" s="258"/>
      <c r="C100" s="257"/>
      <c r="D100" s="2361"/>
      <c r="E100" s="2350"/>
      <c r="F100" s="2364"/>
      <c r="G100" s="2350"/>
      <c r="H100" s="2353"/>
      <c r="I100" s="2355"/>
      <c r="J100" s="2357"/>
      <c r="K100" s="2349"/>
      <c r="L100" s="2349"/>
      <c r="M100" s="2349"/>
      <c r="N100" s="2360"/>
      <c r="O100" s="2349"/>
      <c r="P100" s="2349"/>
      <c r="Q100" s="2349"/>
      <c r="R100" s="2347"/>
      <c r="S100" s="2349"/>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98" customFormat="1" ht="17.25" hidden="1" customHeight="1">
      <c r="A101" s="258"/>
      <c r="C101" s="257"/>
      <c r="D101" s="2362"/>
      <c r="E101" s="2351"/>
      <c r="F101" s="2364"/>
      <c r="G101" s="2351"/>
      <c r="H101" s="2353"/>
      <c r="I101" s="2355"/>
      <c r="J101" s="2358"/>
      <c r="K101" s="2349"/>
      <c r="L101" s="2349"/>
      <c r="M101" s="2349"/>
      <c r="N101" s="2347"/>
      <c r="O101" s="2349"/>
      <c r="P101" s="1856"/>
      <c r="Q101" s="1860"/>
      <c r="R101" s="1860"/>
      <c r="S101" s="266"/>
      <c r="T101" s="266"/>
      <c r="U101" s="266"/>
      <c r="V101" s="266"/>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98" customFormat="1" ht="17.25" hidden="1" customHeight="1">
      <c r="A102" s="258"/>
      <c r="C102" s="257"/>
      <c r="D102" s="2362"/>
      <c r="E102" s="2351"/>
      <c r="F102" s="2364"/>
      <c r="G102" s="2351"/>
      <c r="H102" s="2353"/>
      <c r="I102" s="2355"/>
      <c r="J102" s="2358"/>
      <c r="K102" s="2349"/>
      <c r="L102" s="1860"/>
      <c r="M102" s="1860"/>
      <c r="N102" s="1860"/>
      <c r="O102" s="1860"/>
      <c r="P102" s="1860"/>
      <c r="Q102" s="1860"/>
      <c r="R102" s="1860"/>
      <c r="S102" s="266"/>
      <c r="T102" s="266"/>
      <c r="U102" s="266"/>
      <c r="V102" s="266"/>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98" customFormat="1" ht="17.25" hidden="1" customHeight="1">
      <c r="A103" s="258"/>
      <c r="C103" s="257"/>
      <c r="D103" s="2362"/>
      <c r="E103" s="2351"/>
      <c r="F103" s="2365"/>
      <c r="G103" s="2351"/>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98"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98" customFormat="1" ht="17.25" hidden="1" customHeight="1">
      <c r="A105" s="258"/>
      <c r="C105" s="146"/>
      <c r="D105" s="2361">
        <v>1</v>
      </c>
      <c r="E105" s="2350" t="s">
        <v>246</v>
      </c>
      <c r="F105" s="2363" t="s">
        <v>19</v>
      </c>
      <c r="G105" s="2350"/>
      <c r="H105" s="2352"/>
      <c r="I105" s="2354"/>
      <c r="J105" s="2356"/>
      <c r="K105" s="2348"/>
      <c r="L105" s="2348"/>
      <c r="M105" s="2348"/>
      <c r="N105" s="2359"/>
      <c r="O105" s="2348"/>
      <c r="P105" s="2348"/>
      <c r="Q105" s="2348"/>
      <c r="R105" s="2346"/>
      <c r="S105" s="2348"/>
      <c r="T105" s="1388"/>
      <c r="U105" s="1388"/>
      <c r="V105" s="1390"/>
      <c r="W105" s="1214"/>
      <c r="Y105" s="1185"/>
      <c r="Z105" s="1185"/>
      <c r="AA105" s="1185"/>
      <c r="AB105" s="1185"/>
      <c r="AC105" s="1185" t="s">
        <v>247</v>
      </c>
      <c r="AD105" s="1185" t="s">
        <v>248</v>
      </c>
      <c r="AE105" s="1185" t="s">
        <v>249</v>
      </c>
      <c r="AF105" s="1185" t="s">
        <v>250</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98" customFormat="1" ht="17.25" hidden="1" customHeight="1">
      <c r="A106" s="258"/>
      <c r="C106" s="257"/>
      <c r="D106" s="2361"/>
      <c r="E106" s="2350"/>
      <c r="F106" s="2364"/>
      <c r="G106" s="2350"/>
      <c r="H106" s="2353"/>
      <c r="I106" s="2355"/>
      <c r="J106" s="2357"/>
      <c r="K106" s="2349"/>
      <c r="L106" s="2349"/>
      <c r="M106" s="2349"/>
      <c r="N106" s="2360"/>
      <c r="O106" s="2349"/>
      <c r="P106" s="2349"/>
      <c r="Q106" s="2349"/>
      <c r="R106" s="2347"/>
      <c r="S106" s="2349"/>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98" customFormat="1" ht="17.25" hidden="1" customHeight="1">
      <c r="A107" s="258"/>
      <c r="C107" s="146"/>
      <c r="D107" s="2361"/>
      <c r="E107" s="2350"/>
      <c r="F107" s="2364"/>
      <c r="G107" s="2350"/>
      <c r="H107" s="2353"/>
      <c r="I107" s="2355"/>
      <c r="J107" s="2358"/>
      <c r="K107" s="2349"/>
      <c r="L107" s="2349"/>
      <c r="M107" s="2349"/>
      <c r="N107" s="2347"/>
      <c r="O107" s="2349"/>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98" customFormat="1" ht="17.25" hidden="1" customHeight="1">
      <c r="A108" s="258"/>
      <c r="C108" s="257"/>
      <c r="D108" s="2361"/>
      <c r="E108" s="2350"/>
      <c r="F108" s="2364"/>
      <c r="G108" s="2350"/>
      <c r="H108" s="2353"/>
      <c r="I108" s="2355"/>
      <c r="J108" s="2358"/>
      <c r="K108" s="2349"/>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98" customFormat="1" ht="17.25" hidden="1" customHeight="1">
      <c r="A109" s="258"/>
      <c r="C109" s="257"/>
      <c r="D109" s="2362"/>
      <c r="E109" s="2351"/>
      <c r="F109" s="2365"/>
      <c r="G109" s="2351"/>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98" customFormat="1" ht="17.25" hidden="1" customHeight="1">
      <c r="A110" s="258"/>
      <c r="C110" s="146"/>
      <c r="D110" s="2361">
        <v>2</v>
      </c>
      <c r="E110" s="2350" t="s">
        <v>251</v>
      </c>
      <c r="F110" s="2363" t="s">
        <v>19</v>
      </c>
      <c r="G110" s="2350"/>
      <c r="H110" s="2352"/>
      <c r="I110" s="2354"/>
      <c r="J110" s="2356"/>
      <c r="K110" s="2348"/>
      <c r="L110" s="2348"/>
      <c r="M110" s="2348"/>
      <c r="N110" s="2359"/>
      <c r="O110" s="2348"/>
      <c r="P110" s="2348"/>
      <c r="Q110" s="2348"/>
      <c r="R110" s="2346"/>
      <c r="S110" s="2348"/>
      <c r="T110" s="1388"/>
      <c r="U110" s="1388"/>
      <c r="V110" s="1390"/>
      <c r="W110" s="1214"/>
      <c r="X110" s="1185"/>
      <c r="Y110" s="1185"/>
      <c r="Z110" s="1185"/>
      <c r="AA110" s="1185"/>
      <c r="AB110" s="1185"/>
      <c r="AC110" s="1185" t="s">
        <v>252</v>
      </c>
      <c r="AD110" s="1185" t="s">
        <v>253</v>
      </c>
      <c r="AE110" s="1185" t="s">
        <v>254</v>
      </c>
      <c r="AF110" s="1185" t="s">
        <v>255</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98" customFormat="1" ht="17.25" hidden="1" customHeight="1">
      <c r="A111" s="258"/>
      <c r="C111" s="257"/>
      <c r="D111" s="2361"/>
      <c r="E111" s="2350"/>
      <c r="F111" s="2364"/>
      <c r="G111" s="2350"/>
      <c r="H111" s="2353"/>
      <c r="I111" s="2355"/>
      <c r="J111" s="2357"/>
      <c r="K111" s="2349"/>
      <c r="L111" s="2349"/>
      <c r="M111" s="2349"/>
      <c r="N111" s="2360"/>
      <c r="O111" s="2349"/>
      <c r="P111" s="2349"/>
      <c r="Q111" s="2349"/>
      <c r="R111" s="2347"/>
      <c r="S111" s="2349"/>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98" customFormat="1" ht="17.25" hidden="1" customHeight="1">
      <c r="A112" s="258"/>
      <c r="C112" s="257"/>
      <c r="D112" s="2362"/>
      <c r="E112" s="2351"/>
      <c r="F112" s="2364"/>
      <c r="G112" s="2351"/>
      <c r="H112" s="2353"/>
      <c r="I112" s="2355"/>
      <c r="J112" s="2358"/>
      <c r="K112" s="2349"/>
      <c r="L112" s="2349"/>
      <c r="M112" s="2349"/>
      <c r="N112" s="2347"/>
      <c r="O112" s="2349"/>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98" customFormat="1" ht="17.25" hidden="1" customHeight="1">
      <c r="A113" s="258"/>
      <c r="C113" s="257"/>
      <c r="D113" s="2362"/>
      <c r="E113" s="2351"/>
      <c r="F113" s="2364"/>
      <c r="G113" s="2351"/>
      <c r="H113" s="2353"/>
      <c r="I113" s="2355"/>
      <c r="J113" s="2358"/>
      <c r="K113" s="2349"/>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98" customFormat="1" ht="17.25" hidden="1" customHeight="1">
      <c r="A114" s="258"/>
      <c r="C114" s="257"/>
      <c r="D114" s="2362"/>
      <c r="E114" s="2351"/>
      <c r="F114" s="2365"/>
      <c r="G114" s="2351"/>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98" customFormat="1" ht="17.25" hidden="1" customHeight="1">
      <c r="A115" s="258"/>
      <c r="C115" s="146"/>
      <c r="D115" s="2361">
        <v>3</v>
      </c>
      <c r="E115" s="2350" t="s">
        <v>256</v>
      </c>
      <c r="F115" s="2363" t="s">
        <v>19</v>
      </c>
      <c r="G115" s="2350"/>
      <c r="H115" s="2352"/>
      <c r="I115" s="2354"/>
      <c r="J115" s="2356"/>
      <c r="K115" s="2348"/>
      <c r="L115" s="2348"/>
      <c r="M115" s="2348"/>
      <c r="N115" s="2359"/>
      <c r="O115" s="2348"/>
      <c r="P115" s="2348"/>
      <c r="Q115" s="2348"/>
      <c r="R115" s="2346"/>
      <c r="S115" s="2348"/>
      <c r="T115" s="1855"/>
      <c r="U115" s="1855"/>
      <c r="V115" s="1857"/>
      <c r="W115" s="1214"/>
      <c r="X115" s="1185"/>
      <c r="Y115" s="1185"/>
      <c r="Z115" s="1185"/>
      <c r="AA115" s="1185"/>
      <c r="AB115" s="1185"/>
      <c r="AC115" s="1185" t="s">
        <v>257</v>
      </c>
      <c r="AD115" s="1185" t="s">
        <v>258</v>
      </c>
      <c r="AE115" s="1185" t="s">
        <v>259</v>
      </c>
      <c r="AF115" s="1185" t="s">
        <v>260</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98" customFormat="1" ht="17.25" hidden="1" customHeight="1">
      <c r="A116" s="258"/>
      <c r="C116" s="257"/>
      <c r="D116" s="2361"/>
      <c r="E116" s="2350"/>
      <c r="F116" s="2364"/>
      <c r="G116" s="2350"/>
      <c r="H116" s="2353"/>
      <c r="I116" s="2355"/>
      <c r="J116" s="2357"/>
      <c r="K116" s="2349"/>
      <c r="L116" s="2349"/>
      <c r="M116" s="2349"/>
      <c r="N116" s="2360"/>
      <c r="O116" s="2349"/>
      <c r="P116" s="2349"/>
      <c r="Q116" s="2349"/>
      <c r="R116" s="2347"/>
      <c r="S116" s="2349"/>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98" customFormat="1" ht="17.25" hidden="1" customHeight="1">
      <c r="A117" s="258"/>
      <c r="C117" s="257"/>
      <c r="D117" s="2362"/>
      <c r="E117" s="2351"/>
      <c r="F117" s="2364"/>
      <c r="G117" s="2351"/>
      <c r="H117" s="2353"/>
      <c r="I117" s="2355"/>
      <c r="J117" s="2358"/>
      <c r="K117" s="2349"/>
      <c r="L117" s="2349"/>
      <c r="M117" s="2349"/>
      <c r="N117" s="2347"/>
      <c r="O117" s="2349"/>
      <c r="P117" s="1856"/>
      <c r="Q117" s="1860"/>
      <c r="R117" s="1860"/>
      <c r="S117" s="266"/>
      <c r="T117" s="266"/>
      <c r="U117" s="266"/>
      <c r="V117" s="266"/>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98" customFormat="1" ht="17.25" hidden="1" customHeight="1">
      <c r="A118" s="258"/>
      <c r="C118" s="257"/>
      <c r="D118" s="2362"/>
      <c r="E118" s="2351"/>
      <c r="F118" s="2364"/>
      <c r="G118" s="2351"/>
      <c r="H118" s="2353"/>
      <c r="I118" s="2355"/>
      <c r="J118" s="2358"/>
      <c r="K118" s="2349"/>
      <c r="L118" s="1860"/>
      <c r="M118" s="1860"/>
      <c r="N118" s="1860"/>
      <c r="O118" s="1860"/>
      <c r="P118" s="1860"/>
      <c r="Q118" s="1860"/>
      <c r="R118" s="1860"/>
      <c r="S118" s="266"/>
      <c r="T118" s="266"/>
      <c r="U118" s="266"/>
      <c r="V118" s="266"/>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98" customFormat="1" ht="17.25" hidden="1" customHeight="1">
      <c r="A119" s="258"/>
      <c r="C119" s="257"/>
      <c r="D119" s="2362"/>
      <c r="E119" s="2351"/>
      <c r="F119" s="2365"/>
      <c r="G119" s="2351"/>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98"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98" customFormat="1" ht="17.25" hidden="1" customHeight="1">
      <c r="A121" s="258"/>
      <c r="C121" s="146"/>
      <c r="D121" s="2361">
        <v>1</v>
      </c>
      <c r="E121" s="2350" t="s">
        <v>261</v>
      </c>
      <c r="F121" s="2363" t="s">
        <v>19</v>
      </c>
      <c r="G121" s="2350"/>
      <c r="H121" s="2352"/>
      <c r="I121" s="2354"/>
      <c r="J121" s="2356"/>
      <c r="K121" s="2348"/>
      <c r="L121" s="2348"/>
      <c r="M121" s="2348"/>
      <c r="N121" s="2359"/>
      <c r="O121" s="2348"/>
      <c r="P121" s="2348"/>
      <c r="Q121" s="2348"/>
      <c r="R121" s="2346"/>
      <c r="S121" s="2348"/>
      <c r="T121" s="1388"/>
      <c r="U121" s="1388"/>
      <c r="V121" s="1390"/>
      <c r="W121" s="1214"/>
      <c r="Y121" s="1185"/>
      <c r="Z121" s="1185"/>
      <c r="AA121" s="1185"/>
      <c r="AB121" s="1185"/>
      <c r="AC121" s="1185" t="s">
        <v>262</v>
      </c>
      <c r="AD121" s="1185" t="s">
        <v>263</v>
      </c>
      <c r="AE121" s="1185" t="s">
        <v>264</v>
      </c>
      <c r="AF121" s="1185" t="s">
        <v>265</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98" customFormat="1" ht="17.25" hidden="1" customHeight="1">
      <c r="A122" s="258"/>
      <c r="C122" s="257"/>
      <c r="D122" s="2361"/>
      <c r="E122" s="2350"/>
      <c r="F122" s="2364"/>
      <c r="G122" s="2350"/>
      <c r="H122" s="2353"/>
      <c r="I122" s="2355"/>
      <c r="J122" s="2357"/>
      <c r="K122" s="2349"/>
      <c r="L122" s="2349"/>
      <c r="M122" s="2349"/>
      <c r="N122" s="2360"/>
      <c r="O122" s="2349"/>
      <c r="P122" s="2349"/>
      <c r="Q122" s="2349"/>
      <c r="R122" s="2347"/>
      <c r="S122" s="2349"/>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98" customFormat="1" ht="17.25" hidden="1" customHeight="1">
      <c r="A123" s="258"/>
      <c r="C123" s="146"/>
      <c r="D123" s="2361"/>
      <c r="E123" s="2350"/>
      <c r="F123" s="2364"/>
      <c r="G123" s="2350"/>
      <c r="H123" s="2353"/>
      <c r="I123" s="2355"/>
      <c r="J123" s="2358"/>
      <c r="K123" s="2349"/>
      <c r="L123" s="2349"/>
      <c r="M123" s="2349"/>
      <c r="N123" s="2347"/>
      <c r="O123" s="2349"/>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98" customFormat="1" ht="17.25" hidden="1" customHeight="1">
      <c r="A124" s="258"/>
      <c r="C124" s="257"/>
      <c r="D124" s="2361"/>
      <c r="E124" s="2350"/>
      <c r="F124" s="2364"/>
      <c r="G124" s="2350"/>
      <c r="H124" s="2353"/>
      <c r="I124" s="2355"/>
      <c r="J124" s="2358"/>
      <c r="K124" s="2349"/>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98" customFormat="1" ht="17.25" hidden="1" customHeight="1">
      <c r="A125" s="258"/>
      <c r="C125" s="257"/>
      <c r="D125" s="2362"/>
      <c r="E125" s="2351"/>
      <c r="F125" s="2365"/>
      <c r="G125" s="2351"/>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98" customFormat="1" ht="17.25" hidden="1" customHeight="1">
      <c r="A126" s="258"/>
      <c r="C126" s="146"/>
      <c r="D126" s="2361">
        <v>2</v>
      </c>
      <c r="E126" s="2350" t="s">
        <v>266</v>
      </c>
      <c r="F126" s="2363" t="s">
        <v>19</v>
      </c>
      <c r="G126" s="2350"/>
      <c r="H126" s="2352"/>
      <c r="I126" s="2354"/>
      <c r="J126" s="2356"/>
      <c r="K126" s="2348"/>
      <c r="L126" s="2348"/>
      <c r="M126" s="2348"/>
      <c r="N126" s="2359"/>
      <c r="O126" s="2348"/>
      <c r="P126" s="2348"/>
      <c r="Q126" s="2348"/>
      <c r="R126" s="2346"/>
      <c r="S126" s="2348"/>
      <c r="T126" s="1388"/>
      <c r="U126" s="1388"/>
      <c r="V126" s="1390"/>
      <c r="W126" s="1214"/>
      <c r="X126" s="1185"/>
      <c r="Y126" s="1185"/>
      <c r="Z126" s="1185"/>
      <c r="AA126" s="1185"/>
      <c r="AB126" s="1185"/>
      <c r="AC126" s="1185" t="s">
        <v>267</v>
      </c>
      <c r="AD126" s="1185" t="s">
        <v>268</v>
      </c>
      <c r="AE126" s="1185" t="s">
        <v>269</v>
      </c>
      <c r="AF126" s="1185" t="s">
        <v>270</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98" customFormat="1" ht="17.25" hidden="1" customHeight="1">
      <c r="A127" s="258"/>
      <c r="C127" s="257"/>
      <c r="D127" s="2361"/>
      <c r="E127" s="2350"/>
      <c r="F127" s="2364"/>
      <c r="G127" s="2350"/>
      <c r="H127" s="2353"/>
      <c r="I127" s="2355"/>
      <c r="J127" s="2357"/>
      <c r="K127" s="2349"/>
      <c r="L127" s="2349"/>
      <c r="M127" s="2349"/>
      <c r="N127" s="2360"/>
      <c r="O127" s="2349"/>
      <c r="P127" s="2349"/>
      <c r="Q127" s="2349"/>
      <c r="R127" s="2347"/>
      <c r="S127" s="2349"/>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98" customFormat="1" ht="17.25" hidden="1" customHeight="1">
      <c r="A128" s="258"/>
      <c r="C128" s="257"/>
      <c r="D128" s="2362"/>
      <c r="E128" s="2351"/>
      <c r="F128" s="2364"/>
      <c r="G128" s="2351"/>
      <c r="H128" s="2353"/>
      <c r="I128" s="2355"/>
      <c r="J128" s="2358"/>
      <c r="K128" s="2349"/>
      <c r="L128" s="2349"/>
      <c r="M128" s="2349"/>
      <c r="N128" s="2347"/>
      <c r="O128" s="2349"/>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98" customFormat="1" ht="17.25" hidden="1" customHeight="1">
      <c r="A129" s="258"/>
      <c r="C129" s="257"/>
      <c r="D129" s="2362"/>
      <c r="E129" s="2351"/>
      <c r="F129" s="2364"/>
      <c r="G129" s="2351"/>
      <c r="H129" s="2353"/>
      <c r="I129" s="2355"/>
      <c r="J129" s="2358"/>
      <c r="K129" s="2349"/>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98" customFormat="1" ht="17.25" hidden="1" customHeight="1">
      <c r="A130" s="258"/>
      <c r="C130" s="257"/>
      <c r="D130" s="2362"/>
      <c r="E130" s="2351"/>
      <c r="F130" s="2365"/>
      <c r="G130" s="2351"/>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98" customFormat="1" ht="17.25" hidden="1" customHeight="1">
      <c r="A131" s="258"/>
      <c r="C131" s="146"/>
      <c r="D131" s="2361">
        <v>3</v>
      </c>
      <c r="E131" s="2350" t="s">
        <v>271</v>
      </c>
      <c r="F131" s="2363" t="s">
        <v>19</v>
      </c>
      <c r="G131" s="2350"/>
      <c r="H131" s="2352"/>
      <c r="I131" s="2354"/>
      <c r="J131" s="2356"/>
      <c r="K131" s="2348"/>
      <c r="L131" s="2348"/>
      <c r="M131" s="2348"/>
      <c r="N131" s="2359"/>
      <c r="O131" s="2348"/>
      <c r="P131" s="2348"/>
      <c r="Q131" s="2348"/>
      <c r="R131" s="2346"/>
      <c r="S131" s="2348"/>
      <c r="T131" s="1855"/>
      <c r="U131" s="1855"/>
      <c r="V131" s="1857"/>
      <c r="W131" s="1214"/>
      <c r="X131" s="1185"/>
      <c r="Y131" s="1185"/>
      <c r="Z131" s="1185"/>
      <c r="AA131" s="1185"/>
      <c r="AB131" s="1185"/>
      <c r="AC131" s="1185" t="s">
        <v>272</v>
      </c>
      <c r="AD131" s="1185" t="s">
        <v>273</v>
      </c>
      <c r="AE131" s="1185" t="s">
        <v>274</v>
      </c>
      <c r="AF131" s="1185" t="s">
        <v>275</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98" customFormat="1" ht="17.25" hidden="1" customHeight="1">
      <c r="A132" s="258"/>
      <c r="C132" s="257"/>
      <c r="D132" s="2361"/>
      <c r="E132" s="2350"/>
      <c r="F132" s="2364"/>
      <c r="G132" s="2350"/>
      <c r="H132" s="2353"/>
      <c r="I132" s="2355"/>
      <c r="J132" s="2357"/>
      <c r="K132" s="2349"/>
      <c r="L132" s="2349"/>
      <c r="M132" s="2349"/>
      <c r="N132" s="2360"/>
      <c r="O132" s="2349"/>
      <c r="P132" s="2349"/>
      <c r="Q132" s="2349"/>
      <c r="R132" s="2347"/>
      <c r="S132" s="2349"/>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98" customFormat="1" ht="17.25" hidden="1" customHeight="1">
      <c r="A133" s="258"/>
      <c r="C133" s="257"/>
      <c r="D133" s="2362"/>
      <c r="E133" s="2351"/>
      <c r="F133" s="2364"/>
      <c r="G133" s="2351"/>
      <c r="H133" s="2353"/>
      <c r="I133" s="2355"/>
      <c r="J133" s="2358"/>
      <c r="K133" s="2349"/>
      <c r="L133" s="2349"/>
      <c r="M133" s="2349"/>
      <c r="N133" s="2347"/>
      <c r="O133" s="2349"/>
      <c r="P133" s="1856"/>
      <c r="Q133" s="1860"/>
      <c r="R133" s="1860"/>
      <c r="S133" s="266"/>
      <c r="T133" s="266"/>
      <c r="U133" s="266"/>
      <c r="V133" s="266"/>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98" customFormat="1" ht="17.25" hidden="1" customHeight="1">
      <c r="A134" s="258"/>
      <c r="C134" s="257"/>
      <c r="D134" s="2362"/>
      <c r="E134" s="2351"/>
      <c r="F134" s="2364"/>
      <c r="G134" s="2351"/>
      <c r="H134" s="2353"/>
      <c r="I134" s="2355"/>
      <c r="J134" s="2358"/>
      <c r="K134" s="2349"/>
      <c r="L134" s="1860"/>
      <c r="M134" s="1860"/>
      <c r="N134" s="1860"/>
      <c r="O134" s="1860"/>
      <c r="P134" s="1860"/>
      <c r="Q134" s="1860"/>
      <c r="R134" s="1860"/>
      <c r="S134" s="266"/>
      <c r="T134" s="266"/>
      <c r="U134" s="266"/>
      <c r="V134" s="266"/>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98" customFormat="1" ht="17.25" hidden="1" customHeight="1">
      <c r="A135" s="258"/>
      <c r="C135" s="257"/>
      <c r="D135" s="2362"/>
      <c r="E135" s="2351"/>
      <c r="F135" s="2365"/>
      <c r="G135" s="2351"/>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84</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71" hidden="1" customWidth="1"/>
    <col min="2" max="2" width="9.140625" style="2062" hidden="1" customWidth="1"/>
    <col min="3" max="3" width="4" style="2054" customWidth="1"/>
    <col min="4" max="4" width="6" style="2062" customWidth="1"/>
    <col min="5" max="5" width="47" style="2062" customWidth="1"/>
    <col min="6" max="6" width="9" style="2062" customWidth="1"/>
    <col min="7" max="7" width="25.7109375" style="2062" hidden="1" customWidth="1"/>
    <col min="8" max="8" width="34" style="2062" hidden="1" customWidth="1"/>
    <col min="9" max="9" width="25.7109375" style="2062" customWidth="1"/>
    <col min="10" max="10" width="33" style="2062" customWidth="1"/>
    <col min="11" max="11" width="50" style="2056" customWidth="1"/>
    <col min="12" max="20" width="10" style="2062" customWidth="1"/>
    <col min="21" max="21" width="10" style="2063" customWidth="1"/>
    <col min="22" max="22" width="10.5703125" style="2062" hidden="1"/>
  </cols>
  <sheetData>
    <row r="1" spans="1:22" s="2056" customFormat="1" ht="22.5" hidden="1" customHeight="1">
      <c r="C1" s="608"/>
      <c r="G1" s="353">
        <v>4</v>
      </c>
      <c r="I1" s="353">
        <v>4</v>
      </c>
      <c r="U1" s="356"/>
      <c r="V1" s="353" t="s">
        <v>14</v>
      </c>
    </row>
    <row r="2" spans="1:22" s="2062" customFormat="1" ht="15" hidden="1" customHeight="1">
      <c r="A2" s="298"/>
      <c r="C2" s="113"/>
      <c r="D2" s="283"/>
      <c r="E2" s="609"/>
      <c r="F2" s="458"/>
      <c r="G2" s="552"/>
      <c r="H2" s="552"/>
      <c r="I2" s="552"/>
      <c r="J2" s="552"/>
      <c r="U2" s="610"/>
      <c r="V2" s="445">
        <v>0</v>
      </c>
    </row>
    <row r="3" spans="1:22" s="2056"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37" t="s">
        <v>1225</v>
      </c>
      <c r="E5" s="2437"/>
      <c r="F5" s="2437"/>
      <c r="G5" s="2437"/>
      <c r="H5" s="2437"/>
      <c r="I5" s="2437"/>
      <c r="J5" s="2437"/>
      <c r="V5" s="441">
        <v>63</v>
      </c>
    </row>
    <row r="6" spans="1:22" ht="15.75" customHeight="1">
      <c r="C6" s="113"/>
      <c r="D6" s="2409" t="str">
        <f>IF(org=0,"Не определено",org)</f>
        <v>ПАО "ТГК-1" филиал "Невский"</v>
      </c>
      <c r="E6" s="2409"/>
      <c r="F6" s="2409"/>
      <c r="G6" s="2409"/>
      <c r="H6" s="2409"/>
      <c r="I6" s="2409"/>
      <c r="J6" s="2409"/>
      <c r="K6" s="473"/>
      <c r="V6" s="441">
        <v>15</v>
      </c>
    </row>
    <row r="7" spans="1:22" ht="15.75" customHeight="1">
      <c r="C7" s="113"/>
      <c r="D7" s="688"/>
      <c r="E7" s="445"/>
      <c r="F7" s="445"/>
      <c r="G7" s="473">
        <v>22</v>
      </c>
      <c r="I7" s="473">
        <v>1</v>
      </c>
      <c r="J7" s="688"/>
      <c r="V7" s="441">
        <v>15</v>
      </c>
    </row>
    <row r="8" spans="1:22" s="2062" customFormat="1" ht="1.1499999999999999" customHeight="1">
      <c r="A8" s="693"/>
      <c r="C8" s="113"/>
      <c r="D8" s="445"/>
      <c r="E8" s="445"/>
      <c r="F8" s="445"/>
      <c r="G8" s="473"/>
      <c r="H8" s="688"/>
      <c r="I8" s="473" t="s">
        <v>116</v>
      </c>
      <c r="J8" s="688"/>
      <c r="K8" s="353"/>
      <c r="U8" s="611"/>
      <c r="V8" s="692">
        <v>1</v>
      </c>
    </row>
    <row r="9" spans="1:22" ht="15.75" customHeight="1">
      <c r="C9" s="113"/>
      <c r="D9" s="647"/>
      <c r="E9" s="2543" t="s">
        <v>104</v>
      </c>
      <c r="F9" s="2544"/>
      <c r="G9" s="2568" t="str">
        <f>IF(G8="","",INDEX(DIFFERENTIATION_UNMERGE_VD,MATCH(G8,DIFFERENTIATION_ID_DIFF,0)))</f>
        <v/>
      </c>
      <c r="H9" s="2569"/>
      <c r="I9" s="2568">
        <f>IF(I8="","",INDEX(DIFFERENTIATION_UNMERGE_VD,MATCH(I8,DIFFERENTIATION_ID_DIFF,0)))</f>
        <v>0</v>
      </c>
      <c r="J9" s="2569"/>
      <c r="K9" s="2387" t="s">
        <v>298</v>
      </c>
      <c r="V9" s="441">
        <v>15</v>
      </c>
    </row>
    <row r="10" spans="1:22" s="2062" customFormat="1" ht="15.75" customHeight="1">
      <c r="A10" s="693"/>
      <c r="C10" s="113"/>
      <c r="D10" s="647"/>
      <c r="E10" s="2543" t="s">
        <v>561</v>
      </c>
      <c r="F10" s="2544"/>
      <c r="G10" s="2568" t="str">
        <f>IF(G8="","",INDEX(DIFFERENTIATION_UNMERGE_AREA,MATCH(G8,DIFFERENTIATION_ID_DIFF,0)))</f>
        <v/>
      </c>
      <c r="H10" s="2569"/>
      <c r="I10" s="2568" t="str">
        <f>IF(I8="","",INDEX(DIFFERENTIATION_UNMERGE_AREA,MATCH(I8,DIFFERENTIATION_ID_DIFF,0)))</f>
        <v/>
      </c>
      <c r="J10" s="2569"/>
      <c r="K10" s="2392"/>
      <c r="U10" s="611"/>
      <c r="V10" s="692">
        <v>15</v>
      </c>
    </row>
    <row r="11" spans="1:22" s="2062" customFormat="1" ht="15.75" customHeight="1">
      <c r="A11" s="693"/>
      <c r="C11" s="113"/>
      <c r="D11" s="647"/>
      <c r="E11" s="2543" t="s">
        <v>562</v>
      </c>
      <c r="F11" s="2544"/>
      <c r="G11" s="2568" t="str">
        <f>IF(G8="","",INDEX(DIFFERENTIATION_UNMERGE_SYSTEM,MATCH(G8,DIFFERENTIATION_ID_DIFF,0)))</f>
        <v/>
      </c>
      <c r="H11" s="2569"/>
      <c r="I11" s="2568" t="str">
        <f>IF(I8="","",INDEX(DIFFERENTIATION_UNMERGE_SYSTEM,MATCH(I8,DIFFERENTIATION_ID_DIFF,0)))</f>
        <v>без дифференциации</v>
      </c>
      <c r="J11" s="2569"/>
      <c r="K11" s="2392"/>
      <c r="U11" s="611"/>
      <c r="V11" s="692">
        <v>15</v>
      </c>
    </row>
    <row r="12" spans="1:22" s="2062" customFormat="1" ht="15.75" customHeight="1">
      <c r="A12" s="693"/>
      <c r="C12" s="113"/>
      <c r="D12" s="2545" t="s">
        <v>297</v>
      </c>
      <c r="E12" s="2546"/>
      <c r="F12" s="2546"/>
      <c r="G12" s="812"/>
      <c r="H12" s="812"/>
      <c r="I12" s="812"/>
      <c r="J12" s="812"/>
      <c r="K12" s="2392"/>
      <c r="U12" s="611"/>
      <c r="V12" s="692">
        <v>15</v>
      </c>
    </row>
    <row r="13" spans="1:22" ht="35.65" customHeight="1">
      <c r="C13" s="113"/>
      <c r="D13" s="735" t="s">
        <v>90</v>
      </c>
      <c r="E13" s="737" t="s">
        <v>299</v>
      </c>
      <c r="F13" s="737" t="s">
        <v>563</v>
      </c>
      <c r="G13" s="738" t="s">
        <v>300</v>
      </c>
      <c r="H13" s="737" t="s">
        <v>387</v>
      </c>
      <c r="I13" s="738" t="s">
        <v>300</v>
      </c>
      <c r="J13" s="737" t="s">
        <v>387</v>
      </c>
      <c r="K13" s="2442"/>
      <c r="V13" s="441">
        <v>34</v>
      </c>
    </row>
    <row r="14" spans="1:22" ht="15" hidden="1" customHeight="1">
      <c r="C14" s="113"/>
      <c r="D14" s="529" t="s">
        <v>108</v>
      </c>
      <c r="E14" s="529" t="s">
        <v>109</v>
      </c>
      <c r="F14" s="529" t="s">
        <v>92</v>
      </c>
      <c r="G14" s="595" t="str">
        <f>G1&amp;".1"</f>
        <v>4.1</v>
      </c>
      <c r="H14" s="595"/>
      <c r="I14" s="595" t="str">
        <f>I1&amp;".1"</f>
        <v>4.1</v>
      </c>
      <c r="J14" s="595"/>
      <c r="K14" s="226"/>
      <c r="V14" s="441">
        <v>0</v>
      </c>
    </row>
    <row r="15" spans="1:22" ht="22.5" hidden="1" customHeight="1">
      <c r="A15" s="441"/>
      <c r="C15" s="462"/>
      <c r="D15" s="457">
        <v>1</v>
      </c>
      <c r="E15" s="613" t="s">
        <v>806</v>
      </c>
      <c r="F15" s="457" t="s">
        <v>807</v>
      </c>
      <c r="G15" s="614"/>
      <c r="H15" s="614"/>
      <c r="I15" s="614"/>
      <c r="J15" s="614"/>
      <c r="K15" s="226" t="s">
        <v>808</v>
      </c>
      <c r="V15" s="441">
        <v>0</v>
      </c>
    </row>
    <row r="16" spans="1:22" ht="22.5" hidden="1" customHeight="1">
      <c r="A16" s="441"/>
      <c r="C16" s="462"/>
      <c r="D16" s="457">
        <v>2</v>
      </c>
      <c r="E16" s="216" t="s">
        <v>809</v>
      </c>
      <c r="F16" s="457" t="s">
        <v>810</v>
      </c>
      <c r="G16" s="614"/>
      <c r="H16" s="614"/>
      <c r="I16" s="614"/>
      <c r="J16" s="614"/>
      <c r="K16" s="226" t="s">
        <v>811</v>
      </c>
      <c r="V16" s="441">
        <v>0</v>
      </c>
    </row>
    <row r="17" spans="1:22" ht="123.75" hidden="1" customHeight="1">
      <c r="A17" s="441"/>
      <c r="C17" s="462"/>
      <c r="D17" s="457">
        <v>3</v>
      </c>
      <c r="E17" s="216" t="s">
        <v>1226</v>
      </c>
      <c r="F17" s="457" t="s">
        <v>303</v>
      </c>
      <c r="G17" s="614"/>
      <c r="H17" s="614"/>
      <c r="I17" s="614"/>
      <c r="J17" s="614"/>
      <c r="K17" s="226" t="s">
        <v>1227</v>
      </c>
      <c r="V17" s="441">
        <v>0</v>
      </c>
    </row>
    <row r="18" spans="1:22" ht="48.2" customHeight="1">
      <c r="A18" s="441"/>
      <c r="C18" s="462"/>
      <c r="D18" s="457">
        <v>3</v>
      </c>
      <c r="E18" s="216" t="s">
        <v>812</v>
      </c>
      <c r="F18" s="457" t="s">
        <v>303</v>
      </c>
      <c r="G18" s="739" t="s">
        <v>303</v>
      </c>
      <c r="H18" s="740" t="s">
        <v>303</v>
      </c>
      <c r="I18" s="457" t="s">
        <v>303</v>
      </c>
      <c r="J18" s="514" t="s">
        <v>303</v>
      </c>
      <c r="K18" s="226" t="s">
        <v>1228</v>
      </c>
      <c r="V18" s="441">
        <v>46</v>
      </c>
    </row>
    <row r="19" spans="1:22" ht="35.65" customHeight="1">
      <c r="A19" s="441"/>
      <c r="C19" s="462"/>
      <c r="D19" s="475" t="s">
        <v>321</v>
      </c>
      <c r="E19" s="495" t="s">
        <v>814</v>
      </c>
      <c r="F19" s="457" t="s">
        <v>815</v>
      </c>
      <c r="G19" s="747"/>
      <c r="H19" s="46"/>
      <c r="I19" s="747"/>
      <c r="J19" s="748"/>
      <c r="K19" s="615"/>
      <c r="V19" s="441">
        <v>34</v>
      </c>
    </row>
    <row r="20" spans="1:22" ht="35.65" customHeight="1">
      <c r="A20" s="441"/>
      <c r="C20" s="462"/>
      <c r="D20" s="1805" t="s">
        <v>329</v>
      </c>
      <c r="E20" s="495" t="s">
        <v>816</v>
      </c>
      <c r="F20" s="457" t="s">
        <v>817</v>
      </c>
      <c r="G20" s="747"/>
      <c r="H20" s="46"/>
      <c r="I20" s="747"/>
      <c r="J20" s="46"/>
      <c r="K20" s="615"/>
      <c r="V20" s="441">
        <v>34</v>
      </c>
    </row>
    <row r="21" spans="1:22" ht="48.2" customHeight="1">
      <c r="A21" s="441"/>
      <c r="C21" s="462"/>
      <c r="D21" s="1805" t="s">
        <v>331</v>
      </c>
      <c r="E21" s="495" t="s">
        <v>818</v>
      </c>
      <c r="F21" s="457" t="s">
        <v>568</v>
      </c>
      <c r="G21" s="616"/>
      <c r="H21" s="46"/>
      <c r="I21" s="616"/>
      <c r="J21" s="46"/>
      <c r="K21" s="615"/>
      <c r="V21" s="441">
        <v>46</v>
      </c>
    </row>
    <row r="22" spans="1:22" ht="67.5" hidden="1" customHeight="1">
      <c r="A22" s="441"/>
      <c r="C22" s="462"/>
      <c r="D22" s="457">
        <v>5</v>
      </c>
      <c r="E22" s="216" t="s">
        <v>1229</v>
      </c>
      <c r="F22" s="457" t="s">
        <v>555</v>
      </c>
      <c r="G22" s="617"/>
      <c r="H22" s="618"/>
      <c r="I22" s="617"/>
      <c r="J22" s="618"/>
      <c r="K22" s="226" t="s">
        <v>1230</v>
      </c>
      <c r="V22" s="441">
        <v>0</v>
      </c>
    </row>
    <row r="23" spans="1:22" ht="33.75" hidden="1" customHeight="1">
      <c r="C23" s="387"/>
      <c r="D23" s="457">
        <v>6</v>
      </c>
      <c r="E23" s="216" t="s">
        <v>1231</v>
      </c>
      <c r="F23" s="457" t="s">
        <v>1232</v>
      </c>
      <c r="G23" s="617"/>
      <c r="H23" s="617"/>
      <c r="I23" s="617"/>
      <c r="J23" s="617"/>
      <c r="K23" s="226" t="s">
        <v>1233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1" customWidth="1"/>
    <col min="2" max="2" width="11" style="2114" customWidth="1"/>
    <col min="3" max="3" width="9.140625" style="2114"/>
    <col min="4" max="4" width="26.5703125" style="2114" customWidth="1"/>
    <col min="5" max="5" width="36.85546875" style="2093" customWidth="1"/>
    <col min="6" max="6" width="23.5703125" style="2093" customWidth="1"/>
    <col min="7" max="7" width="31.42578125" style="2093" customWidth="1"/>
    <col min="8" max="8" width="40.85546875" style="2093" customWidth="1"/>
    <col min="9" max="9" width="14.5703125" style="2093" customWidth="1"/>
    <col min="10" max="10" width="26.85546875" style="2093" customWidth="1"/>
    <col min="11" max="11" width="50" style="2093" customWidth="1"/>
    <col min="12" max="12" width="52.42578125" style="2093" customWidth="1"/>
    <col min="13" max="13" width="10.7109375" style="2093" customWidth="1"/>
    <col min="14" max="14" width="55.140625" style="2093" customWidth="1"/>
    <col min="15" max="15" width="31.85546875" style="2093" customWidth="1"/>
    <col min="16" max="16" width="23.85546875" style="2093" customWidth="1"/>
    <col min="17" max="17" width="46.5703125" style="2093" customWidth="1"/>
    <col min="18" max="18" width="24" style="2093" customWidth="1"/>
    <col min="19" max="19" width="20.5703125" style="2093" customWidth="1"/>
    <col min="20" max="20" width="22" style="2093" customWidth="1"/>
    <col min="21" max="22" width="26.42578125" style="2093" customWidth="1"/>
    <col min="23" max="23" width="8.28515625" style="2093" hidden="1" customWidth="1"/>
    <col min="24" max="24" width="59.7109375" style="2093" customWidth="1"/>
    <col min="25" max="25" width="49.140625" style="2093" customWidth="1"/>
    <col min="26" max="26" width="11.140625" style="2093" customWidth="1"/>
    <col min="27" max="30" width="29" style="2093" customWidth="1"/>
    <col min="31" max="31" width="9.140625" style="2093"/>
    <col min="32" max="32" width="34.7109375" style="2093" customWidth="1"/>
    <col min="33" max="33" width="9.140625" style="2093"/>
    <col min="34" max="35" width="34.42578125" style="2093" customWidth="1"/>
    <col min="36" max="36" width="9.140625" style="2093"/>
    <col min="37" max="37" width="24.5703125" style="2093" customWidth="1"/>
    <col min="38" max="38" width="9.140625" style="2093"/>
    <col min="39" max="39" width="26.140625" style="2093" customWidth="1"/>
    <col min="40" max="40" width="1.7109375" style="2093" customWidth="1"/>
    <col min="41" max="41" width="9.140625" style="2093"/>
    <col min="42" max="43" width="47.85546875" style="2093" customWidth="1"/>
    <col min="44" max="44" width="1.7109375" style="2093" customWidth="1"/>
    <col min="45" max="45" width="21.42578125" style="2093" customWidth="1"/>
    <col min="46" max="46" width="1.7109375" style="2093" customWidth="1"/>
    <col min="47" max="47" width="31.28515625" style="2093" customWidth="1"/>
    <col min="48" max="48" width="1.7109375" style="2093" customWidth="1"/>
    <col min="49" max="50" width="9.140625" style="2093"/>
    <col min="51" max="51" width="3.7109375" style="2093" customWidth="1"/>
    <col min="52" max="52" width="60.85546875" style="2093" customWidth="1"/>
    <col min="53" max="53" width="49.28515625" style="2093" customWidth="1"/>
    <col min="54" max="54" width="35.140625" style="2093" customWidth="1"/>
    <col min="55" max="55" width="9.140625" style="2093"/>
    <col min="56" max="56" width="1.7109375" style="2093" customWidth="1"/>
    <col min="57" max="57" width="12.5703125" style="2067" customWidth="1"/>
    <col min="58" max="58" width="14.28515625" style="2067" customWidth="1"/>
    <col min="59" max="59" width="30.7109375" style="2093" customWidth="1"/>
    <col min="60" max="60" width="40.7109375" style="2068" customWidth="1"/>
    <col min="61" max="61" width="15" style="2068" customWidth="1"/>
    <col min="62" max="62" width="40.7109375" style="2068" customWidth="1"/>
    <col min="63" max="63" width="2.7109375" style="2068" customWidth="1"/>
    <col min="64" max="64" width="44.7109375" style="2068" customWidth="1"/>
    <col min="65" max="65" width="2.7109375" style="2068" customWidth="1"/>
    <col min="66" max="66" width="40.7109375" style="2068" customWidth="1"/>
    <col min="67" max="68" width="9.140625" style="2093"/>
    <col min="69" max="69" width="18.140625" style="2093" customWidth="1"/>
    <col min="70" max="70" width="57.85546875" style="2093" customWidth="1"/>
    <col min="71" max="71" width="1.7109375" style="2093" customWidth="1"/>
    <col min="72" max="72" width="22.5703125" style="2093" customWidth="1"/>
    <col min="73" max="73" width="57.85546875" style="2093" customWidth="1"/>
    <col min="74" max="74" width="1.7109375" style="2093" customWidth="1"/>
    <col min="75" max="75" width="22.5703125" style="2093" customWidth="1"/>
    <col min="76" max="76" width="57.85546875" style="2093" customWidth="1"/>
    <col min="77" max="77" width="1.7109375" style="2093" customWidth="1"/>
    <col min="78" max="78" width="22.5703125" style="2093" customWidth="1"/>
    <col min="79" max="79" width="57.85546875" style="2093" customWidth="1"/>
    <col min="80" max="81" width="9.140625" style="2093"/>
    <col min="82" max="82" width="49.5703125" style="2093" customWidth="1"/>
  </cols>
  <sheetData>
    <row r="1" spans="1:79" s="2064" customFormat="1" ht="11.25" customHeight="1">
      <c r="A1" s="989" t="s">
        <v>1234</v>
      </c>
      <c r="B1" s="989" t="s">
        <v>1235</v>
      </c>
      <c r="C1" s="989" t="s">
        <v>1236</v>
      </c>
      <c r="D1" s="989" t="s">
        <v>1237</v>
      </c>
      <c r="E1" s="989" t="s">
        <v>1238</v>
      </c>
      <c r="F1" s="989" t="s">
        <v>1239</v>
      </c>
      <c r="G1" s="989" t="s">
        <v>1240</v>
      </c>
      <c r="H1" s="989" t="s">
        <v>1241</v>
      </c>
      <c r="I1" s="989" t="s">
        <v>1242</v>
      </c>
      <c r="J1" s="989" t="s">
        <v>1243</v>
      </c>
      <c r="K1" s="989" t="s">
        <v>1244</v>
      </c>
      <c r="L1" s="989" t="s">
        <v>1245</v>
      </c>
      <c r="M1" s="989"/>
      <c r="N1" s="989" t="s">
        <v>1246</v>
      </c>
      <c r="O1" s="989" t="s">
        <v>1247</v>
      </c>
      <c r="P1" s="989" t="s">
        <v>1248</v>
      </c>
      <c r="Q1" s="989" t="s">
        <v>1249</v>
      </c>
      <c r="R1" s="989" t="s">
        <v>1250</v>
      </c>
      <c r="S1" s="989" t="s">
        <v>1251</v>
      </c>
      <c r="T1" s="989" t="s">
        <v>1252</v>
      </c>
      <c r="U1" s="989" t="s">
        <v>1253</v>
      </c>
      <c r="V1" s="989"/>
      <c r="W1" s="727" t="s">
        <v>1254</v>
      </c>
      <c r="X1" s="989" t="s">
        <v>1255</v>
      </c>
      <c r="Y1" s="989" t="s">
        <v>1256</v>
      </c>
      <c r="Z1" s="989"/>
      <c r="AA1" s="989" t="s">
        <v>1257</v>
      </c>
      <c r="AB1" s="989"/>
      <c r="AC1" s="989" t="s">
        <v>1258</v>
      </c>
      <c r="AD1" s="989"/>
      <c r="AF1" s="989" t="s">
        <v>1259</v>
      </c>
      <c r="AH1" s="989" t="s">
        <v>1260</v>
      </c>
      <c r="AI1" s="989" t="s">
        <v>1261</v>
      </c>
      <c r="AK1" s="989" t="s">
        <v>1262</v>
      </c>
      <c r="AM1" s="989" t="s">
        <v>1263</v>
      </c>
      <c r="AP1" s="989" t="s">
        <v>1264</v>
      </c>
      <c r="AQ1" s="989" t="s">
        <v>1265</v>
      </c>
      <c r="AS1" s="989" t="s">
        <v>1266</v>
      </c>
      <c r="AU1" s="989" t="s">
        <v>1267</v>
      </c>
      <c r="AW1" s="989" t="s">
        <v>1268</v>
      </c>
      <c r="AX1" s="989" t="s">
        <v>1269</v>
      </c>
      <c r="AZ1" s="1070" t="s">
        <v>1270</v>
      </c>
      <c r="BB1" s="989" t="s">
        <v>1271</v>
      </c>
      <c r="BC1" s="989"/>
      <c r="BE1" s="989" t="s">
        <v>1272</v>
      </c>
      <c r="BF1" s="989" t="s">
        <v>1273</v>
      </c>
      <c r="BH1" s="991" t="s">
        <v>805</v>
      </c>
      <c r="BI1" s="992"/>
      <c r="BJ1" s="993" t="s">
        <v>1274</v>
      </c>
      <c r="BK1" s="992"/>
      <c r="BL1" s="994" t="s">
        <v>904</v>
      </c>
      <c r="BM1" s="992"/>
      <c r="BN1" s="995" t="s">
        <v>1275</v>
      </c>
      <c r="BS1" s="1345"/>
    </row>
    <row r="2" spans="1:79" ht="11.25" customHeight="1">
      <c r="A2" s="996" t="s">
        <v>1276</v>
      </c>
      <c r="B2" s="997">
        <v>2000</v>
      </c>
      <c r="C2" s="997">
        <v>2022</v>
      </c>
      <c r="D2" s="997" t="s">
        <v>67</v>
      </c>
      <c r="E2" s="998" t="s">
        <v>1277</v>
      </c>
      <c r="F2" s="998" t="s">
        <v>1278</v>
      </c>
      <c r="G2" s="998" t="s">
        <v>1279</v>
      </c>
      <c r="H2" s="999" t="s">
        <v>56</v>
      </c>
      <c r="I2" s="998" t="s">
        <v>108</v>
      </c>
      <c r="J2" s="998" t="s">
        <v>1280</v>
      </c>
      <c r="K2" s="1000" t="s">
        <v>1281</v>
      </c>
      <c r="L2" s="1001"/>
      <c r="M2" s="1000">
        <v>1</v>
      </c>
      <c r="N2" s="1080" t="s">
        <v>1282</v>
      </c>
      <c r="O2" s="999" t="s">
        <v>1283</v>
      </c>
      <c r="P2" s="1002" t="s">
        <v>1284</v>
      </c>
      <c r="Q2" s="1003" t="s">
        <v>1285</v>
      </c>
      <c r="R2" s="82" t="s">
        <v>1286</v>
      </c>
      <c r="S2" s="82" t="s">
        <v>1287</v>
      </c>
      <c r="T2" s="1004" t="s">
        <v>1288</v>
      </c>
      <c r="U2" s="1001" t="s">
        <v>1289</v>
      </c>
      <c r="V2" s="1005">
        <v>1</v>
      </c>
      <c r="W2" s="1006"/>
      <c r="X2" s="1006" t="s">
        <v>1290</v>
      </c>
      <c r="Y2" s="997" t="s">
        <v>1291</v>
      </c>
      <c r="Z2" s="1007"/>
      <c r="AA2" s="997" t="s">
        <v>1292</v>
      </c>
      <c r="AB2" s="1008" t="s">
        <v>1292</v>
      </c>
      <c r="AC2" s="997" t="s">
        <v>1293</v>
      </c>
      <c r="AD2" s="1008" t="s">
        <v>1293</v>
      </c>
      <c r="AF2" s="999" t="s">
        <v>1289</v>
      </c>
      <c r="AH2" s="998" t="s">
        <v>1294</v>
      </c>
      <c r="AI2" s="998" t="s">
        <v>1294</v>
      </c>
      <c r="AK2" s="998" t="s">
        <v>1295</v>
      </c>
      <c r="AM2" s="998" t="s">
        <v>1296</v>
      </c>
      <c r="AP2" s="1009" t="s">
        <v>1290</v>
      </c>
      <c r="AQ2" s="1010" t="s">
        <v>1290</v>
      </c>
      <c r="AS2" s="997" t="s">
        <v>1297</v>
      </c>
      <c r="AU2" s="1039" t="s">
        <v>1298</v>
      </c>
      <c r="AW2" s="1039" t="s">
        <v>1299</v>
      </c>
      <c r="AX2" s="1039" t="s">
        <v>1299</v>
      </c>
      <c r="AZ2" s="1039" t="s">
        <v>54</v>
      </c>
      <c r="BB2" s="1039" t="s">
        <v>1300</v>
      </c>
      <c r="BC2" s="1039" t="s">
        <v>1301</v>
      </c>
      <c r="BE2" s="1039" t="s">
        <v>1302</v>
      </c>
      <c r="BF2" s="1039" t="s">
        <v>1302</v>
      </c>
    </row>
    <row r="3" spans="1:79" ht="11.25" customHeight="1">
      <c r="A3" s="996" t="s">
        <v>1303</v>
      </c>
      <c r="B3" s="997">
        <v>2001</v>
      </c>
      <c r="C3" s="997">
        <v>2023</v>
      </c>
      <c r="D3" s="997" t="s">
        <v>19</v>
      </c>
      <c r="E3" s="998" t="s">
        <v>1304</v>
      </c>
      <c r="F3" s="998" t="s">
        <v>1305</v>
      </c>
      <c r="G3" s="998" t="s">
        <v>1306</v>
      </c>
      <c r="H3" s="999" t="s">
        <v>1307</v>
      </c>
      <c r="I3" s="998" t="s">
        <v>109</v>
      </c>
      <c r="J3" s="998" t="s">
        <v>553</v>
      </c>
      <c r="K3" s="1000" t="s">
        <v>1308</v>
      </c>
      <c r="L3" s="1001">
        <f>IFERROR(MATCH(K3,OFFER_METHOD,0),0)</f>
        <v>0</v>
      </c>
      <c r="M3" s="1000">
        <v>2</v>
      </c>
      <c r="N3" s="1080" t="s">
        <v>1309</v>
      </c>
      <c r="O3" s="999" t="s">
        <v>1310</v>
      </c>
      <c r="P3" s="1002" t="s">
        <v>39</v>
      </c>
      <c r="Q3" s="1003" t="s">
        <v>1311</v>
      </c>
      <c r="R3" s="82" t="s">
        <v>1312</v>
      </c>
      <c r="S3" s="82" t="s">
        <v>1313</v>
      </c>
      <c r="T3" s="1004" t="s">
        <v>1314</v>
      </c>
      <c r="U3" s="1001" t="s">
        <v>1315</v>
      </c>
      <c r="V3" s="1005">
        <v>2</v>
      </c>
      <c r="W3" s="1006"/>
      <c r="X3" s="1006" t="s">
        <v>1316</v>
      </c>
      <c r="Y3" s="997" t="s">
        <v>1291</v>
      </c>
      <c r="Z3" s="1007"/>
      <c r="AA3" s="997" t="s">
        <v>1317</v>
      </c>
      <c r="AB3" s="1008" t="s">
        <v>1317</v>
      </c>
      <c r="AC3" s="997" t="s">
        <v>1318</v>
      </c>
      <c r="AD3" s="1008" t="s">
        <v>1318</v>
      </c>
      <c r="AF3" s="999" t="s">
        <v>1315</v>
      </c>
      <c r="AH3" s="998" t="s">
        <v>1319</v>
      </c>
      <c r="AI3" s="998" t="s">
        <v>1320</v>
      </c>
      <c r="AK3" s="998" t="s">
        <v>1321</v>
      </c>
      <c r="AM3" s="998" t="s">
        <v>1322</v>
      </c>
      <c r="AP3" s="1009" t="s">
        <v>1323</v>
      </c>
      <c r="AQ3" s="1010" t="s">
        <v>1323</v>
      </c>
      <c r="AS3" s="997" t="s">
        <v>1324</v>
      </c>
      <c r="AU3" s="1039" t="s">
        <v>1325</v>
      </c>
      <c r="AW3" s="1039" t="s">
        <v>1326</v>
      </c>
      <c r="AX3" s="1039" t="s">
        <v>1326</v>
      </c>
      <c r="AZ3" s="1039" t="s">
        <v>1327</v>
      </c>
      <c r="BB3" s="1039" t="s">
        <v>1328</v>
      </c>
      <c r="BC3" s="1039" t="s">
        <v>1301</v>
      </c>
      <c r="BE3" s="1039" t="s">
        <v>1329</v>
      </c>
      <c r="BF3" s="1039" t="s">
        <v>1329</v>
      </c>
      <c r="BH3" s="989" t="s">
        <v>1330</v>
      </c>
      <c r="BJ3" s="989" t="s">
        <v>1331</v>
      </c>
      <c r="BL3" s="989" t="s">
        <v>1332</v>
      </c>
      <c r="BN3" s="989" t="s">
        <v>1333</v>
      </c>
      <c r="BR3" s="989" t="s">
        <v>1334</v>
      </c>
      <c r="BS3" s="1346"/>
      <c r="BT3" s="992"/>
      <c r="BU3" s="989" t="s">
        <v>1335</v>
      </c>
      <c r="BV3" s="992"/>
      <c r="BW3" s="1608"/>
      <c r="BX3" s="1610" t="s">
        <v>1336</v>
      </c>
      <c r="CA3" s="989" t="s">
        <v>1337</v>
      </c>
    </row>
    <row r="4" spans="1:79" ht="11.25" customHeight="1">
      <c r="A4" s="996" t="s">
        <v>1338</v>
      </c>
      <c r="B4" s="997">
        <v>2002</v>
      </c>
      <c r="C4" s="997">
        <v>2024</v>
      </c>
      <c r="E4" s="998" t="s">
        <v>1339</v>
      </c>
      <c r="F4" s="998" t="s">
        <v>1340</v>
      </c>
      <c r="H4" s="999" t="s">
        <v>1341</v>
      </c>
      <c r="I4" s="998" t="s">
        <v>92</v>
      </c>
      <c r="J4" s="998" t="s">
        <v>1342</v>
      </c>
      <c r="K4" s="1000" t="s">
        <v>1343</v>
      </c>
      <c r="L4" s="1001">
        <f>IFERROR(MATCH(K4,OFFER_METHOD,0),0)</f>
        <v>0</v>
      </c>
      <c r="M4" s="1000">
        <v>3</v>
      </c>
      <c r="N4" s="1080" t="s">
        <v>1344</v>
      </c>
      <c r="O4" s="998" t="s">
        <v>1345</v>
      </c>
      <c r="Q4" s="1003" t="s">
        <v>1346</v>
      </c>
      <c r="R4" s="82" t="s">
        <v>1347</v>
      </c>
      <c r="S4" s="82" t="s">
        <v>1348</v>
      </c>
      <c r="T4" s="1004" t="s">
        <v>1349</v>
      </c>
      <c r="U4" s="1001" t="s">
        <v>1350</v>
      </c>
      <c r="V4" s="1005">
        <v>3</v>
      </c>
      <c r="W4" s="1006"/>
      <c r="X4" s="1006" t="s">
        <v>1351</v>
      </c>
      <c r="Y4" s="997" t="s">
        <v>1291</v>
      </c>
      <c r="Z4" s="1012"/>
      <c r="AC4" s="997" t="s">
        <v>1352</v>
      </c>
      <c r="AD4" s="1008" t="s">
        <v>1352</v>
      </c>
      <c r="AF4" s="999" t="s">
        <v>1350</v>
      </c>
      <c r="AH4" s="999" t="s">
        <v>1353</v>
      </c>
      <c r="AK4" s="998" t="s">
        <v>1354</v>
      </c>
      <c r="AM4" s="998" t="s">
        <v>1355</v>
      </c>
      <c r="AP4" s="1009" t="s">
        <v>1316</v>
      </c>
      <c r="AQ4" s="1010" t="s">
        <v>1316</v>
      </c>
      <c r="AS4" s="997" t="s">
        <v>1356</v>
      </c>
      <c r="AU4" s="1039" t="s">
        <v>1357</v>
      </c>
      <c r="AW4" s="1039" t="s">
        <v>1358</v>
      </c>
      <c r="AX4" s="1039" t="s">
        <v>1358</v>
      </c>
      <c r="AZ4" s="1039" t="s">
        <v>1359</v>
      </c>
      <c r="BB4" s="1039" t="s">
        <v>1360</v>
      </c>
      <c r="BC4" s="1039" t="s">
        <v>1361</v>
      </c>
      <c r="BE4" s="2066">
        <v>2000</v>
      </c>
      <c r="BF4" s="2066" t="s">
        <v>1362</v>
      </c>
      <c r="BH4" s="990" t="s">
        <v>1363</v>
      </c>
      <c r="BJ4" s="990" t="s">
        <v>1363</v>
      </c>
      <c r="BL4" s="990" t="s">
        <v>1363</v>
      </c>
      <c r="BN4" s="990" t="s">
        <v>1363</v>
      </c>
      <c r="BQ4" s="1350" t="s">
        <v>1364</v>
      </c>
      <c r="BR4" s="1077" t="s">
        <v>1365</v>
      </c>
      <c r="BS4" s="211"/>
      <c r="BT4" s="1350" t="s">
        <v>1366</v>
      </c>
      <c r="BU4" s="1077" t="s">
        <v>1367</v>
      </c>
      <c r="BV4" s="992"/>
      <c r="BW4" s="1615" t="s">
        <v>1368</v>
      </c>
      <c r="BX4" s="1609" t="s">
        <v>1369</v>
      </c>
      <c r="BZ4" s="1350" t="s">
        <v>1370</v>
      </c>
      <c r="CA4" s="1077" t="s">
        <v>1371</v>
      </c>
    </row>
    <row r="5" spans="1:79" ht="11.25" customHeight="1">
      <c r="A5" s="996" t="s">
        <v>1372</v>
      </c>
      <c r="B5" s="997">
        <v>2003</v>
      </c>
      <c r="C5" s="997">
        <v>2025</v>
      </c>
      <c r="D5" s="2114" t="b">
        <v>0</v>
      </c>
      <c r="E5" s="998" t="s">
        <v>1373</v>
      </c>
      <c r="F5" s="998" t="s">
        <v>1374</v>
      </c>
      <c r="H5" s="999" t="s">
        <v>1375</v>
      </c>
      <c r="I5" s="998" t="s">
        <v>93</v>
      </c>
      <c r="K5" s="1000" t="s">
        <v>1376</v>
      </c>
      <c r="L5" s="1001">
        <f>IFERROR(MATCH(K5,OFFER_METHOD,0),0)</f>
        <v>0</v>
      </c>
      <c r="M5" s="1000">
        <v>4</v>
      </c>
      <c r="N5" s="1013" t="s">
        <v>1377</v>
      </c>
      <c r="O5" s="998" t="s">
        <v>1378</v>
      </c>
      <c r="Q5" s="1003" t="s">
        <v>1379</v>
      </c>
      <c r="R5" s="82" t="s">
        <v>1380</v>
      </c>
      <c r="T5" s="999" t="s">
        <v>1381</v>
      </c>
      <c r="U5" s="1001" t="s">
        <v>1382</v>
      </c>
      <c r="V5" s="1005">
        <v>4</v>
      </c>
      <c r="W5" s="1006"/>
      <c r="X5" s="1006" t="s">
        <v>165</v>
      </c>
      <c r="Y5" s="997" t="s">
        <v>1383</v>
      </c>
      <c r="Z5" s="1012">
        <v>1</v>
      </c>
      <c r="AF5" s="999" t="s">
        <v>1384</v>
      </c>
      <c r="AH5" s="998" t="s">
        <v>1385</v>
      </c>
      <c r="AK5" s="998" t="s">
        <v>1386</v>
      </c>
      <c r="AM5" s="998" t="s">
        <v>1387</v>
      </c>
      <c r="AP5" s="1009" t="s">
        <v>165</v>
      </c>
      <c r="AQ5" s="1010" t="s">
        <v>165</v>
      </c>
      <c r="AU5" s="1039" t="s">
        <v>1388</v>
      </c>
      <c r="AW5" s="1039" t="s">
        <v>1389</v>
      </c>
      <c r="AX5" s="1039" t="s">
        <v>1389</v>
      </c>
      <c r="AZ5" s="1039" t="s">
        <v>1390</v>
      </c>
      <c r="BB5" s="1039" t="s">
        <v>1391</v>
      </c>
      <c r="BC5" s="1039" t="s">
        <v>1392</v>
      </c>
      <c r="BE5" s="2066">
        <v>2001</v>
      </c>
      <c r="BF5" s="2066" t="s">
        <v>1393</v>
      </c>
      <c r="BH5" s="990" t="s">
        <v>1064</v>
      </c>
      <c r="BJ5" s="990" t="s">
        <v>1064</v>
      </c>
      <c r="BL5" s="990" t="s">
        <v>1064</v>
      </c>
      <c r="BN5" s="990" t="s">
        <v>1394</v>
      </c>
      <c r="BQ5" s="1199">
        <v>4213775</v>
      </c>
      <c r="BR5" s="990" t="s">
        <v>1290</v>
      </c>
      <c r="BS5" s="1347"/>
      <c r="BT5" s="1199">
        <v>64236871</v>
      </c>
      <c r="BU5" s="990" t="s">
        <v>226</v>
      </c>
      <c r="BV5" s="992"/>
      <c r="BW5" s="1613">
        <v>4213767</v>
      </c>
      <c r="BX5" s="1611" t="s">
        <v>1395</v>
      </c>
      <c r="BZ5" s="1199">
        <v>64237509</v>
      </c>
      <c r="CA5" s="1213" t="s">
        <v>1396</v>
      </c>
    </row>
    <row r="6" spans="1:79" ht="11.25" customHeight="1">
      <c r="A6" s="996" t="s">
        <v>1397</v>
      </c>
      <c r="B6" s="997">
        <v>2004</v>
      </c>
      <c r="C6" s="997">
        <v>2026</v>
      </c>
      <c r="E6" s="998" t="s">
        <v>1398</v>
      </c>
      <c r="F6" s="1014"/>
      <c r="H6" s="999" t="s">
        <v>1399</v>
      </c>
      <c r="I6" s="998" t="s">
        <v>110</v>
      </c>
      <c r="J6" s="989" t="s">
        <v>1400</v>
      </c>
      <c r="L6" s="1001">
        <f>SUM(kind_of_control_method_filter)</f>
        <v>0</v>
      </c>
      <c r="N6" s="1013" t="s">
        <v>1401</v>
      </c>
      <c r="O6" s="998" t="s">
        <v>1402</v>
      </c>
      <c r="R6" s="82" t="s">
        <v>1285</v>
      </c>
      <c r="T6" s="999" t="s">
        <v>1403</v>
      </c>
      <c r="U6" s="1001" t="s">
        <v>1384</v>
      </c>
      <c r="V6" s="1005">
        <v>5</v>
      </c>
      <c r="W6" s="1006"/>
      <c r="X6" s="997" t="s">
        <v>171</v>
      </c>
      <c r="Y6" s="997" t="s">
        <v>1404</v>
      </c>
      <c r="Z6" s="1012"/>
      <c r="AA6" s="1015"/>
      <c r="AH6" s="998" t="s">
        <v>1405</v>
      </c>
      <c r="AK6" s="998" t="s">
        <v>1406</v>
      </c>
      <c r="AM6" s="998" t="s">
        <v>1407</v>
      </c>
      <c r="AP6" s="1009" t="s">
        <v>171</v>
      </c>
      <c r="AQ6" s="1010" t="s">
        <v>171</v>
      </c>
      <c r="AU6" s="1039" t="s">
        <v>1408</v>
      </c>
      <c r="AW6" s="1039" t="s">
        <v>1409</v>
      </c>
      <c r="AX6" s="1039" t="s">
        <v>1409</v>
      </c>
      <c r="BB6" s="1039" t="s">
        <v>1410</v>
      </c>
      <c r="BC6" s="1039" t="s">
        <v>1392</v>
      </c>
      <c r="BE6" s="2066">
        <v>2002</v>
      </c>
      <c r="BF6" s="2066" t="s">
        <v>1411</v>
      </c>
      <c r="BH6" s="990" t="s">
        <v>1412</v>
      </c>
      <c r="BJ6" s="990" t="s">
        <v>1413</v>
      </c>
      <c r="BL6" s="990" t="s">
        <v>1413</v>
      </c>
      <c r="BN6" s="990" t="s">
        <v>1414</v>
      </c>
      <c r="BQ6" s="1199">
        <v>4213784</v>
      </c>
      <c r="BR6" s="1213" t="s">
        <v>1323</v>
      </c>
      <c r="BS6" s="1348"/>
      <c r="BT6" s="1199">
        <v>64236872</v>
      </c>
      <c r="BU6" s="990" t="s">
        <v>231</v>
      </c>
      <c r="BV6" s="992"/>
      <c r="BW6" s="1613">
        <v>4213768</v>
      </c>
      <c r="BX6" s="1611" t="s">
        <v>251</v>
      </c>
      <c r="BZ6" s="1199">
        <v>64237510</v>
      </c>
      <c r="CA6" s="990" t="s">
        <v>1415</v>
      </c>
    </row>
    <row r="7" spans="1:79" ht="11.25" customHeight="1">
      <c r="A7" s="996" t="s">
        <v>1416</v>
      </c>
      <c r="B7" s="997">
        <v>2005</v>
      </c>
      <c r="E7" s="998" t="s">
        <v>1417</v>
      </c>
      <c r="F7" s="1014"/>
      <c r="H7" s="999" t="s">
        <v>1418</v>
      </c>
      <c r="I7" s="998" t="s">
        <v>94</v>
      </c>
      <c r="J7" s="998" t="s">
        <v>1419</v>
      </c>
      <c r="N7" s="1017" t="s">
        <v>1420</v>
      </c>
      <c r="O7" s="998" t="s">
        <v>1421</v>
      </c>
      <c r="U7" s="1001" t="s">
        <v>19</v>
      </c>
      <c r="V7" s="306" t="s">
        <v>94</v>
      </c>
      <c r="W7" s="1006"/>
      <c r="X7" s="997" t="s">
        <v>177</v>
      </c>
      <c r="Y7" s="997" t="s">
        <v>1383</v>
      </c>
      <c r="Z7" s="1012"/>
      <c r="AA7" s="1015"/>
      <c r="AH7" s="998" t="s">
        <v>1422</v>
      </c>
      <c r="AK7" s="998" t="s">
        <v>1423</v>
      </c>
      <c r="AM7" s="998" t="s">
        <v>1424</v>
      </c>
      <c r="AP7" s="1009" t="s">
        <v>177</v>
      </c>
      <c r="AQ7" s="1010" t="s">
        <v>177</v>
      </c>
      <c r="AU7" s="1039" t="s">
        <v>1425</v>
      </c>
      <c r="AW7" s="1039" t="s">
        <v>1426</v>
      </c>
      <c r="AX7" s="1039" t="s">
        <v>1426</v>
      </c>
      <c r="AZ7" s="989" t="s">
        <v>1427</v>
      </c>
      <c r="BB7" s="1039" t="s">
        <v>1428</v>
      </c>
      <c r="BC7" s="1039" t="s">
        <v>1392</v>
      </c>
      <c r="BE7" s="2066">
        <v>2003</v>
      </c>
      <c r="BF7" s="2066" t="s">
        <v>1429</v>
      </c>
      <c r="BH7" s="990" t="s">
        <v>1430</v>
      </c>
      <c r="BJ7" s="990" t="s">
        <v>1412</v>
      </c>
      <c r="BL7" s="990" t="s">
        <v>1412</v>
      </c>
      <c r="BN7" s="990" t="s">
        <v>1431</v>
      </c>
      <c r="BQ7" s="1199">
        <v>4213781</v>
      </c>
      <c r="BR7" s="990" t="s">
        <v>1316</v>
      </c>
      <c r="BS7" s="1347"/>
      <c r="BT7" s="1199">
        <v>64236873</v>
      </c>
      <c r="BU7" s="990" t="s">
        <v>236</v>
      </c>
      <c r="BV7" s="992"/>
      <c r="BW7" s="1613">
        <v>4213769</v>
      </c>
      <c r="BX7" s="1611" t="s">
        <v>1432</v>
      </c>
      <c r="BZ7" s="1199">
        <v>64237511</v>
      </c>
      <c r="CA7" s="990" t="s">
        <v>266</v>
      </c>
    </row>
    <row r="8" spans="1:79" ht="11.25" customHeight="1">
      <c r="A8" s="996" t="s">
        <v>1433</v>
      </c>
      <c r="B8" s="997">
        <v>2006</v>
      </c>
      <c r="E8" s="998" t="s">
        <v>1434</v>
      </c>
      <c r="F8" s="1014"/>
      <c r="H8" s="999" t="s">
        <v>1435</v>
      </c>
      <c r="I8" s="998" t="s">
        <v>95</v>
      </c>
      <c r="J8" s="998" t="s">
        <v>1436</v>
      </c>
      <c r="N8" s="1081" t="s">
        <v>1437</v>
      </c>
      <c r="O8" s="998" t="s">
        <v>1438</v>
      </c>
      <c r="V8" s="306" t="s">
        <v>95</v>
      </c>
      <c r="W8" s="1006"/>
      <c r="X8" s="997" t="s">
        <v>183</v>
      </c>
      <c r="Y8" s="997" t="s">
        <v>1383</v>
      </c>
      <c r="Z8" s="1012"/>
      <c r="AA8" s="1015"/>
      <c r="AK8" s="998" t="s">
        <v>1439</v>
      </c>
      <c r="AP8" s="1009" t="s">
        <v>183</v>
      </c>
      <c r="AQ8" s="1010" t="s">
        <v>183</v>
      </c>
      <c r="AU8" s="1039" t="s">
        <v>1440</v>
      </c>
      <c r="AW8" s="1039" t="s">
        <v>1441</v>
      </c>
      <c r="AX8" s="1039" t="s">
        <v>1441</v>
      </c>
      <c r="AZ8" s="1039" t="s">
        <v>1442</v>
      </c>
      <c r="BB8" s="1039" t="s">
        <v>1443</v>
      </c>
      <c r="BC8" s="1039" t="s">
        <v>1392</v>
      </c>
      <c r="BE8" s="2066">
        <v>2004</v>
      </c>
      <c r="BF8" s="2066" t="s">
        <v>1444</v>
      </c>
      <c r="BH8" s="990" t="s">
        <v>1036</v>
      </c>
      <c r="BJ8" s="990" t="s">
        <v>1445</v>
      </c>
      <c r="BL8" s="990" t="s">
        <v>1445</v>
      </c>
      <c r="BN8" s="990" t="s">
        <v>1446</v>
      </c>
      <c r="BQ8" s="1199">
        <v>4213776</v>
      </c>
      <c r="BR8" s="990" t="s">
        <v>165</v>
      </c>
      <c r="BS8" s="1347"/>
      <c r="BT8" s="1199">
        <v>64236874</v>
      </c>
      <c r="BU8" s="1213" t="s">
        <v>1447</v>
      </c>
      <c r="BV8" s="992"/>
      <c r="BW8" s="1613">
        <v>4213770</v>
      </c>
      <c r="BX8" s="1614" t="s">
        <v>1448</v>
      </c>
      <c r="BZ8" s="1199">
        <v>64237512</v>
      </c>
      <c r="CA8" s="990" t="s">
        <v>261</v>
      </c>
    </row>
    <row r="9" spans="1:79" ht="11.25" customHeight="1">
      <c r="A9" s="996" t="s">
        <v>1449</v>
      </c>
      <c r="B9" s="997">
        <v>2007</v>
      </c>
      <c r="E9" s="998" t="s">
        <v>1450</v>
      </c>
      <c r="F9" s="1014" t="s">
        <v>1451</v>
      </c>
      <c r="G9" s="989" t="s">
        <v>1452</v>
      </c>
      <c r="H9" s="989" t="s">
        <v>1453</v>
      </c>
      <c r="I9" s="998" t="s">
        <v>111</v>
      </c>
      <c r="O9" s="998" t="s">
        <v>1454</v>
      </c>
      <c r="V9" s="306" t="s">
        <v>111</v>
      </c>
      <c r="W9" s="1006"/>
      <c r="X9" s="997" t="s">
        <v>189</v>
      </c>
      <c r="Y9" s="997" t="s">
        <v>1291</v>
      </c>
      <c r="Z9" s="1012">
        <v>1</v>
      </c>
      <c r="AA9" s="1015"/>
      <c r="AK9" s="998" t="s">
        <v>1455</v>
      </c>
      <c r="AP9" s="1009" t="s">
        <v>1456</v>
      </c>
      <c r="AQ9" s="1010" t="s">
        <v>1456</v>
      </c>
      <c r="AW9" s="1039" t="s">
        <v>1457</v>
      </c>
      <c r="AX9" s="1039" t="s">
        <v>1457</v>
      </c>
      <c r="AZ9" s="1039" t="s">
        <v>1458</v>
      </c>
      <c r="BB9" s="1039" t="s">
        <v>1459</v>
      </c>
      <c r="BC9" s="1039" t="s">
        <v>1392</v>
      </c>
      <c r="BE9" s="2066">
        <v>2005</v>
      </c>
      <c r="BF9" s="2066" t="s">
        <v>1460</v>
      </c>
      <c r="BH9" s="990" t="s">
        <v>1039</v>
      </c>
      <c r="BJ9" s="990" t="s">
        <v>1461</v>
      </c>
      <c r="BL9" s="990" t="s">
        <v>1461</v>
      </c>
      <c r="BN9" s="990" t="s">
        <v>1462</v>
      </c>
      <c r="BQ9" s="1199">
        <v>4213777</v>
      </c>
      <c r="BR9" s="990" t="s">
        <v>171</v>
      </c>
      <c r="BS9" s="1347"/>
      <c r="BT9" s="1199">
        <v>64236875</v>
      </c>
      <c r="BU9" s="990" t="s">
        <v>241</v>
      </c>
      <c r="BV9" s="992"/>
      <c r="BW9" s="1608"/>
      <c r="BX9" s="1608"/>
    </row>
    <row r="10" spans="1:79" ht="11.25" customHeight="1">
      <c r="A10" s="996" t="s">
        <v>1463</v>
      </c>
      <c r="B10" s="997">
        <v>2008</v>
      </c>
      <c r="E10" s="998" t="s">
        <v>1464</v>
      </c>
      <c r="F10" s="1014" t="s">
        <v>1465</v>
      </c>
      <c r="G10" s="998" t="s">
        <v>1466</v>
      </c>
      <c r="H10" s="998" t="s">
        <v>1467</v>
      </c>
      <c r="I10" s="998" t="s">
        <v>147</v>
      </c>
      <c r="J10" s="989" t="s">
        <v>1468</v>
      </c>
      <c r="K10" s="989" t="s">
        <v>1469</v>
      </c>
      <c r="O10" s="998" t="s">
        <v>1470</v>
      </c>
      <c r="V10" s="307" t="s">
        <v>147</v>
      </c>
      <c r="W10" s="1018"/>
      <c r="X10" s="1018" t="s">
        <v>1471</v>
      </c>
      <c r="Y10" s="1019" t="s">
        <v>1472</v>
      </c>
      <c r="Z10" s="1012"/>
      <c r="AP10" s="1009" t="s">
        <v>1471</v>
      </c>
      <c r="AQ10" s="1010" t="s">
        <v>1471</v>
      </c>
      <c r="AW10" s="1039" t="s">
        <v>1473</v>
      </c>
      <c r="AX10" s="1039" t="s">
        <v>1473</v>
      </c>
      <c r="AZ10" s="1039" t="s">
        <v>1183</v>
      </c>
      <c r="BB10" s="1039" t="s">
        <v>1474</v>
      </c>
      <c r="BC10" s="1039" t="s">
        <v>1392</v>
      </c>
      <c r="BE10" s="2066">
        <v>2006</v>
      </c>
      <c r="BF10" s="2066" t="s">
        <v>1475</v>
      </c>
      <c r="BH10" s="990" t="s">
        <v>1476</v>
      </c>
      <c r="BJ10" s="990" t="s">
        <v>1477</v>
      </c>
      <c r="BL10" s="990" t="s">
        <v>1477</v>
      </c>
      <c r="BN10" s="990" t="s">
        <v>1478</v>
      </c>
      <c r="BQ10" s="1199">
        <v>4213778</v>
      </c>
      <c r="BR10" s="990" t="s">
        <v>177</v>
      </c>
      <c r="BS10" s="1347"/>
      <c r="BT10" s="1199">
        <v>64236876</v>
      </c>
      <c r="BU10" s="990" t="s">
        <v>221</v>
      </c>
      <c r="BV10" s="992"/>
      <c r="BW10" s="1608"/>
      <c r="BX10" s="1608"/>
    </row>
    <row r="11" spans="1:79" ht="11.25" customHeight="1">
      <c r="A11" s="996" t="s">
        <v>1479</v>
      </c>
      <c r="B11" s="997">
        <v>2009</v>
      </c>
      <c r="E11" s="998" t="s">
        <v>1480</v>
      </c>
      <c r="F11" s="1014" t="s">
        <v>1481</v>
      </c>
      <c r="G11" s="998" t="s">
        <v>1482</v>
      </c>
      <c r="H11" s="998" t="s">
        <v>1483</v>
      </c>
      <c r="I11" s="998" t="s">
        <v>148</v>
      </c>
      <c r="J11" s="999" t="s">
        <v>1484</v>
      </c>
      <c r="K11" s="1020" t="s">
        <v>1485</v>
      </c>
      <c r="O11" s="999" t="s">
        <v>1486</v>
      </c>
      <c r="V11" s="306" t="s">
        <v>148</v>
      </c>
      <c r="W11" s="212"/>
      <c r="X11" s="1006" t="s">
        <v>1456</v>
      </c>
      <c r="Y11" s="997" t="s">
        <v>1487</v>
      </c>
      <c r="Z11" s="1012"/>
      <c r="AP11" s="1009" t="s">
        <v>189</v>
      </c>
      <c r="AQ11" s="1011" t="s">
        <v>189</v>
      </c>
      <c r="AW11" s="1039" t="s">
        <v>1488</v>
      </c>
      <c r="AX11" s="1039" t="s">
        <v>1488</v>
      </c>
      <c r="AZ11" s="1039" t="s">
        <v>1489</v>
      </c>
      <c r="BB11" s="1039" t="s">
        <v>1490</v>
      </c>
      <c r="BC11" s="1039" t="s">
        <v>1392</v>
      </c>
      <c r="BE11" s="2066">
        <v>2007</v>
      </c>
      <c r="BF11" s="2066" t="s">
        <v>1491</v>
      </c>
      <c r="BH11" s="990" t="s">
        <v>1492</v>
      </c>
      <c r="BJ11" s="990" t="s">
        <v>1039</v>
      </c>
      <c r="BL11" s="990" t="s">
        <v>1039</v>
      </c>
      <c r="BN11" s="990" t="s">
        <v>1493</v>
      </c>
      <c r="BQ11" s="1199">
        <v>4213780</v>
      </c>
      <c r="BR11" s="990" t="s">
        <v>183</v>
      </c>
      <c r="BS11" s="1347"/>
      <c r="BW11" s="1608"/>
      <c r="BX11" s="1608"/>
    </row>
    <row r="12" spans="1:79" ht="11.25" customHeight="1">
      <c r="A12" s="996" t="s">
        <v>1494</v>
      </c>
      <c r="B12" s="997">
        <v>2010</v>
      </c>
      <c r="E12" s="998" t="s">
        <v>1495</v>
      </c>
      <c r="F12" s="1014" t="s">
        <v>37</v>
      </c>
      <c r="G12" s="998" t="s">
        <v>1483</v>
      </c>
      <c r="I12" s="998" t="s">
        <v>149</v>
      </c>
      <c r="J12" s="999" t="s">
        <v>1496</v>
      </c>
      <c r="K12" s="1020" t="s">
        <v>1497</v>
      </c>
      <c r="O12" s="999" t="s">
        <v>1285</v>
      </c>
      <c r="V12" s="306" t="s">
        <v>149</v>
      </c>
      <c r="W12" s="1011"/>
      <c r="X12" s="1006" t="s">
        <v>1498</v>
      </c>
      <c r="Y12" s="997" t="s">
        <v>1291</v>
      </c>
      <c r="AP12" s="1009"/>
      <c r="AW12" s="1039" t="s">
        <v>148</v>
      </c>
      <c r="AX12" s="1039" t="s">
        <v>148</v>
      </c>
      <c r="AZ12" s="1039" t="s">
        <v>1499</v>
      </c>
      <c r="BB12" s="1039" t="s">
        <v>1500</v>
      </c>
      <c r="BC12" s="1039" t="s">
        <v>1392</v>
      </c>
      <c r="BE12" s="2066">
        <v>2008</v>
      </c>
      <c r="BF12" s="2066" t="s">
        <v>1501</v>
      </c>
      <c r="BH12" s="990" t="s">
        <v>1502</v>
      </c>
      <c r="BJ12" s="990" t="s">
        <v>1503</v>
      </c>
      <c r="BL12" s="990" t="s">
        <v>1503</v>
      </c>
      <c r="BN12" s="990" t="s">
        <v>1504</v>
      </c>
      <c r="BQ12" s="1199">
        <v>4213779</v>
      </c>
      <c r="BR12" s="990" t="s">
        <v>1456</v>
      </c>
      <c r="BS12" s="1347"/>
      <c r="BT12" s="992"/>
      <c r="BU12" s="992"/>
      <c r="BV12" s="992"/>
      <c r="BW12" s="1608"/>
      <c r="BX12" s="1608"/>
    </row>
    <row r="13" spans="1:79" ht="11.25" customHeight="1">
      <c r="A13" s="996" t="s">
        <v>1505</v>
      </c>
      <c r="B13" s="997">
        <v>2011</v>
      </c>
      <c r="E13" s="998" t="s">
        <v>1506</v>
      </c>
      <c r="F13" s="1014"/>
      <c r="I13" s="998" t="s">
        <v>150</v>
      </c>
      <c r="K13" s="1020" t="s">
        <v>1455</v>
      </c>
      <c r="V13" s="306" t="s">
        <v>150</v>
      </c>
      <c r="W13" s="1011"/>
      <c r="X13" s="1011"/>
      <c r="Y13" s="1011"/>
      <c r="AW13" s="1039" t="s">
        <v>149</v>
      </c>
      <c r="AX13" s="1039" t="s">
        <v>149</v>
      </c>
      <c r="BB13" s="1039" t="s">
        <v>1507</v>
      </c>
      <c r="BC13" s="1039" t="s">
        <v>1508</v>
      </c>
      <c r="BE13" s="2066">
        <v>2009</v>
      </c>
      <c r="BF13" s="2066" t="s">
        <v>1509</v>
      </c>
      <c r="BH13" s="990" t="s">
        <v>1510</v>
      </c>
      <c r="BJ13" s="990" t="s">
        <v>1492</v>
      </c>
      <c r="BL13" s="990" t="s">
        <v>1492</v>
      </c>
      <c r="BN13" s="990" t="s">
        <v>1511</v>
      </c>
      <c r="BQ13" s="1199">
        <v>4213783</v>
      </c>
      <c r="BR13" s="990" t="s">
        <v>1471</v>
      </c>
      <c r="BS13" s="1347"/>
      <c r="BT13" s="992"/>
      <c r="BU13" s="992"/>
      <c r="BV13" s="992"/>
      <c r="BW13" s="1612"/>
      <c r="BX13" s="1608"/>
    </row>
    <row r="14" spans="1:79" ht="11.25" customHeight="1">
      <c r="A14" s="996" t="s">
        <v>16</v>
      </c>
      <c r="B14" s="997">
        <v>2012</v>
      </c>
      <c r="I14" s="998" t="s">
        <v>151</v>
      </c>
      <c r="J14" s="989" t="s">
        <v>1512</v>
      </c>
      <c r="N14" s="989" t="s">
        <v>1513</v>
      </c>
      <c r="V14" s="1005">
        <v>13</v>
      </c>
      <c r="W14" s="1006"/>
      <c r="X14" s="1006" t="s">
        <v>1323</v>
      </c>
      <c r="Y14" s="997" t="s">
        <v>1291</v>
      </c>
      <c r="AW14" s="1039" t="s">
        <v>150</v>
      </c>
      <c r="AX14" s="1039" t="s">
        <v>150</v>
      </c>
      <c r="AZ14" s="989" t="s">
        <v>1514</v>
      </c>
      <c r="BB14" s="1039" t="s">
        <v>1515</v>
      </c>
      <c r="BC14" s="1039" t="s">
        <v>1508</v>
      </c>
      <c r="BE14" s="2066">
        <v>2010</v>
      </c>
      <c r="BF14" s="2066" t="s">
        <v>1516</v>
      </c>
      <c r="BH14" s="990" t="s">
        <v>1431</v>
      </c>
      <c r="BJ14" s="1135" t="s">
        <v>1517</v>
      </c>
      <c r="BL14" s="1135" t="s">
        <v>1517</v>
      </c>
      <c r="BN14" s="990" t="s">
        <v>1518</v>
      </c>
      <c r="BQ14" s="1199">
        <v>4213782</v>
      </c>
      <c r="BR14" s="990" t="s">
        <v>189</v>
      </c>
      <c r="BS14" s="1347"/>
      <c r="BT14" s="992"/>
      <c r="BU14" s="992"/>
      <c r="BV14" s="992"/>
      <c r="BW14" s="1612"/>
      <c r="BX14" s="1608"/>
    </row>
    <row r="15" spans="1:79" ht="19.5" customHeight="1">
      <c r="A15" s="996" t="s">
        <v>1519</v>
      </c>
      <c r="B15" s="997">
        <v>2013</v>
      </c>
      <c r="E15" s="1616" t="s">
        <v>1520</v>
      </c>
      <c r="G15" s="989" t="s">
        <v>1521</v>
      </c>
      <c r="H15" s="989" t="s">
        <v>1522</v>
      </c>
      <c r="I15" s="1000" t="s">
        <v>152</v>
      </c>
      <c r="J15" s="1011" t="s">
        <v>580</v>
      </c>
      <c r="N15" s="1076" t="s">
        <v>1523</v>
      </c>
      <c r="X15" s="1009"/>
      <c r="AW15" s="1039" t="s">
        <v>151</v>
      </c>
      <c r="AX15" s="1039" t="s">
        <v>151</v>
      </c>
      <c r="AZ15" s="1039" t="s">
        <v>1442</v>
      </c>
      <c r="BB15" s="1039" t="s">
        <v>1524</v>
      </c>
      <c r="BC15" s="1039" t="s">
        <v>1508</v>
      </c>
      <c r="BE15" s="2066">
        <v>2011</v>
      </c>
      <c r="BF15" s="2066" t="s">
        <v>1026</v>
      </c>
      <c r="BH15" s="990" t="s">
        <v>1446</v>
      </c>
      <c r="BJ15" s="1135" t="s">
        <v>1525</v>
      </c>
      <c r="BL15" s="1135" t="s">
        <v>1525</v>
      </c>
      <c r="BN15" s="990" t="s">
        <v>1526</v>
      </c>
      <c r="BR15" s="992"/>
      <c r="BS15" s="1349"/>
      <c r="BT15" s="992"/>
      <c r="BU15" s="992"/>
      <c r="BV15" s="992"/>
      <c r="BW15" s="1612"/>
      <c r="BX15" s="1608"/>
    </row>
    <row r="16" spans="1:79" ht="21" customHeight="1">
      <c r="A16" s="1785" t="s">
        <v>1527</v>
      </c>
      <c r="B16" s="997">
        <v>2014</v>
      </c>
      <c r="E16" s="1617" t="s">
        <v>1528</v>
      </c>
      <c r="G16" s="998" t="s">
        <v>1529</v>
      </c>
      <c r="H16" s="998" t="s">
        <v>1530</v>
      </c>
      <c r="I16" s="1000" t="s">
        <v>1054</v>
      </c>
      <c r="J16" s="1011" t="s">
        <v>553</v>
      </c>
      <c r="N16" s="1076" t="s">
        <v>1531</v>
      </c>
      <c r="AW16" s="1039" t="s">
        <v>152</v>
      </c>
      <c r="AX16" s="1039" t="s">
        <v>152</v>
      </c>
      <c r="AZ16" s="1039" t="s">
        <v>1458</v>
      </c>
      <c r="BB16" s="1039" t="s">
        <v>1532</v>
      </c>
      <c r="BC16" s="1039" t="s">
        <v>1508</v>
      </c>
      <c r="BE16" s="2066">
        <v>2012</v>
      </c>
      <c r="BH16" s="990" t="s">
        <v>1462</v>
      </c>
      <c r="BJ16" s="1135" t="s">
        <v>1533</v>
      </c>
      <c r="BL16" s="1135" t="s">
        <v>1533</v>
      </c>
      <c r="BN16" s="990" t="s">
        <v>1534</v>
      </c>
      <c r="BR16" s="992"/>
      <c r="BS16" s="1349"/>
      <c r="BT16" s="992"/>
      <c r="BU16" s="992"/>
      <c r="BV16" s="992"/>
      <c r="BW16" s="1612"/>
      <c r="BX16" s="1608"/>
    </row>
    <row r="17" spans="1:82" ht="21" customHeight="1">
      <c r="A17" s="996" t="s">
        <v>1535</v>
      </c>
      <c r="B17" s="997">
        <v>2015</v>
      </c>
      <c r="G17" s="998" t="s">
        <v>1483</v>
      </c>
      <c r="H17" s="998" t="s">
        <v>1483</v>
      </c>
      <c r="I17" s="998" t="s">
        <v>1056</v>
      </c>
      <c r="N17" s="1076" t="s">
        <v>1536</v>
      </c>
      <c r="X17" s="1009"/>
      <c r="AW17" s="1039" t="s">
        <v>1054</v>
      </c>
      <c r="AX17" s="1039" t="s">
        <v>1054</v>
      </c>
      <c r="AZ17" s="1039" t="s">
        <v>69</v>
      </c>
      <c r="BB17" s="1039" t="s">
        <v>1537</v>
      </c>
      <c r="BC17" s="1039" t="s">
        <v>1392</v>
      </c>
      <c r="BE17" s="2066">
        <v>2013</v>
      </c>
      <c r="BH17" s="990" t="s">
        <v>1478</v>
      </c>
      <c r="BJ17" s="1135" t="s">
        <v>1538</v>
      </c>
      <c r="BL17" s="1135" t="s">
        <v>1538</v>
      </c>
      <c r="BN17" s="990" t="s">
        <v>1539</v>
      </c>
      <c r="BR17" s="989" t="s">
        <v>1334</v>
      </c>
      <c r="BS17" s="1346"/>
      <c r="BU17" s="989" t="s">
        <v>1540</v>
      </c>
      <c r="BV17" s="992"/>
      <c r="BW17" s="1608"/>
      <c r="BX17" s="1610" t="s">
        <v>1541</v>
      </c>
      <c r="CA17" s="989" t="s">
        <v>1542</v>
      </c>
      <c r="CD17" s="989" t="s">
        <v>1543</v>
      </c>
    </row>
    <row r="18" spans="1:82" ht="21" customHeight="1">
      <c r="A18" s="996" t="s">
        <v>1544</v>
      </c>
      <c r="B18" s="997">
        <v>2016</v>
      </c>
      <c r="E18" s="1917" t="s">
        <v>1545</v>
      </c>
      <c r="I18" s="998" t="s">
        <v>1059</v>
      </c>
      <c r="N18" s="1076" t="s">
        <v>1546</v>
      </c>
      <c r="X18" s="1009"/>
      <c r="AW18" s="1039" t="s">
        <v>1056</v>
      </c>
      <c r="AX18" s="1039" t="s">
        <v>1056</v>
      </c>
      <c r="BB18" s="1039" t="s">
        <v>1547</v>
      </c>
      <c r="BC18" s="1039" t="s">
        <v>1392</v>
      </c>
      <c r="BE18" s="2066">
        <v>2014</v>
      </c>
      <c r="BH18" s="990" t="s">
        <v>1493</v>
      </c>
      <c r="BJ18" s="1135" t="s">
        <v>1548</v>
      </c>
      <c r="BL18" s="1135" t="s">
        <v>1548</v>
      </c>
      <c r="BN18" s="990" t="s">
        <v>1028</v>
      </c>
      <c r="BQ18" s="1350" t="s">
        <v>1364</v>
      </c>
      <c r="BR18" s="1077" t="s">
        <v>1365</v>
      </c>
      <c r="BS18" s="211"/>
      <c r="BT18" s="1350" t="s">
        <v>1549</v>
      </c>
      <c r="BU18" s="1077" t="s">
        <v>1550</v>
      </c>
      <c r="BV18" s="992"/>
      <c r="BW18" s="1615" t="s">
        <v>1551</v>
      </c>
      <c r="BX18" s="1609" t="s">
        <v>1552</v>
      </c>
      <c r="BZ18" s="1350" t="s">
        <v>1553</v>
      </c>
      <c r="CA18" s="1077" t="s">
        <v>1554</v>
      </c>
      <c r="CC18" s="1350" t="s">
        <v>1555</v>
      </c>
      <c r="CD18" s="1077" t="s">
        <v>1556</v>
      </c>
    </row>
    <row r="19" spans="1:82" ht="21" customHeight="1">
      <c r="A19" s="1785" t="s">
        <v>1557</v>
      </c>
      <c r="B19" s="997">
        <v>2017</v>
      </c>
      <c r="E19" s="996" t="s">
        <v>164</v>
      </c>
      <c r="I19" s="998" t="s">
        <v>1061</v>
      </c>
      <c r="N19" s="1076" t="s">
        <v>1558</v>
      </c>
      <c r="X19" s="1009"/>
      <c r="AW19" s="1039" t="s">
        <v>1059</v>
      </c>
      <c r="AX19" s="1039" t="s">
        <v>1059</v>
      </c>
      <c r="AZ19" s="989" t="s">
        <v>1559</v>
      </c>
      <c r="BB19" s="1039" t="s">
        <v>1560</v>
      </c>
      <c r="BC19" s="1039" t="s">
        <v>1392</v>
      </c>
      <c r="BE19" s="2066">
        <v>2015</v>
      </c>
      <c r="BH19" s="990" t="s">
        <v>1561</v>
      </c>
      <c r="BJ19" s="1135" t="s">
        <v>1562</v>
      </c>
      <c r="BL19" s="1135" t="s">
        <v>1562</v>
      </c>
      <c r="BQ19" s="1199">
        <v>4190064</v>
      </c>
      <c r="BR19" s="990" t="s">
        <v>1563</v>
      </c>
      <c r="BS19" s="1347"/>
      <c r="BT19" s="1199">
        <v>4189671</v>
      </c>
      <c r="BU19" s="990" t="s">
        <v>1564</v>
      </c>
      <c r="BV19" s="992"/>
      <c r="BW19" s="1613">
        <v>4189706</v>
      </c>
      <c r="BX19" s="1611" t="s">
        <v>1565</v>
      </c>
      <c r="BZ19" s="1199">
        <v>4189714</v>
      </c>
      <c r="CA19" s="990" t="s">
        <v>1566</v>
      </c>
      <c r="CC19" s="1199">
        <v>4189708</v>
      </c>
      <c r="CD19" s="990" t="s">
        <v>1567</v>
      </c>
    </row>
    <row r="20" spans="1:82" ht="21" customHeight="1">
      <c r="A20" s="996" t="s">
        <v>1568</v>
      </c>
      <c r="B20" s="997">
        <v>2018</v>
      </c>
      <c r="E20" s="996" t="s">
        <v>1323</v>
      </c>
      <c r="I20" s="998" t="s">
        <v>1070</v>
      </c>
      <c r="N20" s="1076" t="s">
        <v>1569</v>
      </c>
      <c r="AW20" s="1039" t="s">
        <v>1061</v>
      </c>
      <c r="AX20" s="1039" t="s">
        <v>1061</v>
      </c>
      <c r="AZ20" s="1039" t="s">
        <v>1570</v>
      </c>
      <c r="BB20" s="1039" t="s">
        <v>1571</v>
      </c>
      <c r="BC20" s="1039" t="s">
        <v>1508</v>
      </c>
      <c r="BE20" s="2066">
        <v>2016</v>
      </c>
      <c r="BH20" s="990" t="s">
        <v>1504</v>
      </c>
      <c r="BJ20" s="990" t="s">
        <v>1431</v>
      </c>
      <c r="BL20" s="990" t="s">
        <v>1431</v>
      </c>
      <c r="BQ20" s="1199">
        <v>4190065</v>
      </c>
      <c r="BR20" s="990" t="s">
        <v>1572</v>
      </c>
      <c r="BS20" s="1347"/>
      <c r="BT20" s="1199">
        <v>4189672</v>
      </c>
      <c r="BU20" s="990" t="s">
        <v>1573</v>
      </c>
      <c r="BV20" s="992"/>
      <c r="BW20" s="1613">
        <v>4189705</v>
      </c>
      <c r="BX20" s="1611" t="s">
        <v>1574</v>
      </c>
      <c r="BZ20" s="1199">
        <v>4189713</v>
      </c>
      <c r="CA20" s="990" t="s">
        <v>1574</v>
      </c>
      <c r="CC20" s="1199">
        <v>4189709</v>
      </c>
      <c r="CD20" s="990" t="s">
        <v>1575</v>
      </c>
    </row>
    <row r="21" spans="1:82" ht="21" customHeight="1">
      <c r="A21" s="996" t="s">
        <v>1576</v>
      </c>
      <c r="B21" s="997">
        <v>2019</v>
      </c>
      <c r="I21" s="998" t="s">
        <v>1071</v>
      </c>
      <c r="N21" s="1076" t="s">
        <v>1577</v>
      </c>
      <c r="AW21" s="1039" t="s">
        <v>1070</v>
      </c>
      <c r="AX21" s="1039" t="s">
        <v>1070</v>
      </c>
      <c r="AZ21" s="1039" t="s">
        <v>1578</v>
      </c>
      <c r="BB21" s="1039" t="s">
        <v>1579</v>
      </c>
      <c r="BC21" s="1039" t="s">
        <v>1392</v>
      </c>
      <c r="BE21" s="2066">
        <v>2017</v>
      </c>
      <c r="BH21" s="990" t="s">
        <v>1511</v>
      </c>
      <c r="BJ21" s="990" t="s">
        <v>1446</v>
      </c>
      <c r="BL21" s="990" t="s">
        <v>1446</v>
      </c>
      <c r="BQ21" s="1199">
        <v>4190066</v>
      </c>
      <c r="BR21" s="990" t="s">
        <v>1580</v>
      </c>
      <c r="BS21" s="1347"/>
      <c r="BT21" s="1199">
        <v>4189673</v>
      </c>
      <c r="BU21" s="990" t="s">
        <v>1581</v>
      </c>
      <c r="BV21" s="992"/>
      <c r="BW21" s="1613">
        <v>4189707</v>
      </c>
      <c r="BX21" s="1611" t="s">
        <v>1582</v>
      </c>
      <c r="BZ21" s="1199">
        <v>4189712</v>
      </c>
      <c r="CA21" s="990" t="s">
        <v>1583</v>
      </c>
      <c r="CC21" s="1199">
        <v>4189710</v>
      </c>
      <c r="CD21" s="990" t="s">
        <v>1584</v>
      </c>
    </row>
    <row r="22" spans="1:82" ht="21" customHeight="1">
      <c r="A22" s="996" t="s">
        <v>1585</v>
      </c>
      <c r="B22" s="997">
        <v>2020</v>
      </c>
      <c r="N22" s="1076" t="s">
        <v>1586</v>
      </c>
      <c r="AW22" s="1039" t="s">
        <v>1071</v>
      </c>
      <c r="AX22" s="1039" t="s">
        <v>1071</v>
      </c>
      <c r="AZ22" s="1039" t="s">
        <v>1587</v>
      </c>
      <c r="BB22" s="1039" t="s">
        <v>1588</v>
      </c>
      <c r="BC22" s="1039" t="s">
        <v>1392</v>
      </c>
      <c r="BE22" s="2066">
        <v>2018</v>
      </c>
      <c r="BH22" s="990" t="s">
        <v>1518</v>
      </c>
      <c r="BJ22" s="990" t="s">
        <v>1462</v>
      </c>
      <c r="BL22" s="990" t="s">
        <v>1462</v>
      </c>
      <c r="BQ22" s="1199">
        <v>4190067</v>
      </c>
      <c r="BR22" s="990" t="s">
        <v>1589</v>
      </c>
      <c r="BS22" s="1347"/>
      <c r="BT22" s="1199">
        <v>4189674</v>
      </c>
      <c r="BU22" s="990" t="s">
        <v>1590</v>
      </c>
      <c r="BV22" s="992"/>
      <c r="BW22" s="992"/>
      <c r="CC22" s="1199">
        <v>4189711</v>
      </c>
      <c r="CD22" s="990" t="s">
        <v>290</v>
      </c>
    </row>
    <row r="23" spans="1:82" ht="21" customHeight="1">
      <c r="A23" s="996" t="s">
        <v>1591</v>
      </c>
      <c r="B23" s="997">
        <v>2021</v>
      </c>
      <c r="AW23" s="1039" t="s">
        <v>1072</v>
      </c>
      <c r="AX23" s="1039" t="s">
        <v>1072</v>
      </c>
      <c r="AZ23" s="1039" t="s">
        <v>1592</v>
      </c>
      <c r="BB23" s="1039" t="s">
        <v>1593</v>
      </c>
      <c r="BC23" s="1039" t="s">
        <v>1301</v>
      </c>
      <c r="BE23" s="2066">
        <v>2019</v>
      </c>
      <c r="BH23" s="990" t="s">
        <v>1526</v>
      </c>
      <c r="BJ23" s="990" t="s">
        <v>1478</v>
      </c>
      <c r="BL23" s="990" t="s">
        <v>1478</v>
      </c>
      <c r="BQ23" s="1199">
        <v>4190068</v>
      </c>
      <c r="BR23" s="990" t="s">
        <v>1594</v>
      </c>
      <c r="BS23" s="1347"/>
      <c r="BT23" s="1199">
        <v>4189675</v>
      </c>
      <c r="BU23" s="990" t="s">
        <v>1595</v>
      </c>
      <c r="BV23" s="992"/>
      <c r="BW23" s="992"/>
      <c r="CC23" s="1199">
        <v>5110778</v>
      </c>
      <c r="CD23" s="990" t="s">
        <v>1596</v>
      </c>
    </row>
    <row r="24" spans="1:82" ht="21" customHeight="1">
      <c r="A24" s="996" t="s">
        <v>1597</v>
      </c>
      <c r="B24" s="997">
        <v>2022</v>
      </c>
      <c r="AW24" s="1039" t="s">
        <v>1073</v>
      </c>
      <c r="AX24" s="1039" t="s">
        <v>1073</v>
      </c>
      <c r="AZ24" s="1039" t="s">
        <v>1598</v>
      </c>
      <c r="BB24" s="1039" t="s">
        <v>1599</v>
      </c>
      <c r="BC24" s="1039" t="s">
        <v>1600</v>
      </c>
      <c r="BE24" s="2066">
        <v>2020</v>
      </c>
      <c r="BH24" s="990" t="s">
        <v>1534</v>
      </c>
      <c r="BJ24" s="990" t="s">
        <v>1493</v>
      </c>
      <c r="BL24" s="990" t="s">
        <v>1493</v>
      </c>
      <c r="BQ24" s="1199">
        <v>4190069</v>
      </c>
      <c r="BR24" s="990" t="s">
        <v>1601</v>
      </c>
      <c r="BS24" s="1347"/>
      <c r="BT24" s="1199">
        <v>4189676</v>
      </c>
      <c r="BU24" s="990" t="s">
        <v>1602</v>
      </c>
      <c r="BV24" s="992"/>
      <c r="BW24" s="992"/>
      <c r="CC24" s="1199">
        <v>25575374</v>
      </c>
      <c r="CD24" s="990" t="s">
        <v>1603</v>
      </c>
    </row>
    <row r="25" spans="1:82" ht="11.25" customHeight="1">
      <c r="A25" s="996" t="s">
        <v>1604</v>
      </c>
      <c r="B25" s="997">
        <v>2023</v>
      </c>
      <c r="AW25" s="1039" t="s">
        <v>1080</v>
      </c>
      <c r="AX25" s="1039" t="s">
        <v>1080</v>
      </c>
      <c r="AZ25" s="1039" t="s">
        <v>1605</v>
      </c>
      <c r="BB25" s="1039" t="s">
        <v>1606</v>
      </c>
      <c r="BC25" s="1039" t="s">
        <v>1600</v>
      </c>
      <c r="BE25" s="2066">
        <v>2021</v>
      </c>
      <c r="BH25" s="990" t="s">
        <v>1539</v>
      </c>
      <c r="BJ25" s="990" t="s">
        <v>1561</v>
      </c>
      <c r="BL25" s="990" t="s">
        <v>1561</v>
      </c>
      <c r="BQ25" s="1199">
        <v>4190070</v>
      </c>
      <c r="BR25" s="990" t="s">
        <v>1607</v>
      </c>
      <c r="BS25" s="1347"/>
      <c r="BT25" s="1199">
        <v>4189677</v>
      </c>
      <c r="BU25" s="990" t="s">
        <v>1608</v>
      </c>
      <c r="BV25" s="992"/>
      <c r="BW25" s="992"/>
    </row>
    <row r="26" spans="1:82" ht="11.25" customHeight="1">
      <c r="A26" s="996" t="s">
        <v>1609</v>
      </c>
      <c r="B26" s="997">
        <v>2024</v>
      </c>
      <c r="J26" s="1648" t="s">
        <v>1610</v>
      </c>
      <c r="AX26" s="1039" t="s">
        <v>1081</v>
      </c>
      <c r="AZ26" s="1039" t="s">
        <v>1486</v>
      </c>
      <c r="BB26" s="1039" t="s">
        <v>1611</v>
      </c>
      <c r="BC26" s="1039" t="s">
        <v>1600</v>
      </c>
      <c r="BE26" s="2066">
        <v>2022</v>
      </c>
      <c r="BH26" s="990" t="s">
        <v>1028</v>
      </c>
      <c r="BJ26" s="990" t="s">
        <v>1504</v>
      </c>
      <c r="BL26" s="990" t="s">
        <v>1504</v>
      </c>
      <c r="BQ26" s="1199">
        <v>4190071</v>
      </c>
      <c r="BR26" s="990" t="s">
        <v>1612</v>
      </c>
      <c r="BS26" s="1347"/>
      <c r="BV26" s="992"/>
      <c r="BW26" s="992"/>
    </row>
    <row r="27" spans="1:82" ht="11.25" customHeight="1">
      <c r="A27" s="996" t="s">
        <v>1613</v>
      </c>
      <c r="B27" s="997">
        <v>2025</v>
      </c>
      <c r="J27" s="113" t="s">
        <v>686</v>
      </c>
      <c r="AX27" s="1039" t="s">
        <v>1614</v>
      </c>
      <c r="BB27" s="1039" t="s">
        <v>1615</v>
      </c>
      <c r="BC27" s="1039" t="s">
        <v>1600</v>
      </c>
      <c r="BE27" s="2066">
        <v>2023</v>
      </c>
      <c r="BH27" s="992" t="s">
        <v>22</v>
      </c>
      <c r="BJ27" s="990" t="s">
        <v>1511</v>
      </c>
      <c r="BL27" s="990" t="s">
        <v>1511</v>
      </c>
      <c r="BN27" s="992" t="s">
        <v>22</v>
      </c>
      <c r="BQ27" s="1199">
        <v>4190072</v>
      </c>
      <c r="BR27" s="990" t="s">
        <v>1616</v>
      </c>
      <c r="BS27" s="1347"/>
      <c r="BV27" s="992"/>
      <c r="BW27" s="992"/>
    </row>
    <row r="28" spans="1:82" ht="11.25" customHeight="1">
      <c r="A28" s="996" t="s">
        <v>1617</v>
      </c>
      <c r="D28" s="1021"/>
      <c r="E28" s="1022"/>
      <c r="F28" s="1022"/>
      <c r="H28" s="1023" t="s">
        <v>1618</v>
      </c>
      <c r="AX28" s="1039" t="s">
        <v>1619</v>
      </c>
      <c r="AZ28" s="989" t="s">
        <v>1620</v>
      </c>
      <c r="BB28" s="1039" t="s">
        <v>1621</v>
      </c>
      <c r="BC28" s="1039" t="s">
        <v>1622</v>
      </c>
      <c r="BE28" s="2066">
        <v>2024</v>
      </c>
      <c r="BH28" s="992" t="s">
        <v>22</v>
      </c>
      <c r="BJ28" s="990" t="s">
        <v>1518</v>
      </c>
      <c r="BL28" s="990" t="s">
        <v>1518</v>
      </c>
      <c r="BN28" s="992" t="s">
        <v>22</v>
      </c>
      <c r="BQ28" s="1199">
        <v>4190073</v>
      </c>
      <c r="BR28" s="990" t="s">
        <v>1623</v>
      </c>
      <c r="BS28" s="1347"/>
      <c r="BV28" s="992"/>
      <c r="BW28" s="992"/>
    </row>
    <row r="29" spans="1:82" ht="11.25" customHeight="1">
      <c r="A29" s="996" t="s">
        <v>1624</v>
      </c>
      <c r="D29" s="1024" t="s">
        <v>1625</v>
      </c>
      <c r="E29" s="1025" t="str">
        <f>IF(TEMPLATE_GROUP="","",INDEX(StartDateList,MATCH(TEMPLATE_GROUP,CodeTemplateList,0),1))</f>
        <v>01.01.2025</v>
      </c>
      <c r="F29" s="1025" t="str">
        <f>IF(TEMPLATE_GROUP="","",INDEX(EndDateList,MATCH(TEMPLATE_GROUP,CodeTemplateList,0),1))</f>
        <v>31.12.2025</v>
      </c>
      <c r="H29" s="1026" t="s">
        <v>1626</v>
      </c>
      <c r="AX29" s="1039" t="s">
        <v>1627</v>
      </c>
      <c r="AZ29" s="1039" t="s">
        <v>1286</v>
      </c>
      <c r="BB29" s="1039" t="s">
        <v>1486</v>
      </c>
      <c r="BC29" s="1012"/>
      <c r="BE29" s="2066">
        <v>2025</v>
      </c>
      <c r="BJ29" s="990" t="s">
        <v>1526</v>
      </c>
      <c r="BL29" s="990" t="s">
        <v>1526</v>
      </c>
    </row>
    <row r="30" spans="1:82" ht="11.25" customHeight="1">
      <c r="A30" s="996" t="s">
        <v>1628</v>
      </c>
      <c r="D30" s="1027"/>
      <c r="E30" s="1028"/>
      <c r="F30" s="1028"/>
      <c r="AX30" s="1039" t="s">
        <v>1629</v>
      </c>
      <c r="AZ30" s="1039" t="s">
        <v>1312</v>
      </c>
      <c r="BE30" s="2066">
        <v>2026</v>
      </c>
      <c r="BJ30" s="990" t="s">
        <v>1630</v>
      </c>
      <c r="BL30" s="990" t="s">
        <v>1630</v>
      </c>
    </row>
    <row r="31" spans="1:82" ht="12.75" customHeight="1">
      <c r="A31" s="996" t="s">
        <v>1631</v>
      </c>
      <c r="D31" s="1021"/>
      <c r="E31" s="1022"/>
      <c r="F31" s="1022"/>
      <c r="H31" s="1029"/>
      <c r="AX31" s="1039" t="s">
        <v>1632</v>
      </c>
      <c r="AZ31" s="1039" t="s">
        <v>1633</v>
      </c>
      <c r="BE31" s="2066">
        <v>2027</v>
      </c>
      <c r="BJ31" s="990" t="s">
        <v>1634</v>
      </c>
      <c r="BL31" s="990" t="s">
        <v>1634</v>
      </c>
    </row>
    <row r="32" spans="1:82" ht="11.25" customHeight="1">
      <c r="A32" s="996" t="s">
        <v>1635</v>
      </c>
      <c r="D32" s="1024" t="s">
        <v>1636</v>
      </c>
      <c r="E32" s="1025" t="str">
        <f>IF(TEMPLATE_GROUP="","",INDEX(StartDateList,MATCH(TEMPLATE_GROUP,CodeTemplateList,0),1))</f>
        <v>01.01.2025</v>
      </c>
      <c r="F32" s="1025" t="str">
        <f>IF(TEMPLATE_GROUP="","",INDEX(EndDateList,MATCH(TEMPLATE_GROUP,CodeTemplateList,0),1))</f>
        <v>31.12.2025</v>
      </c>
      <c r="H32" s="1030" t="s">
        <v>1637</v>
      </c>
      <c r="O32" s="996" t="s">
        <v>1283</v>
      </c>
      <c r="AX32" s="1039" t="s">
        <v>1638</v>
      </c>
      <c r="AZ32" s="1039" t="s">
        <v>1380</v>
      </c>
      <c r="BE32" s="2066">
        <v>2028</v>
      </c>
      <c r="BJ32" s="990" t="s">
        <v>1534</v>
      </c>
      <c r="BL32" s="990" t="s">
        <v>1534</v>
      </c>
    </row>
    <row r="33" spans="1:66" ht="11.25" customHeight="1">
      <c r="A33" s="996" t="s">
        <v>1639</v>
      </c>
      <c r="O33" s="996" t="s">
        <v>1310</v>
      </c>
      <c r="AX33" s="1039" t="s">
        <v>1640</v>
      </c>
      <c r="AZ33" s="1039" t="s">
        <v>1285</v>
      </c>
      <c r="BE33" s="2066">
        <v>2029</v>
      </c>
      <c r="BJ33" s="990" t="s">
        <v>1539</v>
      </c>
      <c r="BL33" s="990" t="s">
        <v>1539</v>
      </c>
    </row>
    <row r="34" spans="1:66" ht="11.25" customHeight="1">
      <c r="A34" s="996" t="s">
        <v>1641</v>
      </c>
      <c r="O34" s="996" t="s">
        <v>1345</v>
      </c>
      <c r="AX34" s="1039" t="s">
        <v>1642</v>
      </c>
      <c r="BE34" s="2066">
        <v>2030</v>
      </c>
      <c r="BJ34" s="990" t="s">
        <v>1028</v>
      </c>
      <c r="BL34" s="990" t="s">
        <v>1028</v>
      </c>
    </row>
    <row r="35" spans="1:66" ht="11.25" customHeight="1">
      <c r="A35" s="996" t="s">
        <v>1643</v>
      </c>
      <c r="O35" s="996" t="s">
        <v>1378</v>
      </c>
      <c r="AX35" s="1039" t="s">
        <v>1644</v>
      </c>
      <c r="AZ35" s="989" t="s">
        <v>1645</v>
      </c>
      <c r="BE35" s="2066">
        <v>2031</v>
      </c>
      <c r="BL35" s="990" t="s">
        <v>1646</v>
      </c>
    </row>
    <row r="36" spans="1:66" ht="11.25" customHeight="1">
      <c r="A36" s="1785" t="s">
        <v>1647</v>
      </c>
      <c r="D36" s="1031" t="s">
        <v>1648</v>
      </c>
      <c r="E36" s="1032" t="s">
        <v>805</v>
      </c>
      <c r="F36" s="1033" t="str">
        <f>INDEX(E37:E41,MATCH(TEMPLATE_SPHERE,F37:F41,0))</f>
        <v>теплоснабжения</v>
      </c>
      <c r="G36" s="1033" t="str">
        <f>INDEX(G37:G41,MATCH(TEMPLATE_SPHERE,F37:F41,0))</f>
        <v>теплоснабжение</v>
      </c>
      <c r="O36" s="996" t="s">
        <v>1402</v>
      </c>
      <c r="AX36" s="1039" t="s">
        <v>1649</v>
      </c>
      <c r="AZ36" s="1039" t="s">
        <v>1285</v>
      </c>
      <c r="BE36" s="2066">
        <v>2032</v>
      </c>
      <c r="BL36" s="990" t="s">
        <v>1650</v>
      </c>
    </row>
    <row r="37" spans="1:66" ht="11.25" customHeight="1">
      <c r="A37" s="996" t="s">
        <v>1651</v>
      </c>
      <c r="E37" s="343" t="s">
        <v>1652</v>
      </c>
      <c r="F37" s="1034" t="s">
        <v>805</v>
      </c>
      <c r="G37" s="343" t="s">
        <v>1653</v>
      </c>
      <c r="O37" s="996" t="s">
        <v>1421</v>
      </c>
      <c r="AX37" s="1039" t="s">
        <v>1654</v>
      </c>
      <c r="AZ37" s="1039" t="s">
        <v>1311</v>
      </c>
      <c r="BE37" s="2066">
        <v>2033</v>
      </c>
    </row>
    <row r="38" spans="1:66" ht="11.25" customHeight="1">
      <c r="A38" s="996" t="s">
        <v>1655</v>
      </c>
      <c r="E38" s="343" t="s">
        <v>1656</v>
      </c>
      <c r="F38" s="1035" t="s">
        <v>851</v>
      </c>
      <c r="G38" s="343" t="s">
        <v>1657</v>
      </c>
      <c r="O38" s="996" t="s">
        <v>1438</v>
      </c>
      <c r="AX38" s="1039" t="s">
        <v>1658</v>
      </c>
      <c r="AZ38" s="1039" t="s">
        <v>1346</v>
      </c>
      <c r="BE38" s="2066">
        <v>2034</v>
      </c>
      <c r="BH38" s="989" t="s">
        <v>1659</v>
      </c>
      <c r="BJ38" s="989" t="s">
        <v>1660</v>
      </c>
      <c r="BL38" s="989" t="s">
        <v>1661</v>
      </c>
      <c r="BN38" s="989" t="s">
        <v>1662</v>
      </c>
    </row>
    <row r="39" spans="1:66" ht="11.25" customHeight="1">
      <c r="A39" s="996" t="s">
        <v>1663</v>
      </c>
      <c r="E39" s="343" t="s">
        <v>1664</v>
      </c>
      <c r="F39" s="1035" t="s">
        <v>904</v>
      </c>
      <c r="G39" s="343" t="s">
        <v>1665</v>
      </c>
      <c r="O39" s="996" t="s">
        <v>1454</v>
      </c>
      <c r="AX39" s="1039" t="s">
        <v>1666</v>
      </c>
      <c r="AZ39" s="1039" t="s">
        <v>1379</v>
      </c>
      <c r="BE39" s="2066">
        <v>2035</v>
      </c>
      <c r="BH39" s="990" t="s">
        <v>1667</v>
      </c>
      <c r="BJ39" s="1135" t="s">
        <v>1667</v>
      </c>
      <c r="BL39" s="1135" t="s">
        <v>1667</v>
      </c>
      <c r="BN39" s="990" t="s">
        <v>1668</v>
      </c>
    </row>
    <row r="40" spans="1:66" ht="11.25" customHeight="1">
      <c r="A40" s="996" t="s">
        <v>1669</v>
      </c>
      <c r="E40" s="343" t="s">
        <v>1670</v>
      </c>
      <c r="F40" s="1035" t="s">
        <v>891</v>
      </c>
      <c r="G40" s="343" t="s">
        <v>1671</v>
      </c>
      <c r="O40" s="996" t="s">
        <v>1470</v>
      </c>
      <c r="AX40" s="1039" t="s">
        <v>1672</v>
      </c>
      <c r="BE40" s="2066">
        <v>2036</v>
      </c>
      <c r="BH40" s="990" t="s">
        <v>1673</v>
      </c>
      <c r="BJ40" s="1135" t="s">
        <v>1095</v>
      </c>
      <c r="BL40" s="1135" t="s">
        <v>1095</v>
      </c>
      <c r="BN40" s="990" t="s">
        <v>1129</v>
      </c>
    </row>
    <row r="41" spans="1:66" ht="11.25" customHeight="1">
      <c r="A41" s="996" t="s">
        <v>1674</v>
      </c>
      <c r="E41" s="343" t="s">
        <v>1675</v>
      </c>
      <c r="F41" s="1035" t="s">
        <v>1676</v>
      </c>
      <c r="G41" s="343" t="s">
        <v>1675</v>
      </c>
      <c r="O41" s="996" t="s">
        <v>1486</v>
      </c>
      <c r="AX41" s="1039" t="s">
        <v>1677</v>
      </c>
      <c r="AZ41" s="989" t="s">
        <v>1678</v>
      </c>
      <c r="BE41" s="2066">
        <v>2037</v>
      </c>
      <c r="BH41" s="990" t="s">
        <v>1679</v>
      </c>
      <c r="BJ41" s="1135" t="s">
        <v>1091</v>
      </c>
      <c r="BL41" s="1135" t="s">
        <v>1091</v>
      </c>
      <c r="BN41" s="990" t="s">
        <v>1116</v>
      </c>
    </row>
    <row r="42" spans="1:66" ht="11.25" customHeight="1">
      <c r="A42" s="996" t="s">
        <v>1680</v>
      </c>
      <c r="AX42" s="1039" t="s">
        <v>1681</v>
      </c>
      <c r="AZ42" s="1039" t="s">
        <v>1283</v>
      </c>
      <c r="BE42" s="2066">
        <v>2038</v>
      </c>
      <c r="BH42" s="990" t="s">
        <v>1113</v>
      </c>
      <c r="BJ42" s="1135" t="s">
        <v>1093</v>
      </c>
      <c r="BL42" s="1135" t="s">
        <v>1093</v>
      </c>
      <c r="BN42" s="990" t="s">
        <v>1682</v>
      </c>
    </row>
    <row r="43" spans="1:66" ht="11.25" customHeight="1">
      <c r="A43" s="996" t="s">
        <v>1683</v>
      </c>
      <c r="AX43" s="1039" t="s">
        <v>1684</v>
      </c>
      <c r="AZ43" s="1039" t="s">
        <v>1310</v>
      </c>
      <c r="BE43" s="2066">
        <v>2039</v>
      </c>
      <c r="BH43" s="990" t="s">
        <v>1685</v>
      </c>
      <c r="BJ43" s="1135" t="s">
        <v>1679</v>
      </c>
      <c r="BL43" s="1135" t="s">
        <v>1679</v>
      </c>
      <c r="BN43" s="990" t="s">
        <v>1686</v>
      </c>
    </row>
    <row r="44" spans="1:66" ht="11.25" customHeight="1">
      <c r="A44" s="996" t="s">
        <v>1687</v>
      </c>
      <c r="G44" s="1015">
        <f ca="1">YEAR(TODAY())</f>
        <v>2025</v>
      </c>
      <c r="I44" s="729" t="s">
        <v>1688</v>
      </c>
      <c r="J44" s="1011" t="s">
        <v>1689</v>
      </c>
      <c r="K44" s="1011" t="s">
        <v>1690</v>
      </c>
      <c r="AX44" s="1039" t="s">
        <v>1691</v>
      </c>
      <c r="AZ44" s="1039" t="s">
        <v>1345</v>
      </c>
      <c r="BE44" s="2066">
        <v>2040</v>
      </c>
      <c r="BH44" s="990" t="s">
        <v>1692</v>
      </c>
      <c r="BJ44" s="1135" t="s">
        <v>1113</v>
      </c>
      <c r="BL44" s="1135" t="s">
        <v>1113</v>
      </c>
      <c r="BN44" s="990" t="s">
        <v>1693</v>
      </c>
    </row>
    <row r="45" spans="1:66" ht="11.25" customHeight="1">
      <c r="A45" s="996" t="s">
        <v>1694</v>
      </c>
      <c r="D45" s="1031" t="s">
        <v>1695</v>
      </c>
      <c r="E45" s="1032" t="s">
        <v>1087</v>
      </c>
      <c r="F45" s="727" t="s">
        <v>1696</v>
      </c>
      <c r="G45" s="726" t="s">
        <v>1697</v>
      </c>
      <c r="H45" s="729" t="s">
        <v>1698</v>
      </c>
      <c r="I45" s="1658" t="b">
        <f>INDEX(PeriodIsEmptyList,MATCH(TEMPLATE_GROUP,CodeTemplateList,0),1)</f>
        <v>0</v>
      </c>
      <c r="J45" s="1661" t="str">
        <f>INDEX(NameTemplatesInTitleList,MATCH(TEMPLATE_GROUP,CodeTemplateList,0),1)</f>
        <v>Информация об инвестиционных программах регулируемой организации в области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1699</v>
      </c>
      <c r="AZ45" s="1039" t="s">
        <v>1378</v>
      </c>
      <c r="BE45" s="2066">
        <v>2041</v>
      </c>
      <c r="BH45" s="990" t="s">
        <v>1700</v>
      </c>
      <c r="BJ45" s="1135" t="s">
        <v>1107</v>
      </c>
      <c r="BL45" s="1135" t="s">
        <v>1107</v>
      </c>
      <c r="BN45" s="990" t="s">
        <v>1701</v>
      </c>
    </row>
    <row r="46" spans="1:66" ht="11.25" customHeight="1">
      <c r="A46" s="996" t="s">
        <v>1702</v>
      </c>
      <c r="E46" s="343" t="s">
        <v>27</v>
      </c>
      <c r="F46" s="1034" t="s">
        <v>1703</v>
      </c>
      <c r="G46" s="1036" t="str">
        <f ca="1">IFERROR(IF(TITLE_DATE_FIL="","01.01."&amp;CURRENT_YEAR,"01.01."&amp;YEAR(TITLE_DATE_FIL)),"01.01."&amp;CURRENT_YEAR)</f>
        <v>01.01.2025</v>
      </c>
      <c r="H46" s="1036"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1704</v>
      </c>
      <c r="AZ46" s="1039" t="s">
        <v>1402</v>
      </c>
      <c r="BE46" s="2066">
        <v>2042</v>
      </c>
      <c r="BH46" s="990" t="s">
        <v>1116</v>
      </c>
      <c r="BJ46" s="1135" t="s">
        <v>1097</v>
      </c>
      <c r="BL46" s="1135" t="s">
        <v>1097</v>
      </c>
      <c r="BN46" s="990" t="s">
        <v>1705</v>
      </c>
    </row>
    <row r="47" spans="1:66" ht="11.25" customHeight="1">
      <c r="A47" s="996" t="s">
        <v>1706</v>
      </c>
      <c r="E47" s="343" t="s">
        <v>33</v>
      </c>
      <c r="F47" s="1035" t="s">
        <v>1707</v>
      </c>
      <c r="G47" s="1036" t="str">
        <f>IFERROR(IF(f_year="","01.01."&amp;CURRENT_YEAR,IF(LEN(f_quart)=0,"01.01."&amp;f_year,IF(f_quart="I квартал","01.01."&amp;f_year,IF(f_quart="II квартал","01.04."&amp;f_year,(IF(f_quart="III квартал","01.07."&amp;f_year,"01.10."&amp;f_year)))))),"01.01."&amp;CURRENT_YEAR)</f>
        <v>01.01.2025</v>
      </c>
      <c r="H47" s="1036" t="str">
        <f>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1708</v>
      </c>
      <c r="AZ47" s="1039" t="s">
        <v>1421</v>
      </c>
      <c r="BE47" s="2066">
        <v>2043</v>
      </c>
      <c r="BH47" s="990" t="s">
        <v>1682</v>
      </c>
      <c r="BJ47" s="1135" t="s">
        <v>1099</v>
      </c>
      <c r="BL47" s="1135" t="s">
        <v>1099</v>
      </c>
      <c r="BN47" s="990" t="s">
        <v>1709</v>
      </c>
    </row>
    <row r="48" spans="1:66" ht="11.25" customHeight="1">
      <c r="A48" s="996" t="s">
        <v>1710</v>
      </c>
      <c r="E48" s="343" t="s">
        <v>1711</v>
      </c>
      <c r="F48" s="1035" t="s">
        <v>1712</v>
      </c>
      <c r="G48" s="1036" t="str">
        <f>IFERROR(IF(f_year="","01.01."&amp;CURRENT_YEAR,"01.01."&amp;f_year),"01.01."&amp;CURRENT_YEAR)</f>
        <v>01.01.2025</v>
      </c>
      <c r="H48" s="1036" t="str">
        <f>IFERROR(IF(f_year="","31.12."&amp;CURRENT_YEAR,"31.12."&amp;f_year),"31.12."&amp;CURRENT_YEAR)</f>
        <v>31.12.2025</v>
      </c>
      <c r="I48" s="1659" t="b">
        <f>IF(f_year="",TRUE,FALSE)</f>
        <v>0</v>
      </c>
      <c r="J48" s="1662" t="s">
        <v>1713</v>
      </c>
      <c r="K48" s="1663"/>
      <c r="AX48" s="1039" t="s">
        <v>1714</v>
      </c>
      <c r="AZ48" s="1039" t="s">
        <v>1438</v>
      </c>
      <c r="BE48" s="2066">
        <v>2044</v>
      </c>
      <c r="BH48" s="990" t="s">
        <v>1686</v>
      </c>
      <c r="BJ48" s="1135" t="s">
        <v>1101</v>
      </c>
      <c r="BL48" s="1135" t="s">
        <v>1101</v>
      </c>
      <c r="BN48" s="990" t="s">
        <v>1715</v>
      </c>
    </row>
    <row r="49" spans="1:64" ht="11.25" customHeight="1">
      <c r="A49" s="996" t="s">
        <v>1716</v>
      </c>
      <c r="E49" s="343" t="s">
        <v>1717</v>
      </c>
      <c r="F49" s="1035" t="s">
        <v>1718</v>
      </c>
      <c r="G49" s="1036" t="str">
        <f>IFERROR(IF(f_year="","01.01."&amp;CURRENT_YEAR,"01.01."&amp;f_year),"01.01."&amp;CURRENT_YEAR)</f>
        <v>01.01.2025</v>
      </c>
      <c r="H49" s="1036" t="str">
        <f>IFERROR(IF(f_year="","31.12."&amp;CURRENT_YEAR,"31.12."&amp;f_year),"31.12."&amp;CURRENT_YEAR)</f>
        <v>31.12.2025</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1719</v>
      </c>
      <c r="AZ49" s="1039" t="s">
        <v>1454</v>
      </c>
      <c r="BE49" s="2066">
        <v>2045</v>
      </c>
      <c r="BH49" s="990" t="s">
        <v>1117</v>
      </c>
      <c r="BJ49" s="1135" t="s">
        <v>1103</v>
      </c>
      <c r="BL49" s="1135" t="s">
        <v>1103</v>
      </c>
    </row>
    <row r="50" spans="1:64" ht="11.25" customHeight="1">
      <c r="A50" s="996" t="s">
        <v>1720</v>
      </c>
      <c r="E50" s="343" t="s">
        <v>1721</v>
      </c>
      <c r="F50" s="1035" t="s">
        <v>1087</v>
      </c>
      <c r="G50" s="1036" t="str">
        <f>IFERROR(IF(f_year="","01.01."&amp;CURRENT_YEAR,"01.01."&amp;f_year),"01.01."&amp;CURRENT_YEAR)</f>
        <v>01.01.2025</v>
      </c>
      <c r="H50" s="1036" t="str">
        <f>IFERROR(IF(f_year="","31.12."&amp;CURRENT_YEAR,"31.12."&amp;f_year),"31.12."&amp;CURRENT_YEAR)</f>
        <v>31.12.2025</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1722</v>
      </c>
      <c r="AZ50" s="1039" t="s">
        <v>1470</v>
      </c>
      <c r="BE50" s="2066">
        <v>2046</v>
      </c>
      <c r="BH50" s="990" t="s">
        <v>1693</v>
      </c>
      <c r="BJ50" s="1135" t="s">
        <v>1105</v>
      </c>
      <c r="BL50" s="1135" t="s">
        <v>1105</v>
      </c>
    </row>
    <row r="51" spans="1:64" ht="11.25" customHeight="1">
      <c r="A51" s="996" t="s">
        <v>1723</v>
      </c>
      <c r="E51" s="343" t="s">
        <v>1724</v>
      </c>
      <c r="F51" s="1035" t="s">
        <v>1725</v>
      </c>
      <c r="G51" s="1036" t="str">
        <f ca="1">IFERROR(IF(TITLE_PERIOD_START="","01.01."&amp;CURRENT_YEAR,"01.01."&amp;YEAR(TITLE_PERIOD_START)),"01.01."&amp;CURRENT_YEAR)</f>
        <v>01.01.2025</v>
      </c>
      <c r="H51" s="1036"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1726</v>
      </c>
      <c r="AZ51" s="1039" t="s">
        <v>1486</v>
      </c>
      <c r="BE51" s="2066">
        <v>2047</v>
      </c>
      <c r="BH51" s="990" t="s">
        <v>1701</v>
      </c>
      <c r="BJ51" s="1135" t="s">
        <v>1727</v>
      </c>
      <c r="BL51" s="1135" t="s">
        <v>1727</v>
      </c>
    </row>
    <row r="52" spans="1:64" ht="11.25" customHeight="1">
      <c r="A52" s="996" t="s">
        <v>1728</v>
      </c>
      <c r="E52" s="343" t="s">
        <v>1729</v>
      </c>
      <c r="F52" s="1035" t="s">
        <v>1730</v>
      </c>
      <c r="G52" s="1036" t="str">
        <f ca="1">IFERROR(IF(TITLE_PERIOD_START="","01.01."&amp;CURRENT_YEAR,"01.01."&amp;YEAR(TITLE_PERIOD_START)),"01.01."&amp;CURRENT_YEAR)</f>
        <v>01.01.2025</v>
      </c>
      <c r="H52" s="1036"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1731</v>
      </c>
      <c r="AZ52" s="1039" t="s">
        <v>1285</v>
      </c>
      <c r="BE52" s="2066">
        <v>2048</v>
      </c>
      <c r="BH52" s="990" t="s">
        <v>1705</v>
      </c>
      <c r="BJ52" s="1135" t="s">
        <v>1116</v>
      </c>
      <c r="BL52" s="1135" t="s">
        <v>1116</v>
      </c>
    </row>
    <row r="53" spans="1:64" ht="11.25" customHeight="1">
      <c r="A53" s="996" t="s">
        <v>1732</v>
      </c>
      <c r="E53" s="343" t="s">
        <v>1733</v>
      </c>
      <c r="F53" s="1035" t="s">
        <v>1733</v>
      </c>
      <c r="G53" s="1036" t="str">
        <f>IFERROR(IF(f_year="","01.01."&amp;CURRENT_YEAR,"01.01."&amp;f_year),"01.01."&amp;CURRENT_YEAR)</f>
        <v>01.01.2025</v>
      </c>
      <c r="H53" s="1036" t="str">
        <f>IFERROR(IF(f_year="","31.12."&amp;CURRENT_YEAR,"31.12."&amp;f_year),"31.12."&amp;CURRENT_YEAR)</f>
        <v>31.12.2025</v>
      </c>
      <c r="I53" s="1659" t="b">
        <f>IF(AND(f_year="",TITLE_DATE_FIL=""),TRUE,FALSE)</f>
        <v>0</v>
      </c>
      <c r="J53" s="1662" t="s">
        <v>1734</v>
      </c>
      <c r="K53" s="1663"/>
      <c r="AX53" s="1039" t="s">
        <v>1735</v>
      </c>
      <c r="BE53" s="2066">
        <v>2049</v>
      </c>
      <c r="BH53" s="990" t="s">
        <v>1709</v>
      </c>
      <c r="BJ53" s="1135" t="s">
        <v>1682</v>
      </c>
      <c r="BL53" s="1135" t="s">
        <v>1682</v>
      </c>
    </row>
    <row r="54" spans="1:64" ht="11.25" customHeight="1">
      <c r="A54" s="996" t="s">
        <v>1736</v>
      </c>
      <c r="AX54" s="1039" t="s">
        <v>1737</v>
      </c>
      <c r="AZ54" s="989" t="s">
        <v>1738</v>
      </c>
      <c r="BE54" s="2066">
        <v>2050</v>
      </c>
      <c r="BH54" s="990" t="s">
        <v>1715</v>
      </c>
      <c r="BJ54" s="1135" t="s">
        <v>1686</v>
      </c>
      <c r="BL54" s="1135" t="s">
        <v>1686</v>
      </c>
    </row>
    <row r="55" spans="1:64" ht="11.25" customHeight="1">
      <c r="A55" s="996" t="s">
        <v>1739</v>
      </c>
      <c r="AX55" s="1039" t="s">
        <v>1740</v>
      </c>
      <c r="AZ55" s="1039" t="s">
        <v>1287</v>
      </c>
      <c r="BE55" s="2066">
        <v>2051</v>
      </c>
      <c r="BH55" s="992" t="s">
        <v>22</v>
      </c>
      <c r="BJ55" s="1135" t="s">
        <v>1117</v>
      </c>
      <c r="BL55" s="1135" t="s">
        <v>1117</v>
      </c>
    </row>
    <row r="56" spans="1:64" ht="11.25" customHeight="1">
      <c r="A56" s="996" t="s">
        <v>1741</v>
      </c>
      <c r="D56" s="1038" t="s">
        <v>1742</v>
      </c>
      <c r="E56" s="1016" t="s">
        <v>110</v>
      </c>
      <c r="F56" s="996" t="s">
        <v>1743</v>
      </c>
      <c r="AX56" s="1039" t="s">
        <v>1744</v>
      </c>
      <c r="AZ56" s="1039" t="s">
        <v>1313</v>
      </c>
      <c r="BE56" s="2066">
        <v>2052</v>
      </c>
      <c r="BH56" s="992" t="s">
        <v>22</v>
      </c>
      <c r="BJ56" s="1135" t="s">
        <v>1693</v>
      </c>
      <c r="BL56" s="1135" t="s">
        <v>1693</v>
      </c>
    </row>
    <row r="57" spans="1:64" ht="11.25" customHeight="1">
      <c r="A57" s="996" t="s">
        <v>1745</v>
      </c>
      <c r="D57" s="1038" t="s">
        <v>1746</v>
      </c>
      <c r="E57" s="1016" t="s">
        <v>110</v>
      </c>
      <c r="F57" s="996" t="s">
        <v>1743</v>
      </c>
      <c r="AX57" s="1039" t="s">
        <v>1747</v>
      </c>
      <c r="AZ57" s="1039" t="s">
        <v>1348</v>
      </c>
      <c r="BE57" s="2066">
        <v>2053</v>
      </c>
      <c r="BJ57" s="1135" t="s">
        <v>1701</v>
      </c>
      <c r="BL57" s="1135" t="s">
        <v>1701</v>
      </c>
    </row>
    <row r="58" spans="1:64" ht="11.25" customHeight="1">
      <c r="A58" s="996" t="s">
        <v>1748</v>
      </c>
      <c r="D58" s="1038" t="s">
        <v>1749</v>
      </c>
      <c r="E58" s="1016" t="s">
        <v>1735</v>
      </c>
      <c r="F58" s="996" t="s">
        <v>1743</v>
      </c>
      <c r="AX58" s="1039" t="s">
        <v>1750</v>
      </c>
      <c r="BE58" s="2066">
        <v>2054</v>
      </c>
      <c r="BJ58" s="1135" t="s">
        <v>1705</v>
      </c>
      <c r="BL58" s="1135" t="s">
        <v>1705</v>
      </c>
    </row>
    <row r="59" spans="1:64" ht="11.25" customHeight="1">
      <c r="A59" s="996" t="s">
        <v>1751</v>
      </c>
      <c r="D59" s="1038" t="s">
        <v>130</v>
      </c>
      <c r="E59" s="1016" t="s">
        <v>1638</v>
      </c>
      <c r="F59" s="996" t="s">
        <v>1752</v>
      </c>
      <c r="AX59" s="1039" t="s">
        <v>1753</v>
      </c>
      <c r="AZ59" s="989" t="s">
        <v>1754</v>
      </c>
      <c r="BE59" s="2066">
        <v>2055</v>
      </c>
      <c r="BJ59" s="1135" t="s">
        <v>1709</v>
      </c>
      <c r="BL59" s="1135" t="s">
        <v>1709</v>
      </c>
    </row>
    <row r="60" spans="1:64" ht="11.25" customHeight="1">
      <c r="A60" s="996" t="s">
        <v>1755</v>
      </c>
      <c r="D60" s="1038" t="s">
        <v>1756</v>
      </c>
      <c r="E60" s="1016" t="s">
        <v>1638</v>
      </c>
      <c r="F60" s="996" t="s">
        <v>1752</v>
      </c>
      <c r="AX60" s="1039" t="s">
        <v>1757</v>
      </c>
      <c r="AZ60" s="1039" t="s">
        <v>1288</v>
      </c>
      <c r="BE60" s="2066">
        <v>2056</v>
      </c>
      <c r="BJ60" s="1135" t="s">
        <v>1715</v>
      </c>
      <c r="BL60" s="1135" t="s">
        <v>1715</v>
      </c>
    </row>
    <row r="61" spans="1:64" ht="11.25" customHeight="1">
      <c r="A61" s="996" t="s">
        <v>1758</v>
      </c>
      <c r="D61" s="1038" t="s">
        <v>1759</v>
      </c>
      <c r="E61" s="1016" t="s">
        <v>1638</v>
      </c>
      <c r="F61" s="996" t="s">
        <v>1752</v>
      </c>
      <c r="AX61" s="1039" t="s">
        <v>1760</v>
      </c>
      <c r="AZ61" s="1039" t="s">
        <v>1314</v>
      </c>
      <c r="BE61" s="2066">
        <v>2057</v>
      </c>
      <c r="BL61" s="1135" t="s">
        <v>1109</v>
      </c>
    </row>
    <row r="62" spans="1:64" ht="11.25" customHeight="1">
      <c r="A62" s="996" t="s">
        <v>1761</v>
      </c>
      <c r="D62" s="1038" t="s">
        <v>129</v>
      </c>
      <c r="E62" s="1016">
        <v>30</v>
      </c>
      <c r="F62" s="996" t="s">
        <v>1752</v>
      </c>
      <c r="AZ62" s="1039" t="s">
        <v>1349</v>
      </c>
      <c r="BE62" s="2066">
        <v>2058</v>
      </c>
      <c r="BL62" s="1135" t="s">
        <v>1111</v>
      </c>
    </row>
    <row r="63" spans="1:64" ht="11.25" customHeight="1">
      <c r="A63" s="996" t="s">
        <v>1762</v>
      </c>
      <c r="D63" s="1038" t="s">
        <v>1763</v>
      </c>
      <c r="E63" s="1016">
        <v>30</v>
      </c>
      <c r="F63" s="996" t="s">
        <v>1752</v>
      </c>
      <c r="AZ63" s="1039" t="s">
        <v>1381</v>
      </c>
      <c r="BE63" s="2066">
        <v>2059</v>
      </c>
    </row>
    <row r="64" spans="1:64" ht="11.25" customHeight="1">
      <c r="A64" s="996" t="s">
        <v>1764</v>
      </c>
      <c r="D64" s="1038" t="s">
        <v>1765</v>
      </c>
      <c r="E64" s="1016">
        <v>30</v>
      </c>
      <c r="F64" s="996" t="s">
        <v>1752</v>
      </c>
      <c r="AZ64" s="1039" t="s">
        <v>1403</v>
      </c>
      <c r="BE64" s="2066">
        <v>2060</v>
      </c>
    </row>
    <row r="65" spans="1:66" ht="11.25" customHeight="1">
      <c r="A65" s="996" t="s">
        <v>1766</v>
      </c>
      <c r="D65" s="996"/>
      <c r="BE65" s="2066">
        <v>2061</v>
      </c>
    </row>
    <row r="66" spans="1:66" ht="11.25" customHeight="1">
      <c r="A66" s="996" t="s">
        <v>1767</v>
      </c>
      <c r="AZ66" s="989" t="s">
        <v>1768</v>
      </c>
      <c r="BE66" s="2066">
        <v>2062</v>
      </c>
    </row>
    <row r="67" spans="1:66" ht="11.25" customHeight="1">
      <c r="A67" s="996" t="s">
        <v>1769</v>
      </c>
      <c r="AZ67" s="1039" t="s">
        <v>1289</v>
      </c>
      <c r="BE67" s="2066">
        <v>2063</v>
      </c>
    </row>
    <row r="68" spans="1:66" ht="11.25" customHeight="1">
      <c r="A68" s="996" t="s">
        <v>1770</v>
      </c>
      <c r="AZ68" s="1039" t="s">
        <v>1315</v>
      </c>
      <c r="BE68" s="2066">
        <v>2064</v>
      </c>
      <c r="BH68" s="989" t="s">
        <v>1771</v>
      </c>
      <c r="BJ68" s="989" t="s">
        <v>1772</v>
      </c>
      <c r="BL68" s="989" t="s">
        <v>1773</v>
      </c>
      <c r="BN68" s="989" t="s">
        <v>1774</v>
      </c>
    </row>
    <row r="69" spans="1:66" ht="11.25" customHeight="1">
      <c r="A69" s="996" t="s">
        <v>1775</v>
      </c>
      <c r="AZ69" s="1039" t="s">
        <v>1350</v>
      </c>
      <c r="BE69" s="2066">
        <v>2065</v>
      </c>
      <c r="BH69" s="990" t="s">
        <v>1776</v>
      </c>
      <c r="BI69" s="1037" t="s">
        <v>108</v>
      </c>
      <c r="BJ69" s="990" t="s">
        <v>1777</v>
      </c>
      <c r="BK69" s="1037" t="s">
        <v>108</v>
      </c>
      <c r="BL69" s="990" t="s">
        <v>1778</v>
      </c>
      <c r="BM69" s="992" t="s">
        <v>108</v>
      </c>
      <c r="BN69" s="990" t="s">
        <v>1779</v>
      </c>
    </row>
    <row r="70" spans="1:66" ht="11.25" customHeight="1">
      <c r="A70" s="996" t="s">
        <v>1780</v>
      </c>
      <c r="AZ70" s="1039" t="s">
        <v>1382</v>
      </c>
      <c r="BE70" s="2066">
        <v>2066</v>
      </c>
      <c r="BH70" s="990" t="s">
        <v>1024</v>
      </c>
      <c r="BJ70" s="990" t="s">
        <v>1781</v>
      </c>
      <c r="BL70" s="990" t="s">
        <v>1782</v>
      </c>
      <c r="BN70" s="990" t="s">
        <v>1783</v>
      </c>
    </row>
    <row r="71" spans="1:66" ht="11.25" customHeight="1">
      <c r="A71" s="996" t="s">
        <v>1784</v>
      </c>
      <c r="AZ71" s="1039" t="s">
        <v>1384</v>
      </c>
      <c r="BE71" s="2066">
        <v>2067</v>
      </c>
      <c r="BH71" s="990" t="s">
        <v>1032</v>
      </c>
      <c r="BI71" s="1037" t="s">
        <v>92</v>
      </c>
      <c r="BJ71" s="990" t="s">
        <v>1785</v>
      </c>
      <c r="BK71" s="1037" t="s">
        <v>92</v>
      </c>
      <c r="BL71" s="990" t="s">
        <v>1786</v>
      </c>
      <c r="BM71" s="992" t="s">
        <v>92</v>
      </c>
      <c r="BN71" s="990" t="s">
        <v>1787</v>
      </c>
    </row>
    <row r="72" spans="1:66" ht="11.25" customHeight="1">
      <c r="A72" s="996" t="s">
        <v>1788</v>
      </c>
      <c r="AZ72" s="1039" t="s">
        <v>19</v>
      </c>
      <c r="BE72" s="2066">
        <v>2068</v>
      </c>
      <c r="BH72" s="990" t="s">
        <v>1050</v>
      </c>
      <c r="BJ72" s="990" t="s">
        <v>1050</v>
      </c>
      <c r="BL72" s="990" t="s">
        <v>1050</v>
      </c>
      <c r="BN72" s="990" t="s">
        <v>1789</v>
      </c>
    </row>
    <row r="73" spans="1:66" ht="11.25" customHeight="1">
      <c r="A73" s="996" t="s">
        <v>1790</v>
      </c>
      <c r="BE73" s="2066">
        <v>2069</v>
      </c>
      <c r="BH73" s="990" t="s">
        <v>1791</v>
      </c>
      <c r="BI73" s="1037" t="s">
        <v>110</v>
      </c>
      <c r="BJ73" s="990" t="s">
        <v>1792</v>
      </c>
      <c r="BK73" s="1037" t="s">
        <v>110</v>
      </c>
      <c r="BL73" s="990" t="s">
        <v>1793</v>
      </c>
      <c r="BM73" s="992" t="s">
        <v>110</v>
      </c>
      <c r="BN73" s="990" t="s">
        <v>1794</v>
      </c>
    </row>
    <row r="74" spans="1:66" ht="11.25" customHeight="1">
      <c r="A74" s="996" t="s">
        <v>1795</v>
      </c>
      <c r="BE74" s="2066">
        <v>2070</v>
      </c>
      <c r="BH74" s="990" t="s">
        <v>1796</v>
      </c>
      <c r="BJ74" s="990" t="s">
        <v>1797</v>
      </c>
      <c r="BL74" s="990" t="s">
        <v>1798</v>
      </c>
      <c r="BN74" s="990" t="s">
        <v>1799</v>
      </c>
    </row>
    <row r="75" spans="1:66" ht="11.25" customHeight="1">
      <c r="A75" s="996" t="s">
        <v>1800</v>
      </c>
      <c r="AZ75" s="989" t="s">
        <v>1801</v>
      </c>
      <c r="BH75" s="990" t="s">
        <v>1802</v>
      </c>
      <c r="BJ75" s="990" t="s">
        <v>1802</v>
      </c>
      <c r="BL75" s="990" t="s">
        <v>1802</v>
      </c>
    </row>
    <row r="76" spans="1:66" ht="11.25" customHeight="1">
      <c r="A76" s="996" t="s">
        <v>1803</v>
      </c>
      <c r="AZ76" s="1039" t="s">
        <v>1298</v>
      </c>
      <c r="BH76" s="990" t="s">
        <v>1052</v>
      </c>
      <c r="BJ76" s="990" t="s">
        <v>1804</v>
      </c>
      <c r="BL76" s="990" t="s">
        <v>1805</v>
      </c>
    </row>
    <row r="77" spans="1:66" ht="11.25" customHeight="1">
      <c r="A77" s="996" t="s">
        <v>1806</v>
      </c>
      <c r="AZ77" s="1039" t="s">
        <v>1325</v>
      </c>
    </row>
    <row r="78" spans="1:66" ht="11.25" customHeight="1">
      <c r="A78" s="996" t="s">
        <v>1807</v>
      </c>
      <c r="AZ78" s="1039" t="s">
        <v>1357</v>
      </c>
    </row>
    <row r="79" spans="1:66" ht="11.25" customHeight="1">
      <c r="A79" s="996" t="s">
        <v>1808</v>
      </c>
      <c r="AZ79" s="1039" t="s">
        <v>1388</v>
      </c>
      <c r="BH79" s="989" t="s">
        <v>1809</v>
      </c>
      <c r="BJ79" s="989" t="s">
        <v>1810</v>
      </c>
      <c r="BL79" s="989" t="s">
        <v>1811</v>
      </c>
    </row>
    <row r="80" spans="1:66" ht="11.25" customHeight="1">
      <c r="A80" s="996" t="s">
        <v>1812</v>
      </c>
      <c r="AZ80" s="1039" t="s">
        <v>1408</v>
      </c>
      <c r="BH80" s="990" t="s">
        <v>1813</v>
      </c>
      <c r="BJ80" s="990" t="s">
        <v>1814</v>
      </c>
      <c r="BL80" s="990" t="s">
        <v>1815</v>
      </c>
    </row>
    <row r="81" spans="1:66" ht="11.25" customHeight="1">
      <c r="A81" s="996" t="s">
        <v>1816</v>
      </c>
      <c r="AZ81" s="1039" t="s">
        <v>1425</v>
      </c>
      <c r="BH81" s="990" t="s">
        <v>1817</v>
      </c>
      <c r="BJ81" s="990" t="s">
        <v>1818</v>
      </c>
      <c r="BL81" s="990" t="s">
        <v>1819</v>
      </c>
    </row>
    <row r="82" spans="1:66" ht="11.25" customHeight="1">
      <c r="A82" s="996" t="s">
        <v>1820</v>
      </c>
      <c r="AZ82" s="1039" t="s">
        <v>1440</v>
      </c>
      <c r="BH82" s="990" t="s">
        <v>1821</v>
      </c>
      <c r="BJ82" s="990" t="s">
        <v>1822</v>
      </c>
      <c r="BL82" s="990" t="s">
        <v>1823</v>
      </c>
    </row>
    <row r="83" spans="1:66" ht="11.25" customHeight="1">
      <c r="A83" s="996" t="s">
        <v>1824</v>
      </c>
      <c r="BH83" s="990" t="s">
        <v>1825</v>
      </c>
      <c r="BJ83" s="990" t="s">
        <v>1826</v>
      </c>
      <c r="BL83" s="990" t="s">
        <v>1827</v>
      </c>
    </row>
    <row r="84" spans="1:66" ht="11.25" customHeight="1">
      <c r="A84" s="996" t="s">
        <v>1828</v>
      </c>
      <c r="AZ84" s="989" t="s">
        <v>1829</v>
      </c>
    </row>
    <row r="85" spans="1:66" ht="11.25" customHeight="1">
      <c r="A85" s="1785" t="s">
        <v>1830</v>
      </c>
      <c r="AZ85" s="1039" t="s">
        <v>1831</v>
      </c>
    </row>
    <row r="86" spans="1:66" ht="11.25" customHeight="1">
      <c r="A86" s="996" t="s">
        <v>1832</v>
      </c>
      <c r="AZ86" s="1039" t="s">
        <v>1833</v>
      </c>
      <c r="BH86" s="989" t="s">
        <v>1031</v>
      </c>
      <c r="BJ86" s="989" t="s">
        <v>1834</v>
      </c>
      <c r="BL86" s="989" t="s">
        <v>1835</v>
      </c>
    </row>
    <row r="87" spans="1:66" ht="11.25" customHeight="1">
      <c r="A87" s="996" t="s">
        <v>1836</v>
      </c>
      <c r="AZ87" s="1039" t="s">
        <v>1837</v>
      </c>
      <c r="BH87" s="990" t="s">
        <v>1838</v>
      </c>
      <c r="BJ87" s="990" t="s">
        <v>1839</v>
      </c>
      <c r="BL87" s="990" t="s">
        <v>1840</v>
      </c>
    </row>
    <row r="88" spans="1:66" ht="11.25" customHeight="1">
      <c r="A88" s="996" t="s">
        <v>1841</v>
      </c>
      <c r="AZ88" s="1524"/>
      <c r="BH88" s="990" t="s">
        <v>1033</v>
      </c>
      <c r="BJ88" s="990" t="s">
        <v>1842</v>
      </c>
      <c r="BL88" s="990" t="s">
        <v>1843</v>
      </c>
    </row>
    <row r="89" spans="1:66" ht="11.25" customHeight="1">
      <c r="A89" s="996" t="s">
        <v>1844</v>
      </c>
      <c r="AZ89" s="989" t="s">
        <v>1845</v>
      </c>
    </row>
    <row r="90" spans="1:66" ht="11.25" customHeight="1">
      <c r="A90" s="996" t="s">
        <v>1846</v>
      </c>
      <c r="AZ90" s="1039" t="s">
        <v>1087</v>
      </c>
    </row>
    <row r="91" spans="1:66" ht="11.25" customHeight="1">
      <c r="A91" s="996" t="s">
        <v>1847</v>
      </c>
      <c r="AZ91" s="1039" t="s">
        <v>1123</v>
      </c>
      <c r="BH91" s="989" t="s">
        <v>1848</v>
      </c>
      <c r="BJ91" s="989" t="s">
        <v>1849</v>
      </c>
      <c r="BL91" s="989" t="s">
        <v>1850</v>
      </c>
    </row>
    <row r="92" spans="1:66" ht="11.25" customHeight="1">
      <c r="AZ92" s="1039" t="s">
        <v>1851</v>
      </c>
      <c r="BH92" s="990" t="s">
        <v>1852</v>
      </c>
      <c r="BJ92" s="990" t="s">
        <v>1853</v>
      </c>
      <c r="BL92" s="990" t="s">
        <v>1854</v>
      </c>
    </row>
    <row r="93" spans="1:66" ht="11.25" customHeight="1">
      <c r="AZ93" s="1039" t="s">
        <v>1855</v>
      </c>
      <c r="BH93" s="990" t="s">
        <v>1856</v>
      </c>
      <c r="BJ93" s="990" t="s">
        <v>1857</v>
      </c>
      <c r="BL93" s="990" t="s">
        <v>1858</v>
      </c>
    </row>
    <row r="94" spans="1:66" ht="11.25" customHeight="1">
      <c r="AZ94" s="1039" t="s">
        <v>1859</v>
      </c>
    </row>
    <row r="96" spans="1:66" ht="11.25" customHeight="1">
      <c r="AZ96" s="989" t="s">
        <v>1860</v>
      </c>
      <c r="BH96" s="989" t="s">
        <v>1861</v>
      </c>
      <c r="BJ96" s="989" t="s">
        <v>1862</v>
      </c>
      <c r="BL96" s="989" t="s">
        <v>1863</v>
      </c>
      <c r="BN96" s="989" t="s">
        <v>1864</v>
      </c>
    </row>
    <row r="97" spans="52:66" ht="11.25" customHeight="1">
      <c r="AZ97" s="1816" t="s">
        <v>1865</v>
      </c>
      <c r="BA97" s="1817" t="s">
        <v>1866</v>
      </c>
      <c r="BH97" s="990" t="s">
        <v>1867</v>
      </c>
      <c r="BJ97" s="990" t="s">
        <v>1868</v>
      </c>
      <c r="BL97" s="990" t="s">
        <v>1869</v>
      </c>
      <c r="BN97" s="990" t="s">
        <v>1870</v>
      </c>
    </row>
    <row r="98" spans="52:66" ht="11.25" customHeight="1">
      <c r="AZ98" s="1816" t="s">
        <v>1871</v>
      </c>
      <c r="BA98" s="1817" t="s">
        <v>1872</v>
      </c>
      <c r="BH98" s="990" t="s">
        <v>1873</v>
      </c>
      <c r="BJ98" s="990" t="s">
        <v>1874</v>
      </c>
      <c r="BL98" s="990" t="s">
        <v>1875</v>
      </c>
      <c r="BN98" s="990" t="s">
        <v>1876</v>
      </c>
    </row>
    <row r="99" spans="52:66" ht="22.5" customHeight="1">
      <c r="AZ99" s="1816" t="s">
        <v>1877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1878</v>
      </c>
      <c r="BJ99" s="990" t="s">
        <v>1879</v>
      </c>
      <c r="BL99" s="990" t="s">
        <v>1880</v>
      </c>
      <c r="BN99" s="990" t="s">
        <v>1881</v>
      </c>
    </row>
    <row r="100" spans="52:66" ht="22.5" customHeight="1">
      <c r="AZ100" s="1816" t="s">
        <v>1882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1486</v>
      </c>
      <c r="BL100" s="990" t="s">
        <v>1486</v>
      </c>
      <c r="BN100" s="990" t="s">
        <v>1883</v>
      </c>
    </row>
    <row r="101" spans="52:66" ht="22.5" customHeight="1">
      <c r="AZ101" s="1816" t="s">
        <v>1884</v>
      </c>
      <c r="BA101" s="1817" t="s">
        <v>1885</v>
      </c>
      <c r="BN101" s="990" t="s">
        <v>1886</v>
      </c>
    </row>
    <row r="102" spans="52:66" ht="22.5" customHeight="1">
      <c r="AZ102" s="1816" t="s">
        <v>1887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1888</v>
      </c>
    </row>
    <row r="103" spans="52:66" ht="11.25" customHeight="1">
      <c r="AZ103" s="1816" t="s">
        <v>1889</v>
      </c>
      <c r="BA103" s="1817" t="s">
        <v>1890</v>
      </c>
      <c r="BN103" s="990" t="s">
        <v>1891</v>
      </c>
    </row>
    <row r="104" spans="52:66" ht="11.25" customHeight="1">
      <c r="BN104" s="990" t="s">
        <v>1892</v>
      </c>
    </row>
    <row r="105" spans="52:66" ht="11.25" customHeight="1">
      <c r="AZ105" s="1610" t="s">
        <v>1893</v>
      </c>
    </row>
    <row r="106" spans="52:66" ht="11.25" customHeight="1">
      <c r="AZ106" s="1039" t="s">
        <v>1894</v>
      </c>
    </row>
    <row r="107" spans="52:66" ht="11.25" customHeight="1">
      <c r="AZ107" s="1039" t="s">
        <v>1895</v>
      </c>
      <c r="BH107" s="989" t="s">
        <v>1896</v>
      </c>
      <c r="BJ107" s="989" t="s">
        <v>1897</v>
      </c>
      <c r="BL107" s="989" t="s">
        <v>1898</v>
      </c>
      <c r="BN107" s="989" t="s">
        <v>1899</v>
      </c>
    </row>
    <row r="108" spans="52:66" ht="11.25" customHeight="1">
      <c r="AZ108" s="1039" t="s">
        <v>568</v>
      </c>
      <c r="BH108" s="990" t="s">
        <v>1900</v>
      </c>
      <c r="BJ108" s="990" t="s">
        <v>1901</v>
      </c>
      <c r="BL108" s="990" t="s">
        <v>1566</v>
      </c>
      <c r="BN108" s="990" t="s">
        <v>1902</v>
      </c>
    </row>
    <row r="109" spans="52:66" ht="11.25" customHeight="1">
      <c r="BH109" s="990" t="s">
        <v>1903</v>
      </c>
    </row>
    <row r="110" spans="52:66" ht="11.25" customHeight="1">
      <c r="AZ110" s="1610" t="s">
        <v>1904</v>
      </c>
      <c r="BH110" s="990" t="s">
        <v>1903</v>
      </c>
    </row>
    <row r="111" spans="52:66" ht="11.25" customHeight="1">
      <c r="AZ111" s="1816" t="s">
        <v>1865</v>
      </c>
      <c r="BA111" s="1817" t="s">
        <v>1866</v>
      </c>
    </row>
    <row r="112" spans="52:66" ht="11.25" customHeight="1">
      <c r="AZ112" s="1816" t="s">
        <v>1871</v>
      </c>
      <c r="BA112" s="1817" t="s">
        <v>1872</v>
      </c>
    </row>
    <row r="113" spans="52:60" ht="22.5" customHeight="1">
      <c r="AZ113" s="1816" t="s">
        <v>1877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1882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1905</v>
      </c>
    </row>
    <row r="115" spans="52:60" ht="22.5" customHeight="1">
      <c r="AZ115" s="1816" t="s">
        <v>1887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1285</v>
      </c>
    </row>
    <row r="116" spans="52:60" ht="11.25" customHeight="1">
      <c r="AZ116" s="1816" t="s">
        <v>1889</v>
      </c>
      <c r="BA116" s="1817" t="s">
        <v>1890</v>
      </c>
      <c r="BH116" s="990" t="s">
        <v>1311</v>
      </c>
    </row>
    <row r="117" spans="52:60" ht="11.25" customHeight="1">
      <c r="BH117" s="990" t="s">
        <v>1346</v>
      </c>
    </row>
    <row r="118" spans="52:60" ht="11.25" customHeight="1">
      <c r="BH118" s="990" t="s">
        <v>1379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16" hidden="1" customWidth="1"/>
    <col min="3" max="3" width="3" style="2014" customWidth="1"/>
    <col min="4" max="4" width="6" style="2019" customWidth="1"/>
    <col min="5" max="5" width="52" style="2014" customWidth="1"/>
    <col min="6" max="6" width="48" style="2014" customWidth="1"/>
    <col min="7" max="7" width="93" style="2014" customWidth="1"/>
    <col min="8" max="8" width="8" style="2014" customWidth="1"/>
    <col min="9" max="9" width="64" style="2014" customWidth="1"/>
    <col min="10" max="10" width="9.140625" style="2014" hidden="1"/>
  </cols>
  <sheetData>
    <row r="1" spans="1:10" ht="11.25" hidden="1" customHeight="1">
      <c r="A1" s="437" t="s">
        <v>296</v>
      </c>
      <c r="J1" s="391" t="s">
        <v>14</v>
      </c>
    </row>
    <row r="2" spans="1:10" ht="22.5" hidden="1" customHeight="1">
      <c r="A2" s="438"/>
      <c r="B2" s="438"/>
      <c r="C2" s="1647" t="s">
        <v>686</v>
      </c>
      <c r="D2" s="1438"/>
      <c r="E2" s="1444"/>
      <c r="F2" s="1467"/>
      <c r="H2" s="411"/>
      <c r="J2" s="391">
        <v>0</v>
      </c>
    </row>
    <row r="3" spans="1:10" ht="11.25" hidden="1" customHeight="1">
      <c r="J3" s="391">
        <v>0</v>
      </c>
    </row>
    <row r="4" spans="1:10" ht="11.45" customHeight="1">
      <c r="A4" s="1468"/>
      <c r="B4" s="1468"/>
      <c r="J4" s="391">
        <v>11</v>
      </c>
    </row>
    <row r="5" spans="1:10" ht="27.4" customHeight="1">
      <c r="D5" s="23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22"/>
      <c r="F5" s="2323"/>
      <c r="I5" s="651"/>
      <c r="J5" s="391">
        <v>26</v>
      </c>
    </row>
    <row r="6" spans="1:10" ht="18" customHeight="1">
      <c r="D6" s="2409" t="str">
        <f>IF(region_name=0,"Не определено",region_name)</f>
        <v>г.Санкт-Петербург</v>
      </c>
      <c r="E6" s="2409"/>
      <c r="F6" s="2409"/>
      <c r="I6" s="651"/>
      <c r="J6" s="391">
        <v>17</v>
      </c>
    </row>
    <row r="7" spans="1:10" s="2015" customFormat="1" ht="11.45" customHeight="1">
      <c r="A7" s="437"/>
      <c r="B7" s="437"/>
      <c r="D7" s="650"/>
      <c r="E7" s="650"/>
      <c r="F7" s="688"/>
      <c r="G7" s="650"/>
      <c r="J7" s="413">
        <v>11</v>
      </c>
    </row>
    <row r="8" spans="1:10" ht="11.25" hidden="1" customHeight="1">
      <c r="A8" s="438"/>
      <c r="B8" s="438"/>
      <c r="C8" s="393"/>
      <c r="D8" s="399"/>
      <c r="E8" s="2415"/>
      <c r="F8" s="2415"/>
      <c r="J8" s="391">
        <v>0</v>
      </c>
    </row>
    <row r="9" spans="1:10" ht="11.45" customHeight="1">
      <c r="A9" s="438"/>
      <c r="B9" s="438"/>
      <c r="C9" s="393"/>
      <c r="D9" s="2412" t="s">
        <v>297</v>
      </c>
      <c r="E9" s="2413"/>
      <c r="F9" s="2413"/>
      <c r="G9" s="2416" t="s">
        <v>298</v>
      </c>
      <c r="J9" s="391">
        <v>11</v>
      </c>
    </row>
    <row r="10" spans="1:10" ht="11.45" customHeight="1">
      <c r="A10" s="438"/>
      <c r="B10" s="438"/>
      <c r="C10" s="393"/>
      <c r="D10" s="1392" t="s">
        <v>90</v>
      </c>
      <c r="E10" s="1394" t="s">
        <v>299</v>
      </c>
      <c r="F10" s="1394" t="s">
        <v>300</v>
      </c>
      <c r="G10" s="2417"/>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ПАО "ТГК-1" филиал "Невский"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1">
        <v>23</v>
      </c>
    </row>
    <row r="13" spans="1:10" ht="19.899999999999999" customHeight="1">
      <c r="A13" s="438"/>
      <c r="B13" s="438"/>
      <c r="C13" s="393"/>
      <c r="D13" s="1438">
        <v>2</v>
      </c>
      <c r="E13" s="1445" t="s">
        <v>1906</v>
      </c>
      <c r="F13" s="1439" t="s">
        <v>303</v>
      </c>
      <c r="G13" s="410"/>
      <c r="H13" s="1451"/>
      <c r="J13" s="391">
        <v>19</v>
      </c>
    </row>
    <row r="14" spans="1:10" ht="19.899999999999999" customHeight="1">
      <c r="A14" s="438"/>
      <c r="B14" s="438"/>
      <c r="C14" s="393"/>
      <c r="D14" s="1441" t="s">
        <v>706</v>
      </c>
      <c r="E14" s="1442" t="s">
        <v>1907</v>
      </c>
      <c r="F14" s="1444"/>
      <c r="G14" s="1443" t="s">
        <v>1908</v>
      </c>
      <c r="H14" s="1451"/>
      <c r="J14" s="391">
        <v>19</v>
      </c>
    </row>
    <row r="15" spans="1:10" ht="19.899999999999999" customHeight="1">
      <c r="A15" s="438"/>
      <c r="B15" s="438"/>
      <c r="C15" s="393"/>
      <c r="D15" s="1441" t="s">
        <v>304</v>
      </c>
      <c r="E15" s="1442" t="s">
        <v>1909</v>
      </c>
      <c r="F15" s="1444"/>
      <c r="G15" s="1443" t="s">
        <v>1910</v>
      </c>
      <c r="H15" s="1451"/>
      <c r="J15" s="391">
        <v>19</v>
      </c>
    </row>
    <row r="16" spans="1:10" ht="24" customHeight="1">
      <c r="A16" s="438"/>
      <c r="B16" s="438"/>
      <c r="C16" s="393"/>
      <c r="D16" s="1441" t="s">
        <v>307</v>
      </c>
      <c r="E16" s="1440" t="s">
        <v>1911</v>
      </c>
      <c r="F16" s="1449"/>
      <c r="G16" s="410" t="s">
        <v>1912</v>
      </c>
      <c r="H16" s="1451"/>
      <c r="J16" s="391">
        <v>23</v>
      </c>
    </row>
    <row r="17" spans="1:10" ht="48.2" customHeight="1">
      <c r="A17" s="438"/>
      <c r="B17" s="438"/>
      <c r="C17" s="393"/>
      <c r="D17" s="1438">
        <v>3</v>
      </c>
      <c r="E17" s="1445" t="s">
        <v>1913</v>
      </c>
      <c r="F17" s="1444"/>
      <c r="G17" s="410" t="s">
        <v>1914</v>
      </c>
      <c r="H17" s="1451"/>
      <c r="J17" s="391">
        <v>46</v>
      </c>
    </row>
    <row r="18" spans="1:10" ht="48.2" customHeight="1">
      <c r="A18" s="1393">
        <v>1</v>
      </c>
      <c r="B18" s="438"/>
      <c r="C18" s="1395"/>
      <c r="D18" s="1438" t="s">
        <v>93</v>
      </c>
      <c r="E18" s="1445" t="s">
        <v>1915</v>
      </c>
      <c r="F18" s="1444"/>
      <c r="G18" s="410" t="s">
        <v>1914</v>
      </c>
      <c r="H18" s="1451"/>
      <c r="I18" s="778"/>
      <c r="J18" s="391">
        <v>46</v>
      </c>
    </row>
    <row r="19" spans="1:10" ht="23.25" customHeight="1">
      <c r="A19" s="438"/>
      <c r="B19" s="438"/>
      <c r="C19" s="393"/>
      <c r="D19" s="1438" t="s">
        <v>110</v>
      </c>
      <c r="E19" s="1445" t="s">
        <v>1916</v>
      </c>
      <c r="F19" s="1439" t="s">
        <v>303</v>
      </c>
      <c r="G19" s="2667" t="s">
        <v>1917</v>
      </c>
      <c r="H19" s="411"/>
      <c r="J19" s="391">
        <v>22</v>
      </c>
    </row>
    <row r="20" spans="1:10" s="2069" customFormat="1" ht="5.25" hidden="1" customHeight="1">
      <c r="A20" s="438"/>
      <c r="B20" s="438"/>
      <c r="C20" s="1447"/>
      <c r="D20" s="1446" t="s">
        <v>1186</v>
      </c>
      <c r="E20" s="937"/>
      <c r="F20" s="936"/>
      <c r="G20" s="2668"/>
      <c r="J20" s="1448">
        <v>0</v>
      </c>
    </row>
    <row r="21" spans="1:10" ht="15.75" customHeight="1">
      <c r="A21" s="438"/>
      <c r="B21" s="438"/>
      <c r="C21" s="393"/>
      <c r="D21" s="403"/>
      <c r="E21" s="351" t="s">
        <v>336</v>
      </c>
      <c r="F21" s="405"/>
      <c r="G21" s="2669"/>
      <c r="H21" s="1451"/>
      <c r="J21" s="391">
        <v>15</v>
      </c>
    </row>
    <row r="22" spans="1:10" s="2016" customFormat="1" ht="26.25" customHeight="1">
      <c r="A22" s="438"/>
      <c r="B22" s="438"/>
      <c r="C22" s="438"/>
      <c r="D22" s="1438" t="s">
        <v>94</v>
      </c>
      <c r="E22" s="410" t="s">
        <v>1918</v>
      </c>
      <c r="F22" s="1444"/>
      <c r="G22" s="410" t="s">
        <v>1919</v>
      </c>
      <c r="H22" s="1450"/>
      <c r="J22" s="437">
        <v>25</v>
      </c>
    </row>
    <row r="23" spans="1:10" s="2016" customFormat="1" ht="19.899999999999999" customHeight="1">
      <c r="A23" s="438"/>
      <c r="B23" s="438"/>
      <c r="C23" s="438"/>
      <c r="D23" s="1438" t="s">
        <v>95</v>
      </c>
      <c r="E23" s="1445" t="s">
        <v>1920</v>
      </c>
      <c r="F23" s="1449"/>
      <c r="G23" s="410" t="s">
        <v>1921</v>
      </c>
      <c r="H23" s="1450"/>
      <c r="J23" s="437">
        <v>19</v>
      </c>
    </row>
    <row r="24" spans="1:10" s="2016" customFormat="1" ht="144" hidden="1" customHeight="1">
      <c r="A24" s="438"/>
      <c r="B24" s="438"/>
      <c r="C24" s="438"/>
      <c r="D24" s="1438" t="s">
        <v>111</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62" hidden="1"/>
    <col min="2" max="2" width="9.140625" style="2056" hidden="1"/>
    <col min="3" max="3" width="3.7109375" style="2062" hidden="1" customWidth="1"/>
    <col min="4" max="4" width="3" style="2079" customWidth="1"/>
    <col min="5" max="5" width="6" style="2062" customWidth="1"/>
    <col min="6" max="6" width="46" style="2062" customWidth="1"/>
    <col min="7" max="8" width="16" style="2062" customWidth="1"/>
    <col min="9" max="9" width="35" style="2062" customWidth="1"/>
    <col min="10" max="10" width="89" style="2062" customWidth="1"/>
    <col min="11" max="11" width="3" style="2057" customWidth="1"/>
    <col min="12" max="14" width="8" style="2057" customWidth="1"/>
    <col min="15" max="15" width="25" style="2057" customWidth="1"/>
    <col min="16" max="16" width="14" style="2057" customWidth="1"/>
    <col min="17" max="20" width="8" style="2009" customWidth="1"/>
    <col min="21" max="254" width="8" style="2062" customWidth="1"/>
    <col min="255" max="255" width="9.140625" style="2062" hidden="1"/>
  </cols>
  <sheetData>
    <row r="1" spans="1:255" ht="22.5" hidden="1" customHeight="1">
      <c r="F1" s="1549" t="s">
        <v>1922</v>
      </c>
      <c r="G1" s="1549" t="s">
        <v>49</v>
      </c>
      <c r="H1" s="1549" t="s">
        <v>51</v>
      </c>
      <c r="IU1" s="1073" t="s">
        <v>14</v>
      </c>
    </row>
    <row r="2" spans="1:255" s="2114" customFormat="1" ht="22.5" hidden="1" customHeight="1">
      <c r="A2" s="761"/>
      <c r="B2" s="1078">
        <v>1</v>
      </c>
      <c r="C2" s="1078"/>
      <c r="D2" s="1840" t="s">
        <v>686</v>
      </c>
      <c r="E2" s="1402"/>
      <c r="F2" s="1409"/>
      <c r="G2" s="1409"/>
      <c r="H2" s="1409"/>
      <c r="I2" s="1896"/>
      <c r="J2" s="1897"/>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34"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2"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022" customFormat="1" ht="27.4" customHeight="1">
      <c r="A5" s="1073"/>
      <c r="B5" s="1078"/>
      <c r="C5" s="1073"/>
      <c r="D5" s="1413"/>
      <c r="E5" s="23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14"/>
      <c r="G5" s="2314"/>
      <c r="H5" s="2314"/>
      <c r="I5" s="2314"/>
      <c r="J5" s="2314"/>
      <c r="K5" s="184"/>
      <c r="L5" s="436"/>
      <c r="M5" s="436"/>
      <c r="N5" s="436"/>
      <c r="O5" s="163"/>
      <c r="P5" s="436"/>
      <c r="Q5" s="162"/>
      <c r="R5" s="162"/>
      <c r="S5" s="162"/>
      <c r="T5" s="162"/>
      <c r="IU5" s="443">
        <v>26</v>
      </c>
    </row>
    <row r="6" spans="1:255" s="2022"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022" customFormat="1" ht="14.65" customHeight="1">
      <c r="A7" s="1073"/>
      <c r="B7" s="1078"/>
      <c r="C7" s="1073"/>
      <c r="D7" s="1413"/>
      <c r="E7" s="2310" t="s">
        <v>297</v>
      </c>
      <c r="F7" s="2315"/>
      <c r="G7" s="2315"/>
      <c r="H7" s="2315"/>
      <c r="I7" s="2315"/>
      <c r="J7" s="2670" t="s">
        <v>298</v>
      </c>
      <c r="K7" s="436"/>
      <c r="L7" s="436"/>
      <c r="M7" s="436"/>
      <c r="N7" s="436"/>
      <c r="O7" s="163"/>
      <c r="P7" s="436"/>
      <c r="Q7" s="162"/>
      <c r="R7" s="162"/>
      <c r="S7" s="162"/>
      <c r="T7" s="162"/>
      <c r="IU7" s="443">
        <v>14</v>
      </c>
    </row>
    <row r="8" spans="1:255" s="2022" customFormat="1" ht="21" customHeight="1">
      <c r="A8" s="1073"/>
      <c r="B8" s="1078"/>
      <c r="C8" s="1073"/>
      <c r="D8" s="1413"/>
      <c r="E8" s="1466" t="s">
        <v>90</v>
      </c>
      <c r="F8" s="1458" t="s">
        <v>1922</v>
      </c>
      <c r="G8" s="1458" t="s">
        <v>49</v>
      </c>
      <c r="H8" s="1458" t="s">
        <v>51</v>
      </c>
      <c r="I8" s="1458" t="s">
        <v>1923</v>
      </c>
      <c r="J8" s="2671"/>
      <c r="K8" s="436"/>
      <c r="L8" s="436"/>
      <c r="M8" s="436"/>
      <c r="N8" s="436"/>
      <c r="O8" s="163"/>
      <c r="P8" s="436"/>
      <c r="Q8" s="162"/>
      <c r="R8" s="162"/>
      <c r="S8" s="162"/>
      <c r="T8" s="162"/>
      <c r="IU8" s="443">
        <v>20</v>
      </c>
    </row>
    <row r="9" spans="1:255" s="2114" customFormat="1" ht="23.25" customHeight="1">
      <c r="A9" s="1549"/>
      <c r="B9" s="1078">
        <v>1</v>
      </c>
      <c r="C9" s="1078"/>
      <c r="D9" s="731"/>
      <c r="E9" s="1402">
        <v>1</v>
      </c>
      <c r="F9" s="1465"/>
      <c r="G9" s="1409"/>
      <c r="H9" s="1409"/>
      <c r="I9" s="1456"/>
      <c r="J9" s="23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14" customFormat="1" ht="15.75" customHeight="1">
      <c r="A10" s="1549"/>
      <c r="B10" s="1078"/>
      <c r="C10" s="348"/>
      <c r="D10" s="731"/>
      <c r="E10" s="1459"/>
      <c r="F10" s="1418" t="s">
        <v>1924</v>
      </c>
      <c r="G10" s="1460"/>
      <c r="H10" s="1460"/>
      <c r="I10" s="1814"/>
      <c r="J10" s="2374"/>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2"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022"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022"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018" customFormat="1" ht="10.5" customHeight="1">
      <c r="B14" s="764"/>
      <c r="D14" s="119"/>
      <c r="K14" s="436"/>
      <c r="L14" s="436"/>
      <c r="M14" s="436"/>
      <c r="N14" s="436"/>
      <c r="O14" s="163"/>
      <c r="P14" s="436"/>
      <c r="Q14" s="162"/>
      <c r="R14" s="162"/>
      <c r="S14" s="162"/>
      <c r="T14" s="162"/>
      <c r="IU14" s="118">
        <v>10</v>
      </c>
    </row>
    <row r="15" spans="1:255" s="2018"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09"/>
      <c r="H19" s="309"/>
      <c r="I19" s="309"/>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84</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62" hidden="1"/>
    <col min="2" max="2" width="9.140625" style="2056" hidden="1"/>
    <col min="3" max="3" width="3.7109375" style="2062" hidden="1" customWidth="1"/>
    <col min="4" max="4" width="3" style="2079" customWidth="1"/>
    <col min="5" max="5" width="6" style="2062" customWidth="1"/>
    <col min="6" max="6" width="27" style="2062" customWidth="1"/>
    <col min="7" max="7" width="16" style="2062" customWidth="1"/>
    <col min="8" max="8" width="12" style="2062" customWidth="1"/>
    <col min="9" max="9" width="32" style="2062" customWidth="1"/>
    <col min="10" max="11" width="41" style="2062" customWidth="1"/>
    <col min="12" max="12" width="89" style="2062" customWidth="1"/>
    <col min="13" max="13" width="3" style="2057" customWidth="1"/>
    <col min="14" max="16" width="8" style="2057" customWidth="1"/>
    <col min="17" max="17" width="25" style="2057" customWidth="1"/>
    <col min="18" max="18" width="14" style="2057" customWidth="1"/>
    <col min="19" max="22" width="8" style="2009" customWidth="1"/>
    <col min="23" max="256" width="8" style="2062" customWidth="1"/>
    <col min="257" max="257" width="9.140625" style="2062" hidden="1"/>
  </cols>
  <sheetData>
    <row r="1" spans="1:257" ht="22.5" hidden="1" customHeight="1">
      <c r="IW1" s="1073" t="s">
        <v>14</v>
      </c>
    </row>
    <row r="2" spans="1:257" s="2114" customFormat="1" ht="22.5" hidden="1" customHeight="1">
      <c r="A2" s="761"/>
      <c r="B2" s="1078">
        <v>1</v>
      </c>
      <c r="C2" s="1078"/>
      <c r="D2" s="1840" t="s">
        <v>686</v>
      </c>
      <c r="E2" s="1804"/>
      <c r="F2" s="1807" t="str">
        <f>IF(ROIV_INFO_NAME="","",ROIV_INFO_NAME)</f>
        <v>ПАО "ТГК-1" филиал "Невский"</v>
      </c>
      <c r="G2" s="1832" t="s">
        <v>22</v>
      </c>
      <c r="H2" s="1831"/>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34" customFormat="1" ht="5.25" hidden="1" customHeight="1">
      <c r="A3" s="432"/>
      <c r="D3" s="430"/>
      <c r="F3" s="184" t="s">
        <v>85</v>
      </c>
      <c r="G3" s="1652"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2"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022" customFormat="1" ht="27.4" customHeight="1">
      <c r="A5" s="1073"/>
      <c r="B5" s="1078"/>
      <c r="C5" s="1073"/>
      <c r="D5" s="1413"/>
      <c r="E5" s="23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14"/>
      <c r="G5" s="2314"/>
      <c r="H5" s="2314"/>
      <c r="I5" s="2314"/>
      <c r="J5" s="2314"/>
      <c r="K5" s="2314"/>
      <c r="L5" s="524"/>
      <c r="M5" s="184"/>
      <c r="N5" s="436"/>
      <c r="O5" s="436"/>
      <c r="P5" s="436"/>
      <c r="Q5" s="163"/>
      <c r="R5" s="436"/>
      <c r="S5" s="162"/>
      <c r="T5" s="162"/>
      <c r="U5" s="162"/>
      <c r="V5" s="162"/>
      <c r="IW5" s="443">
        <v>26</v>
      </c>
    </row>
    <row r="6" spans="1:257" s="2022"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022" customFormat="1" ht="14.65" customHeight="1">
      <c r="A7" s="1073"/>
      <c r="B7" s="1078"/>
      <c r="C7" s="1073"/>
      <c r="D7" s="1413"/>
      <c r="E7" s="2310" t="s">
        <v>297</v>
      </c>
      <c r="F7" s="2315"/>
      <c r="G7" s="2315"/>
      <c r="H7" s="2315"/>
      <c r="I7" s="2315"/>
      <c r="J7" s="2315"/>
      <c r="K7" s="2315"/>
      <c r="L7" s="2670" t="s">
        <v>298</v>
      </c>
      <c r="M7" s="436"/>
      <c r="N7" s="436"/>
      <c r="O7" s="436"/>
      <c r="P7" s="436"/>
      <c r="Q7" s="163"/>
      <c r="R7" s="436"/>
      <c r="S7" s="162"/>
      <c r="T7" s="162"/>
      <c r="U7" s="162"/>
      <c r="V7" s="162"/>
      <c r="IW7" s="443">
        <v>14</v>
      </c>
    </row>
    <row r="8" spans="1:257" s="2022" customFormat="1" ht="67.150000000000006" customHeight="1">
      <c r="A8" s="1073"/>
      <c r="B8" s="1078"/>
      <c r="C8" s="1073"/>
      <c r="D8" s="1413"/>
      <c r="E8" s="2674" t="s">
        <v>90</v>
      </c>
      <c r="F8" s="267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7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77"/>
      <c r="I8" s="2678"/>
      <c r="J8" s="267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2"/>
      <c r="M8" s="436"/>
      <c r="N8" s="436"/>
      <c r="O8" s="436"/>
      <c r="P8" s="436"/>
      <c r="Q8" s="163"/>
      <c r="R8" s="436"/>
      <c r="S8" s="162"/>
      <c r="T8" s="162"/>
      <c r="U8" s="162"/>
      <c r="V8" s="162"/>
      <c r="IW8" s="443">
        <v>64</v>
      </c>
    </row>
    <row r="9" spans="1:257" s="2022" customFormat="1" ht="29.25" customHeight="1">
      <c r="A9" s="1073"/>
      <c r="B9" s="1078"/>
      <c r="C9" s="1073"/>
      <c r="D9" s="1413"/>
      <c r="E9" s="2675"/>
      <c r="F9" s="2675"/>
      <c r="G9" s="1455" t="s">
        <v>1925</v>
      </c>
      <c r="H9" s="1455" t="s">
        <v>1926</v>
      </c>
      <c r="I9" s="1455" t="s">
        <v>1927</v>
      </c>
      <c r="J9" s="2675"/>
      <c r="K9" s="2675"/>
      <c r="L9" s="2671"/>
      <c r="M9" s="436"/>
      <c r="N9" s="436"/>
      <c r="O9" s="436"/>
      <c r="P9" s="436"/>
      <c r="Q9" s="163"/>
      <c r="R9" s="436"/>
      <c r="S9" s="162"/>
      <c r="T9" s="162"/>
      <c r="U9" s="162"/>
      <c r="V9" s="162"/>
      <c r="IW9" s="443">
        <v>28</v>
      </c>
    </row>
    <row r="10" spans="1:257" s="2114" customFormat="1" ht="23.25" customHeight="1">
      <c r="A10" s="2313"/>
      <c r="B10" s="1078">
        <v>1</v>
      </c>
      <c r="C10" s="1078"/>
      <c r="D10" s="730"/>
      <c r="E10" s="728">
        <v>1</v>
      </c>
      <c r="F10" s="1457" t="str">
        <f>IF(ROIV_INFO_NAME="","",ROIV_INFO_NAME)</f>
        <v>ПАО "ТГК-1" филиал "Невский"</v>
      </c>
      <c r="G10" s="1649" t="s">
        <v>22</v>
      </c>
      <c r="H10" s="1831"/>
      <c r="I10" s="1452"/>
      <c r="J10" s="748"/>
      <c r="K10" s="748"/>
      <c r="L10" s="265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14" customFormat="1" ht="15.75" customHeight="1">
      <c r="A11" s="2313"/>
      <c r="B11" s="1078"/>
      <c r="C11" s="348"/>
      <c r="D11" s="731"/>
      <c r="E11" s="357"/>
      <c r="F11" s="352" t="s">
        <v>1928</v>
      </c>
      <c r="G11" s="124"/>
      <c r="H11" s="124"/>
      <c r="I11" s="124"/>
      <c r="J11" s="124"/>
      <c r="K11" s="360"/>
      <c r="L11" s="2673"/>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2"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022"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022"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84</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62" hidden="1"/>
    <col min="2" max="2" width="9.140625" style="2056" hidden="1"/>
    <col min="3" max="3" width="3.7109375" style="2062" hidden="1" customWidth="1"/>
    <col min="4" max="4" width="3" style="2079" customWidth="1"/>
    <col min="5" max="5" width="6" style="2062" customWidth="1"/>
    <col min="6" max="6" width="27" style="2062" customWidth="1"/>
    <col min="7" max="7" width="16" style="2062" customWidth="1"/>
    <col min="8" max="8" width="12" style="2062" customWidth="1"/>
    <col min="9" max="9" width="32" style="2062" customWidth="1"/>
    <col min="10" max="11" width="41" style="2062" customWidth="1"/>
    <col min="12" max="12" width="89" style="2062" customWidth="1"/>
    <col min="13" max="13" width="3" style="2057" customWidth="1"/>
    <col min="14" max="16" width="8" style="2057" customWidth="1"/>
    <col min="17" max="17" width="25" style="2057" customWidth="1"/>
    <col min="18" max="18" width="14" style="2057" customWidth="1"/>
    <col min="19" max="22" width="8" style="2009" customWidth="1"/>
    <col min="23" max="256" width="8" style="2062" customWidth="1"/>
    <col min="257" max="257" width="9.140625" style="2062" hidden="1"/>
  </cols>
  <sheetData>
    <row r="1" spans="1:257" ht="22.5" hidden="1" customHeight="1">
      <c r="IW1" s="1549" t="s">
        <v>14</v>
      </c>
    </row>
    <row r="2" spans="1:257" s="2114" customFormat="1" ht="22.5" hidden="1" customHeight="1">
      <c r="A2" s="761"/>
      <c r="B2" s="1284">
        <v>1</v>
      </c>
      <c r="C2" s="1284"/>
      <c r="D2" s="1840" t="s">
        <v>686</v>
      </c>
      <c r="E2" s="1819"/>
      <c r="F2" s="1821" t="str">
        <f>IF(ROIV_INFO_NAME="","",ROIV_INFO_NAME)</f>
        <v>ПАО "ТГК-1" филиал "Невский"</v>
      </c>
      <c r="G2" s="1649" t="s">
        <v>22</v>
      </c>
      <c r="H2" s="1831"/>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34" customFormat="1" ht="5.25" hidden="1" customHeight="1">
      <c r="A3" s="1559"/>
      <c r="D3" s="1808"/>
      <c r="F3" s="185" t="s">
        <v>85</v>
      </c>
      <c r="G3" s="1652" t="s">
        <v>86</v>
      </c>
      <c r="H3" s="1808"/>
      <c r="I3" s="1808"/>
      <c r="J3" s="1808"/>
      <c r="K3" s="180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022" customFormat="1" ht="14.65" customHeight="1">
      <c r="A4" s="1549"/>
      <c r="B4" s="1284"/>
      <c r="C4" s="1549"/>
      <c r="D4" s="1433"/>
      <c r="E4" s="1553"/>
      <c r="F4" s="1553"/>
      <c r="G4" s="1553"/>
      <c r="H4" s="1553"/>
      <c r="I4" s="1553"/>
      <c r="J4" s="1553"/>
      <c r="K4" s="1553"/>
      <c r="L4" s="1810"/>
      <c r="M4" s="185"/>
      <c r="N4" s="1542"/>
      <c r="O4" s="1542"/>
      <c r="P4" s="1542"/>
      <c r="Q4" s="1542"/>
      <c r="R4" s="1542"/>
      <c r="S4" s="162"/>
      <c r="T4" s="162"/>
      <c r="U4" s="162"/>
      <c r="V4" s="162"/>
      <c r="IW4" s="1527">
        <v>14</v>
      </c>
    </row>
    <row r="5" spans="1:257" s="2022" customFormat="1" ht="27.4" customHeight="1">
      <c r="A5" s="1549"/>
      <c r="B5" s="1284"/>
      <c r="C5" s="1549"/>
      <c r="D5" s="1433"/>
      <c r="E5" s="23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14"/>
      <c r="G5" s="2314"/>
      <c r="H5" s="2314"/>
      <c r="I5" s="2314"/>
      <c r="J5" s="2314"/>
      <c r="K5" s="2314"/>
      <c r="L5" s="1553"/>
      <c r="M5" s="185"/>
      <c r="N5" s="1542"/>
      <c r="O5" s="1542"/>
      <c r="P5" s="1542"/>
      <c r="Q5" s="1542"/>
      <c r="R5" s="1542"/>
      <c r="S5" s="162"/>
      <c r="T5" s="162"/>
      <c r="U5" s="162"/>
      <c r="V5" s="162"/>
      <c r="IW5" s="1527">
        <v>26</v>
      </c>
    </row>
    <row r="6" spans="1:257" s="2022"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022" customFormat="1" ht="14.65" customHeight="1">
      <c r="A7" s="1549"/>
      <c r="B7" s="1284"/>
      <c r="C7" s="1549"/>
      <c r="D7" s="1433"/>
      <c r="E7" s="2310" t="s">
        <v>297</v>
      </c>
      <c r="F7" s="2315"/>
      <c r="G7" s="2315"/>
      <c r="H7" s="2315"/>
      <c r="I7" s="2315"/>
      <c r="J7" s="2315"/>
      <c r="K7" s="2315"/>
      <c r="L7" s="2670" t="s">
        <v>298</v>
      </c>
      <c r="M7" s="1542"/>
      <c r="N7" s="1542"/>
      <c r="O7" s="1542"/>
      <c r="P7" s="1542"/>
      <c r="Q7" s="1542"/>
      <c r="R7" s="1542"/>
      <c r="S7" s="162"/>
      <c r="T7" s="162"/>
      <c r="U7" s="162"/>
      <c r="V7" s="162"/>
      <c r="IW7" s="1527">
        <v>14</v>
      </c>
    </row>
    <row r="8" spans="1:257" s="2022" customFormat="1" ht="67.150000000000006" customHeight="1">
      <c r="A8" s="1549"/>
      <c r="B8" s="1284"/>
      <c r="C8" s="1549"/>
      <c r="D8" s="1433"/>
      <c r="E8" s="2674" t="s">
        <v>90</v>
      </c>
      <c r="F8" s="2674" t="s">
        <v>1929</v>
      </c>
      <c r="G8" s="2676" t="s">
        <v>1930</v>
      </c>
      <c r="H8" s="2677"/>
      <c r="I8" s="2678"/>
      <c r="J8" s="2674" t="s">
        <v>1931</v>
      </c>
      <c r="K8" s="26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72"/>
      <c r="M8" s="1542"/>
      <c r="N8" s="1542"/>
      <c r="O8" s="1542"/>
      <c r="P8" s="1542"/>
      <c r="Q8" s="1542"/>
      <c r="R8" s="1542"/>
      <c r="S8" s="162"/>
      <c r="T8" s="162"/>
      <c r="U8" s="162"/>
      <c r="V8" s="162"/>
      <c r="IW8" s="1527">
        <v>64</v>
      </c>
    </row>
    <row r="9" spans="1:257" s="2022" customFormat="1" ht="29.25" customHeight="1">
      <c r="A9" s="1549"/>
      <c r="B9" s="1284"/>
      <c r="C9" s="1549"/>
      <c r="D9" s="1433"/>
      <c r="E9" s="2675"/>
      <c r="F9" s="2675"/>
      <c r="G9" s="1809" t="s">
        <v>1925</v>
      </c>
      <c r="H9" s="1809" t="s">
        <v>1926</v>
      </c>
      <c r="I9" s="1809" t="s">
        <v>1927</v>
      </c>
      <c r="J9" s="2675"/>
      <c r="K9" s="2675"/>
      <c r="L9" s="2671"/>
      <c r="M9" s="1542"/>
      <c r="N9" s="1542"/>
      <c r="O9" s="1542"/>
      <c r="P9" s="1542"/>
      <c r="Q9" s="1542"/>
      <c r="R9" s="1542"/>
      <c r="S9" s="162"/>
      <c r="T9" s="162"/>
      <c r="U9" s="162"/>
      <c r="V9" s="162"/>
      <c r="IW9" s="1527">
        <v>28</v>
      </c>
    </row>
    <row r="10" spans="1:257" s="2114" customFormat="1" ht="1.1499999999999999" customHeight="1">
      <c r="A10" s="2313"/>
      <c r="B10" s="1284">
        <v>1</v>
      </c>
      <c r="C10" s="1284"/>
      <c r="D10" s="730"/>
      <c r="E10" s="725">
        <v>0</v>
      </c>
      <c r="F10" s="1806" t="str">
        <f>IF(ROIV_INFO_NAME="","",ROIV_INFO_NAME)</f>
        <v>ПАО "ТГК-1" филиал "Невский"</v>
      </c>
      <c r="G10" s="1650" t="s">
        <v>22</v>
      </c>
      <c r="H10" s="1818"/>
      <c r="I10" s="1818"/>
      <c r="J10" s="455"/>
      <c r="K10" s="455"/>
      <c r="L10" s="265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14" customFormat="1" ht="15.75" customHeight="1">
      <c r="A11" s="2313"/>
      <c r="B11" s="1284"/>
      <c r="C11" s="348"/>
      <c r="D11" s="731"/>
      <c r="E11" s="357"/>
      <c r="F11" s="587" t="s">
        <v>1928</v>
      </c>
      <c r="G11" s="124"/>
      <c r="H11" s="124"/>
      <c r="I11" s="124"/>
      <c r="J11" s="124"/>
      <c r="K11" s="360"/>
      <c r="L11" s="2673"/>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2"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022"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022"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84</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62" hidden="1"/>
    <col min="2" max="2" width="9.140625" style="2056" hidden="1"/>
    <col min="3" max="3" width="3.7109375" style="2062" hidden="1" customWidth="1"/>
    <col min="4" max="4" width="3" style="2079" customWidth="1"/>
    <col min="5" max="5" width="6" style="2062" customWidth="1"/>
    <col min="6" max="6" width="27" style="2062" customWidth="1"/>
    <col min="7" max="7" width="29" style="2062" customWidth="1"/>
    <col min="8" max="8" width="25" style="2062" customWidth="1"/>
    <col min="9" max="9" width="5" style="2062" customWidth="1"/>
    <col min="10" max="10" width="6" style="2062" customWidth="1"/>
    <col min="11" max="11" width="41" style="2062" customWidth="1"/>
    <col min="12" max="12" width="42" style="2062" customWidth="1"/>
    <col min="13" max="13" width="41" style="2062" customWidth="1"/>
    <col min="14" max="14" width="89" style="2062" customWidth="1"/>
    <col min="15" max="15" width="3" style="2057" customWidth="1"/>
    <col min="16" max="16" width="8" style="2057" customWidth="1"/>
    <col min="17" max="17" width="9.140625" style="2062" hidden="1"/>
  </cols>
  <sheetData>
    <row r="1" spans="1:17" ht="22.5" hidden="1" customHeight="1">
      <c r="Q1" s="1073" t="s">
        <v>14</v>
      </c>
    </row>
    <row r="2" spans="1:17" s="2114" customFormat="1" ht="22.5" hidden="1" customHeight="1">
      <c r="A2" s="432"/>
      <c r="B2" s="1078">
        <v>1</v>
      </c>
      <c r="C2" s="1078"/>
      <c r="D2" s="1840" t="s">
        <v>686</v>
      </c>
      <c r="E2" s="2328">
        <v>1</v>
      </c>
      <c r="F2" s="2495" t="str">
        <f>IF(region_name="","",region_name)</f>
        <v>г.Санкт-Петербург</v>
      </c>
      <c r="G2" s="2687"/>
      <c r="H2" s="2688"/>
      <c r="I2" s="410"/>
      <c r="J2" s="1825">
        <v>1</v>
      </c>
      <c r="K2" s="1827"/>
      <c r="L2" s="1827"/>
      <c r="M2" s="1827"/>
      <c r="N2" s="428"/>
      <c r="O2" s="1453"/>
      <c r="P2" s="447"/>
      <c r="Q2" s="359">
        <v>0</v>
      </c>
    </row>
    <row r="3" spans="1:17" s="2114" customFormat="1" ht="22.5" hidden="1" customHeight="1">
      <c r="A3" s="761"/>
      <c r="B3" s="1078"/>
      <c r="C3" s="1078"/>
      <c r="D3" s="731"/>
      <c r="E3" s="2328"/>
      <c r="F3" s="2495"/>
      <c r="G3" s="2687"/>
      <c r="H3" s="2624"/>
      <c r="I3" s="357"/>
      <c r="J3" s="1418"/>
      <c r="K3" s="1418" t="s">
        <v>1932</v>
      </c>
      <c r="L3" s="1461"/>
      <c r="M3" s="1835"/>
      <c r="N3" s="1828"/>
      <c r="O3" s="1453"/>
      <c r="P3" s="447"/>
      <c r="Q3" s="359">
        <v>0</v>
      </c>
    </row>
    <row r="4" spans="1:17" s="2034" customFormat="1" ht="5.25" hidden="1" customHeight="1">
      <c r="A4" s="432"/>
      <c r="D4" s="430"/>
      <c r="F4" s="184" t="s">
        <v>85</v>
      </c>
      <c r="G4" s="430" t="s">
        <v>86</v>
      </c>
      <c r="H4" s="430"/>
      <c r="I4" s="1838"/>
      <c r="J4" s="1462"/>
      <c r="K4" s="1826"/>
      <c r="L4" s="1826"/>
      <c r="M4" s="1826"/>
      <c r="N4" s="1822"/>
      <c r="O4" s="184" t="s">
        <v>85</v>
      </c>
      <c r="P4" s="184"/>
      <c r="Q4" s="447">
        <v>0</v>
      </c>
    </row>
    <row r="5" spans="1:17" s="2114" customFormat="1" ht="22.5" hidden="1" customHeight="1">
      <c r="A5" s="1559"/>
      <c r="B5" s="1284">
        <v>1</v>
      </c>
      <c r="C5" s="1284"/>
      <c r="D5" s="731"/>
      <c r="E5" s="1828"/>
      <c r="F5" s="1828"/>
      <c r="G5" s="1828"/>
      <c r="H5" s="1839"/>
      <c r="I5" s="1841" t="s">
        <v>686</v>
      </c>
      <c r="J5" s="1837">
        <v>1</v>
      </c>
      <c r="K5" s="1827"/>
      <c r="L5" s="1827"/>
      <c r="M5" s="1827"/>
      <c r="N5" s="428"/>
      <c r="O5" s="1453"/>
      <c r="P5" s="1554"/>
      <c r="Q5" s="560">
        <v>0</v>
      </c>
    </row>
    <row r="6" spans="1:17" s="2022" customFormat="1" ht="14.65" customHeight="1">
      <c r="A6" s="1073"/>
      <c r="B6" s="1078"/>
      <c r="C6" s="1073"/>
      <c r="D6" s="1413"/>
      <c r="E6" s="445"/>
      <c r="F6" s="445"/>
      <c r="G6" s="445"/>
      <c r="H6" s="445"/>
      <c r="I6" s="445"/>
      <c r="J6" s="445"/>
      <c r="K6" s="445"/>
      <c r="L6" s="445"/>
      <c r="M6" s="445"/>
      <c r="N6" s="1553"/>
      <c r="O6" s="184"/>
      <c r="P6" s="436"/>
      <c r="Q6" s="443">
        <v>14</v>
      </c>
    </row>
    <row r="7" spans="1:17" s="2022" customFormat="1" ht="27.4" customHeight="1">
      <c r="A7" s="1073"/>
      <c r="B7" s="1078"/>
      <c r="C7" s="1073"/>
      <c r="D7" s="1413"/>
      <c r="E7" s="26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81"/>
      <c r="G7" s="2681"/>
      <c r="H7" s="2681"/>
      <c r="I7" s="2681"/>
      <c r="J7" s="2681"/>
      <c r="K7" s="2681"/>
      <c r="L7" s="2681"/>
      <c r="M7" s="2681"/>
      <c r="N7" s="1170"/>
      <c r="O7" s="184"/>
      <c r="P7" s="436"/>
      <c r="Q7" s="443">
        <v>26</v>
      </c>
    </row>
    <row r="8" spans="1:17" s="2022" customFormat="1" ht="14.65" customHeight="1">
      <c r="A8" s="1073"/>
      <c r="B8" s="1078"/>
      <c r="C8" s="1073"/>
      <c r="D8" s="1413"/>
      <c r="E8" s="445"/>
      <c r="F8" s="104"/>
      <c r="G8" s="104"/>
      <c r="H8" s="104"/>
      <c r="I8" s="104"/>
      <c r="J8" s="104"/>
      <c r="K8" s="104"/>
      <c r="L8" s="104"/>
      <c r="M8" s="104"/>
      <c r="N8" s="552"/>
      <c r="O8" s="436"/>
      <c r="P8" s="436"/>
      <c r="Q8" s="443">
        <v>14</v>
      </c>
    </row>
    <row r="9" spans="1:17" s="2070" customFormat="1" ht="14.25" hidden="1" customHeight="1">
      <c r="A9" s="1386"/>
      <c r="B9" s="1396"/>
      <c r="C9" s="1386"/>
      <c r="D9" s="1413"/>
      <c r="E9" s="1829"/>
      <c r="F9" s="1829"/>
      <c r="G9" s="1829"/>
      <c r="H9" s="1829"/>
      <c r="I9" s="2684"/>
      <c r="J9" s="2684"/>
      <c r="K9" s="2684"/>
      <c r="L9" s="1829"/>
      <c r="M9" s="1830"/>
      <c r="O9" s="1463"/>
      <c r="P9" s="1463"/>
      <c r="Q9" s="1464">
        <v>0</v>
      </c>
    </row>
    <row r="10" spans="1:17" s="2022" customFormat="1" ht="14.65" customHeight="1">
      <c r="A10" s="1073"/>
      <c r="B10" s="1078"/>
      <c r="C10" s="1073"/>
      <c r="D10" s="1413"/>
      <c r="E10" s="2328" t="s">
        <v>297</v>
      </c>
      <c r="F10" s="2328"/>
      <c r="G10" s="2328"/>
      <c r="H10" s="2328"/>
      <c r="I10" s="2328"/>
      <c r="J10" s="2328"/>
      <c r="K10" s="2328"/>
      <c r="L10" s="2328"/>
      <c r="M10" s="2310"/>
      <c r="N10" s="2674" t="s">
        <v>298</v>
      </c>
      <c r="O10" s="436"/>
      <c r="P10" s="436"/>
      <c r="Q10" s="443">
        <v>14</v>
      </c>
    </row>
    <row r="11" spans="1:17" s="2022" customFormat="1" ht="44.25" customHeight="1">
      <c r="A11" s="1549"/>
      <c r="B11" s="1284"/>
      <c r="C11" s="1549"/>
      <c r="D11" s="1433"/>
      <c r="E11" s="2683" t="s">
        <v>90</v>
      </c>
      <c r="F11" s="2683" t="s">
        <v>301</v>
      </c>
      <c r="G11" s="2683" t="s">
        <v>1933</v>
      </c>
      <c r="H11" s="2683"/>
      <c r="I11" s="2683" t="s">
        <v>1934</v>
      </c>
      <c r="J11" s="2683"/>
      <c r="K11" s="2683"/>
      <c r="L11" s="2683" t="s">
        <v>1935</v>
      </c>
      <c r="M11" s="2676" t="s">
        <v>1936</v>
      </c>
      <c r="N11" s="2682"/>
      <c r="O11" s="1542"/>
      <c r="P11" s="1542"/>
      <c r="Q11" s="1527">
        <v>42</v>
      </c>
    </row>
    <row r="12" spans="1:17" s="2022" customFormat="1" ht="29.25" customHeight="1">
      <c r="A12" s="1073"/>
      <c r="B12" s="1078"/>
      <c r="C12" s="1073"/>
      <c r="D12" s="1413"/>
      <c r="E12" s="2674"/>
      <c r="F12" s="2683"/>
      <c r="G12" s="1824" t="s">
        <v>1937</v>
      </c>
      <c r="H12" s="1824" t="s">
        <v>305</v>
      </c>
      <c r="I12" s="2683"/>
      <c r="J12" s="2683"/>
      <c r="K12" s="2683"/>
      <c r="L12" s="2683"/>
      <c r="M12" s="2676"/>
      <c r="N12" s="2675"/>
      <c r="O12" s="436"/>
      <c r="P12" s="436"/>
      <c r="Q12" s="443">
        <v>28</v>
      </c>
    </row>
    <row r="13" spans="1:17" s="2114" customFormat="1" ht="23.25" customHeight="1">
      <c r="A13" s="2313">
        <v>26379339</v>
      </c>
      <c r="B13" s="1078">
        <v>1</v>
      </c>
      <c r="C13" s="1078"/>
      <c r="D13" s="731"/>
      <c r="E13" s="2328">
        <v>1</v>
      </c>
      <c r="F13" s="2689" t="str">
        <f>IF(region_name="","",region_name)</f>
        <v>г.Санкт-Петербург</v>
      </c>
      <c r="G13" s="2690"/>
      <c r="H13" s="2685"/>
      <c r="I13" s="410"/>
      <c r="J13" s="1820">
        <v>1</v>
      </c>
      <c r="K13" s="1833"/>
      <c r="L13" s="1834"/>
      <c r="M13" s="1834"/>
      <c r="N13" s="2679" t="s">
        <v>1938</v>
      </c>
      <c r="O13" s="1453"/>
      <c r="P13" s="447"/>
      <c r="Q13" s="359">
        <v>22</v>
      </c>
    </row>
    <row r="14" spans="1:17" s="2114" customFormat="1" ht="23.25" customHeight="1">
      <c r="A14" s="2313"/>
      <c r="B14" s="1078"/>
      <c r="C14" s="1078"/>
      <c r="D14" s="731"/>
      <c r="E14" s="2328"/>
      <c r="F14" s="2689"/>
      <c r="G14" s="2690"/>
      <c r="H14" s="2686"/>
      <c r="I14" s="357"/>
      <c r="J14" s="1418"/>
      <c r="K14" s="1418" t="s">
        <v>1932</v>
      </c>
      <c r="L14" s="1461"/>
      <c r="M14" s="1461"/>
      <c r="N14" s="2680"/>
      <c r="O14" s="1453"/>
      <c r="P14" s="447"/>
      <c r="Q14" s="359">
        <v>22</v>
      </c>
    </row>
    <row r="15" spans="1:17" s="2114" customFormat="1" ht="23.25" customHeight="1">
      <c r="A15" s="2313"/>
      <c r="B15" s="1078"/>
      <c r="C15" s="348"/>
      <c r="D15" s="731"/>
      <c r="E15" s="357"/>
      <c r="F15" s="1418" t="s">
        <v>1924</v>
      </c>
      <c r="G15" s="1460"/>
      <c r="H15" s="1460"/>
      <c r="I15" s="124"/>
      <c r="J15" s="124"/>
      <c r="K15" s="124"/>
      <c r="L15" s="124"/>
      <c r="M15" s="124"/>
      <c r="N15" s="2680"/>
      <c r="O15" s="1454"/>
      <c r="P15" s="447"/>
      <c r="Q15" s="359">
        <v>22</v>
      </c>
    </row>
    <row r="16" spans="1:17" s="2022" customFormat="1" ht="21.95" customHeight="1">
      <c r="A16" s="1073"/>
      <c r="B16" s="1078"/>
      <c r="C16" s="1073"/>
      <c r="D16" s="387"/>
      <c r="E16" s="117"/>
      <c r="F16" s="117"/>
      <c r="G16" s="117"/>
      <c r="H16" s="117"/>
      <c r="I16" s="117"/>
      <c r="J16" s="117"/>
      <c r="K16" s="117"/>
      <c r="L16" s="117"/>
      <c r="M16" s="445"/>
      <c r="N16" s="1553"/>
      <c r="O16" s="436"/>
      <c r="P16" s="436"/>
      <c r="Q16" s="443">
        <v>21</v>
      </c>
    </row>
    <row r="17" spans="1:17" s="2022"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022"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84</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3" hidden="1"/>
    <col min="2" max="2" width="9.140625" style="2093" hidden="1"/>
    <col min="3" max="3" width="3" style="2072" customWidth="1"/>
    <col min="4" max="4" width="6" style="2093" customWidth="1"/>
    <col min="5" max="5" width="22" style="2093" customWidth="1"/>
    <col min="6" max="6" width="15" style="2093" customWidth="1"/>
    <col min="7" max="7" width="14" style="2093" customWidth="1"/>
    <col min="8" max="8" width="47" style="2093" customWidth="1"/>
    <col min="9" max="9" width="115" style="2093" customWidth="1"/>
    <col min="10" max="10" width="3" style="2093" customWidth="1"/>
    <col min="11" max="12" width="8" style="2093" customWidth="1"/>
    <col min="13" max="13" width="9.140625" style="209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62" customFormat="1" ht="31.5" customHeight="1">
      <c r="A5" s="55"/>
      <c r="C5" s="30"/>
      <c r="D5" s="2314" t="s">
        <v>1939</v>
      </c>
      <c r="E5" s="2314"/>
      <c r="F5" s="2314"/>
      <c r="G5" s="2314"/>
      <c r="H5" s="2314"/>
      <c r="I5" s="202"/>
      <c r="M5" s="23">
        <v>30</v>
      </c>
    </row>
    <row r="6" spans="1:13" ht="3" hidden="1" customHeight="1">
      <c r="D6" s="62"/>
      <c r="E6" s="62"/>
      <c r="F6" s="62"/>
      <c r="G6" s="62"/>
      <c r="H6" s="62"/>
      <c r="I6" s="62"/>
      <c r="M6" s="61">
        <v>0</v>
      </c>
    </row>
    <row r="7" spans="1:13" s="2073" customFormat="1" ht="14.65" customHeight="1">
      <c r="B7" s="59"/>
      <c r="C7" s="60"/>
      <c r="D7" s="63"/>
      <c r="E7" s="63"/>
      <c r="F7" s="63"/>
      <c r="G7" s="63"/>
      <c r="H7" s="688"/>
      <c r="I7" s="63"/>
      <c r="J7" s="64"/>
      <c r="M7" s="58">
        <v>14</v>
      </c>
    </row>
    <row r="8" spans="1:13" ht="14.65" customHeight="1">
      <c r="D8" s="2417" t="s">
        <v>297</v>
      </c>
      <c r="E8" s="2417"/>
      <c r="F8" s="2417"/>
      <c r="G8" s="2417"/>
      <c r="H8" s="2417"/>
      <c r="I8" s="2417" t="s">
        <v>298</v>
      </c>
      <c r="M8" s="61">
        <v>14</v>
      </c>
    </row>
    <row r="9" spans="1:13" ht="29.25" customHeight="1">
      <c r="D9" s="2417" t="s">
        <v>90</v>
      </c>
      <c r="E9" s="2417" t="s">
        <v>1940</v>
      </c>
      <c r="F9" s="2417"/>
      <c r="G9" s="2417"/>
      <c r="H9" s="2417"/>
      <c r="I9" s="2417"/>
      <c r="M9" s="61">
        <v>28</v>
      </c>
    </row>
    <row r="10" spans="1:13" ht="24" customHeight="1">
      <c r="D10" s="2417"/>
      <c r="E10" s="67" t="s">
        <v>1941</v>
      </c>
      <c r="F10" s="67" t="s">
        <v>1942</v>
      </c>
      <c r="G10" s="67" t="s">
        <v>1943</v>
      </c>
      <c r="H10" s="67" t="s">
        <v>387</v>
      </c>
      <c r="I10" s="2417"/>
      <c r="M10" s="61">
        <v>23</v>
      </c>
    </row>
    <row r="11" spans="1:13" ht="12" hidden="1" customHeight="1">
      <c r="D11" s="27" t="s">
        <v>108</v>
      </c>
      <c r="E11" s="27" t="s">
        <v>93</v>
      </c>
      <c r="F11" s="27" t="s">
        <v>110</v>
      </c>
      <c r="G11" s="27" t="s">
        <v>94</v>
      </c>
      <c r="H11" s="27" t="s">
        <v>95</v>
      </c>
      <c r="I11" s="27" t="s">
        <v>111</v>
      </c>
      <c r="M11" s="61">
        <v>0</v>
      </c>
    </row>
    <row r="12" spans="1:13" s="2093" customFormat="1" ht="26.25" customHeight="1">
      <c r="A12" s="83" t="s">
        <v>92</v>
      </c>
      <c r="B12" s="65" t="s">
        <v>22</v>
      </c>
      <c r="C12" s="66"/>
      <c r="D12" s="68" t="s">
        <v>108</v>
      </c>
      <c r="E12" s="317"/>
      <c r="F12" s="317"/>
      <c r="G12" s="1651" t="s">
        <v>22</v>
      </c>
      <c r="H12" s="318"/>
      <c r="I12" s="2372" t="s">
        <v>1944</v>
      </c>
      <c r="K12" s="209"/>
      <c r="L12" s="210"/>
      <c r="M12" s="57">
        <v>25</v>
      </c>
    </row>
    <row r="13" spans="1:13" ht="15.75" customHeight="1">
      <c r="A13" s="61"/>
      <c r="B13" s="61"/>
      <c r="C13" s="61"/>
      <c r="D13" s="49"/>
      <c r="E13" s="70" t="s">
        <v>465</v>
      </c>
      <c r="F13" s="69"/>
      <c r="G13" s="69"/>
      <c r="H13" s="151"/>
      <c r="I13" s="2374"/>
      <c r="M13" s="61">
        <v>15</v>
      </c>
    </row>
    <row r="14" spans="1:13" ht="3" customHeight="1">
      <c r="A14" s="61"/>
      <c r="B14" s="61"/>
      <c r="C14" s="61"/>
      <c r="M14" s="61">
        <v>3</v>
      </c>
    </row>
    <row r="15" spans="1:13" ht="29.25" customHeight="1">
      <c r="E15" s="2691" t="s">
        <v>1945</v>
      </c>
      <c r="F15" s="2691"/>
      <c r="G15" s="2691"/>
      <c r="H15" s="2691"/>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077" hidden="1"/>
    <col min="3" max="3" width="3" style="2076" customWidth="1"/>
    <col min="4" max="4" width="6" style="2077" customWidth="1"/>
    <col min="5" max="5" width="94" style="2077" customWidth="1"/>
    <col min="6" max="9" width="8" style="2077" customWidth="1"/>
    <col min="10" max="10" width="9.140625" style="2077"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92" t="s">
        <v>1946</v>
      </c>
      <c r="E7" s="2693"/>
      <c r="F7" s="204"/>
      <c r="J7" s="9">
        <v>22</v>
      </c>
    </row>
    <row r="8" spans="1:10" ht="3" customHeight="1">
      <c r="C8" s="32"/>
      <c r="D8" s="10"/>
      <c r="E8" s="10"/>
      <c r="J8" s="9">
        <v>3</v>
      </c>
    </row>
    <row r="9" spans="1:10" ht="16.899999999999999" customHeight="1">
      <c r="C9" s="32"/>
      <c r="D9" s="45" t="s">
        <v>90</v>
      </c>
      <c r="E9" s="197" t="s">
        <v>1947</v>
      </c>
      <c r="J9" s="9">
        <v>16</v>
      </c>
    </row>
    <row r="10" spans="1:10" ht="1.1499999999999999" customHeight="1">
      <c r="C10" s="32"/>
      <c r="D10" s="27"/>
      <c r="E10" s="27"/>
      <c r="J10" s="9">
        <v>1</v>
      </c>
    </row>
    <row r="11" spans="1:10" ht="11.25" hidden="1" customHeight="1">
      <c r="C11" s="32"/>
      <c r="D11" s="88">
        <v>0</v>
      </c>
      <c r="E11" s="198"/>
      <c r="J11" s="9">
        <v>0</v>
      </c>
    </row>
    <row r="12" spans="1:10" ht="66.75" customHeight="1">
      <c r="C12" s="75"/>
      <c r="D12" s="53">
        <v>1</v>
      </c>
      <c r="E12" s="313" t="s">
        <v>1948</v>
      </c>
      <c r="J12" s="9">
        <v>15</v>
      </c>
    </row>
    <row r="13" spans="1:10" ht="12.75" customHeight="1">
      <c r="C13" s="32"/>
      <c r="D13" s="199"/>
      <c r="E13" s="200" t="s">
        <v>1949</v>
      </c>
      <c r="J13" s="9">
        <v>12</v>
      </c>
    </row>
    <row r="14" spans="1:10" ht="3" customHeight="1">
      <c r="J14" s="9">
        <v>3</v>
      </c>
    </row>
    <row r="15" spans="1:10" ht="23.25" customHeight="1">
      <c r="C15" s="76"/>
      <c r="D15" s="2691" t="s">
        <v>1950</v>
      </c>
      <c r="E15" s="2691"/>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abSelected="1" topLeftCell="C6" zoomScale="90" workbookViewId="0">
      <selection activeCell="E15" sqref="E15"/>
    </sheetView>
  </sheetViews>
  <sheetFormatPr defaultColWidth="9.140625" defaultRowHeight="14.25" customHeight="1"/>
  <cols>
    <col min="1" max="2" width="9.140625" style="2077" hidden="1"/>
    <col min="3" max="3" width="3" style="2076" customWidth="1"/>
    <col min="4" max="4" width="6" style="2077" customWidth="1"/>
    <col min="5" max="5" width="94" style="2077" customWidth="1"/>
    <col min="6" max="12" width="8" style="2077" customWidth="1"/>
    <col min="13" max="13" width="9.140625" style="2077"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14" t="s">
        <v>1951</v>
      </c>
      <c r="E7" s="2314"/>
      <c r="F7" s="204"/>
      <c r="M7" s="9">
        <v>22</v>
      </c>
    </row>
    <row r="8" spans="1:13" ht="3" customHeight="1">
      <c r="C8" s="32"/>
      <c r="D8" s="10"/>
      <c r="E8" s="10"/>
      <c r="M8" s="9">
        <v>3</v>
      </c>
    </row>
    <row r="9" spans="1:13" ht="16.899999999999999" customHeight="1">
      <c r="C9" s="32"/>
      <c r="D9" s="45" t="s">
        <v>90</v>
      </c>
      <c r="E9" s="48" t="s">
        <v>284</v>
      </c>
      <c r="M9" s="9">
        <v>16</v>
      </c>
    </row>
    <row r="10" spans="1:13" ht="12.75" customHeight="1">
      <c r="C10" s="32"/>
      <c r="D10" s="27" t="s">
        <v>108</v>
      </c>
      <c r="E10" s="27" t="s">
        <v>109</v>
      </c>
      <c r="M10" s="9">
        <v>12</v>
      </c>
    </row>
    <row r="11" spans="1:13" ht="15" hidden="1" customHeight="1">
      <c r="C11" s="32"/>
      <c r="D11" s="53">
        <v>0</v>
      </c>
      <c r="E11" s="87"/>
      <c r="M11" s="9">
        <v>0</v>
      </c>
    </row>
    <row r="12" spans="1:13" ht="27.75" customHeight="1">
      <c r="C12" s="1734" t="s">
        <v>686</v>
      </c>
      <c r="D12" s="53" t="s">
        <v>108</v>
      </c>
      <c r="E12" s="54" t="s">
        <v>1952</v>
      </c>
    </row>
    <row r="13" spans="1:13" ht="24.75" customHeight="1">
      <c r="C13" s="1734" t="s">
        <v>686</v>
      </c>
      <c r="D13" s="53" t="s">
        <v>109</v>
      </c>
      <c r="E13" s="54" t="s">
        <v>1953</v>
      </c>
    </row>
    <row r="14" spans="1:13" ht="31.5" customHeight="1">
      <c r="C14" s="1734" t="s">
        <v>686</v>
      </c>
      <c r="D14" s="53" t="s">
        <v>92</v>
      </c>
      <c r="E14" s="54" t="s">
        <v>1954</v>
      </c>
    </row>
    <row r="15" spans="1:13" ht="14.65" customHeight="1">
      <c r="C15" s="32"/>
      <c r="D15" s="49"/>
      <c r="E15" s="47" t="s">
        <v>1949</v>
      </c>
      <c r="M15" s="9">
        <v>14</v>
      </c>
    </row>
    <row r="16" spans="1:13" ht="14.25" hidden="1" customHeight="1">
      <c r="A16" s="9" t="s">
        <v>84</v>
      </c>
      <c r="B16" s="9">
        <v>0</v>
      </c>
      <c r="C16" s="31">
        <v>3</v>
      </c>
      <c r="D16" s="9">
        <v>6</v>
      </c>
      <c r="E16" s="9">
        <v>94</v>
      </c>
      <c r="F16" s="9">
        <v>8</v>
      </c>
      <c r="G16" s="9">
        <v>8</v>
      </c>
      <c r="H16" s="9">
        <v>8</v>
      </c>
      <c r="I16" s="9">
        <v>8</v>
      </c>
      <c r="J16" s="9">
        <v>8</v>
      </c>
      <c r="K16" s="9">
        <v>8</v>
      </c>
      <c r="L16" s="9">
        <v>8</v>
      </c>
      <c r="M16" s="9">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114" hidden="1"/>
    <col min="3" max="4" width="3" style="2114" customWidth="1"/>
    <col min="5" max="6" width="15" style="2114" customWidth="1"/>
    <col min="7" max="7" width="11.5703125" style="2114" customWidth="1"/>
    <col min="8" max="9" width="3" style="2114" customWidth="1"/>
    <col min="10" max="10" width="12" style="2114" customWidth="1"/>
    <col min="11" max="11" width="0.28515625" style="2114" customWidth="1"/>
    <col min="12" max="13" width="10" style="2114" customWidth="1"/>
    <col min="14" max="15" width="3" style="2114" customWidth="1"/>
    <col min="16" max="16" width="19" style="2114" customWidth="1"/>
    <col min="17" max="17" width="0.28515625" style="2114" customWidth="1"/>
    <col min="18" max="19" width="10" style="2114" customWidth="1"/>
    <col min="20" max="21" width="3" style="2114" customWidth="1"/>
    <col min="22" max="22" width="25" style="2114" customWidth="1"/>
    <col min="23" max="23" width="0.28515625" style="2114" customWidth="1"/>
    <col min="24" max="25" width="10" style="2114" customWidth="1"/>
    <col min="26" max="27" width="3" style="2114" customWidth="1"/>
    <col min="28" max="28" width="16" style="2114" customWidth="1"/>
    <col min="29" max="29" width="0.28515625" style="2114" customWidth="1"/>
    <col min="30" max="31" width="10" style="2114" customWidth="1"/>
    <col min="32" max="33" width="3" style="2114" customWidth="1"/>
    <col min="34" max="34" width="8" style="2114" customWidth="1"/>
    <col min="35" max="35" width="21" style="2114" customWidth="1"/>
    <col min="36" max="36" width="8" style="2114" customWidth="1"/>
    <col min="37" max="37" width="8" style="2073" customWidth="1"/>
    <col min="38" max="64" width="8" style="2114" customWidth="1"/>
    <col min="65" max="65" width="9.140625" style="2114" hidden="1"/>
  </cols>
  <sheetData>
    <row r="1" spans="1:65" s="210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2" customFormat="1" ht="11.25" hidden="1" customHeight="1">
      <c r="L2" s="1471" t="s">
        <v>276</v>
      </c>
      <c r="M2" s="1471" t="s">
        <v>277</v>
      </c>
      <c r="R2" s="1471" t="s">
        <v>278</v>
      </c>
      <c r="S2" s="1471" t="s">
        <v>277</v>
      </c>
      <c r="X2" s="1471" t="s">
        <v>276</v>
      </c>
      <c r="Y2" s="1471" t="s">
        <v>277</v>
      </c>
      <c r="AD2" s="1471" t="s">
        <v>276</v>
      </c>
      <c r="AE2" s="1471" t="s">
        <v>277</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3"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2" customFormat="1" ht="34.5" customHeight="1">
      <c r="A4" s="1074"/>
      <c r="B4" s="1073"/>
      <c r="C4" s="1433"/>
      <c r="D4" s="2386" t="s">
        <v>279</v>
      </c>
      <c r="E4" s="2386"/>
      <c r="F4" s="2386"/>
      <c r="G4" s="2386"/>
      <c r="H4" s="2386"/>
      <c r="I4" s="2386"/>
      <c r="J4" s="2386"/>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022" customFormat="1" ht="14.65" customHeight="1">
      <c r="A5" s="1550"/>
      <c r="B5" s="1549"/>
      <c r="C5" s="1433"/>
      <c r="D5" s="2409" t="str">
        <f>IF(org=0,"Не определено",org)</f>
        <v>ПАО "ТГК-1" филиал "Невский"</v>
      </c>
      <c r="E5" s="2409"/>
      <c r="F5" s="2409"/>
      <c r="G5" s="2409"/>
      <c r="H5" s="2409"/>
      <c r="I5" s="2409"/>
      <c r="J5" s="2409"/>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2"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10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28" t="s">
        <v>90</v>
      </c>
      <c r="E8" s="2328" t="s">
        <v>104</v>
      </c>
      <c r="F8" s="2388" t="s">
        <v>121</v>
      </c>
      <c r="G8" s="2389"/>
      <c r="H8" s="2388" t="s">
        <v>90</v>
      </c>
      <c r="I8" s="2389"/>
      <c r="J8" s="2328" t="s">
        <v>122</v>
      </c>
      <c r="K8" s="1474"/>
      <c r="L8" s="2387" t="s">
        <v>280</v>
      </c>
      <c r="M8" s="2387"/>
      <c r="N8" s="2387"/>
      <c r="O8" s="2387"/>
      <c r="P8" s="2387"/>
      <c r="Q8" s="1475"/>
      <c r="R8" s="2310" t="s">
        <v>281</v>
      </c>
      <c r="S8" s="2315"/>
      <c r="T8" s="2315"/>
      <c r="U8" s="2315"/>
      <c r="V8" s="2315"/>
      <c r="W8" s="1475"/>
      <c r="X8" s="2328" t="s">
        <v>282</v>
      </c>
      <c r="Y8" s="2328"/>
      <c r="Z8" s="2328"/>
      <c r="AA8" s="2328"/>
      <c r="AB8" s="2328"/>
      <c r="AC8" s="1476"/>
      <c r="AD8" s="2328" t="s">
        <v>283</v>
      </c>
      <c r="AE8" s="2328"/>
      <c r="AF8" s="2328"/>
      <c r="AG8" s="2328"/>
      <c r="AH8" s="2310"/>
      <c r="AI8" s="2328" t="s">
        <v>284</v>
      </c>
      <c r="AJ8" s="1492"/>
      <c r="BM8" s="230">
        <v>32</v>
      </c>
    </row>
    <row r="9" spans="1:65" ht="23.25" customHeight="1">
      <c r="D9" s="2328"/>
      <c r="E9" s="2328"/>
      <c r="F9" s="2387" t="s">
        <v>91</v>
      </c>
      <c r="G9" s="2387" t="s">
        <v>127</v>
      </c>
      <c r="H9" s="2390"/>
      <c r="I9" s="2391"/>
      <c r="J9" s="2310"/>
      <c r="K9" s="1477"/>
      <c r="L9" s="2328" t="s">
        <v>285</v>
      </c>
      <c r="M9" s="2310"/>
      <c r="N9" s="2388" t="s">
        <v>90</v>
      </c>
      <c r="O9" s="2389"/>
      <c r="P9" s="2328" t="s">
        <v>128</v>
      </c>
      <c r="Q9" s="1474"/>
      <c r="R9" s="2328" t="s">
        <v>285</v>
      </c>
      <c r="S9" s="2310"/>
      <c r="T9" s="2388" t="s">
        <v>90</v>
      </c>
      <c r="U9" s="2389"/>
      <c r="V9" s="2328" t="s">
        <v>128</v>
      </c>
      <c r="W9" s="1474"/>
      <c r="X9" s="2328" t="s">
        <v>285</v>
      </c>
      <c r="Y9" s="2310"/>
      <c r="Z9" s="2388" t="s">
        <v>90</v>
      </c>
      <c r="AA9" s="2389"/>
      <c r="AB9" s="2328" t="s">
        <v>286</v>
      </c>
      <c r="AC9" s="1474"/>
      <c r="AD9" s="2328" t="s">
        <v>285</v>
      </c>
      <c r="AE9" s="2310"/>
      <c r="AF9" s="2388" t="s">
        <v>90</v>
      </c>
      <c r="AG9" s="2389"/>
      <c r="AH9" s="2310" t="s">
        <v>286</v>
      </c>
      <c r="AI9" s="2328"/>
      <c r="AJ9" s="1492"/>
      <c r="BM9" s="230">
        <v>22</v>
      </c>
    </row>
    <row r="10" spans="1:65" ht="24" customHeight="1">
      <c r="D10" s="2387"/>
      <c r="E10" s="2387"/>
      <c r="F10" s="2392"/>
      <c r="G10" s="2392"/>
      <c r="H10" s="2393"/>
      <c r="I10" s="2394"/>
      <c r="J10" s="2388"/>
      <c r="K10" s="1477"/>
      <c r="L10" s="1496" t="s">
        <v>287</v>
      </c>
      <c r="M10" s="1491" t="s">
        <v>288</v>
      </c>
      <c r="N10" s="2390"/>
      <c r="O10" s="2391"/>
      <c r="P10" s="2387"/>
      <c r="Q10" s="1474"/>
      <c r="R10" s="1496" t="s">
        <v>287</v>
      </c>
      <c r="S10" s="1491" t="s">
        <v>288</v>
      </c>
      <c r="T10" s="2390"/>
      <c r="U10" s="2391"/>
      <c r="V10" s="2387"/>
      <c r="W10" s="1474"/>
      <c r="X10" s="1496" t="s">
        <v>287</v>
      </c>
      <c r="Y10" s="1491" t="s">
        <v>288</v>
      </c>
      <c r="Z10" s="2390"/>
      <c r="AA10" s="2391"/>
      <c r="AB10" s="2387"/>
      <c r="AC10" s="1474"/>
      <c r="AD10" s="1496" t="s">
        <v>287</v>
      </c>
      <c r="AE10" s="1491" t="s">
        <v>288</v>
      </c>
      <c r="AF10" s="2390"/>
      <c r="AG10" s="2391"/>
      <c r="AH10" s="2388"/>
      <c r="AI10" s="2387"/>
      <c r="AJ10" s="1492"/>
      <c r="AK10" s="191" t="s">
        <v>289</v>
      </c>
      <c r="AL10" s="191" t="s">
        <v>129</v>
      </c>
      <c r="BM10" s="230">
        <v>23</v>
      </c>
    </row>
    <row r="11" spans="1:65" ht="15" customHeight="1">
      <c r="D11" s="2395" t="s">
        <v>108</v>
      </c>
      <c r="E11" s="2397" t="s">
        <v>290</v>
      </c>
      <c r="F11" s="2397" t="s">
        <v>291</v>
      </c>
      <c r="G11" s="2400" t="s">
        <v>19</v>
      </c>
      <c r="H11" s="1517"/>
      <c r="I11" s="2402"/>
      <c r="J11" s="2356"/>
      <c r="K11" s="1432"/>
      <c r="L11" s="2348"/>
      <c r="M11" s="2348"/>
      <c r="N11" s="1502"/>
      <c r="O11" s="2348"/>
      <c r="P11" s="2356"/>
      <c r="Q11" s="1503"/>
      <c r="R11" s="2348"/>
      <c r="S11" s="2348"/>
      <c r="T11" s="1504"/>
      <c r="U11" s="2348"/>
      <c r="V11" s="2356"/>
      <c r="W11" s="1505"/>
      <c r="X11" s="2348"/>
      <c r="Y11" s="2348"/>
      <c r="Z11" s="1502"/>
      <c r="AA11" s="2348"/>
      <c r="AB11" s="2356"/>
      <c r="AC11" s="1506"/>
      <c r="AD11" s="2348"/>
      <c r="AE11" s="2348"/>
      <c r="AF11" s="1431"/>
      <c r="AG11" s="1431"/>
      <c r="AH11" s="1507"/>
      <c r="AI11" s="1214"/>
      <c r="AJ11" s="1492"/>
      <c r="BM11" s="230">
        <v>14</v>
      </c>
    </row>
    <row r="12" spans="1:65" ht="14.65" customHeight="1">
      <c r="D12" s="2395"/>
      <c r="E12" s="2397"/>
      <c r="F12" s="2397"/>
      <c r="G12" s="2401"/>
      <c r="H12" s="1518"/>
      <c r="I12" s="2403"/>
      <c r="J12" s="2357"/>
      <c r="K12" s="1528"/>
      <c r="L12" s="2349"/>
      <c r="M12" s="2349"/>
      <c r="N12" s="1508"/>
      <c r="O12" s="2349"/>
      <c r="P12" s="2357"/>
      <c r="Q12" s="1509"/>
      <c r="R12" s="2349"/>
      <c r="S12" s="2349"/>
      <c r="T12" s="1510"/>
      <c r="U12" s="2349"/>
      <c r="V12" s="2357"/>
      <c r="W12" s="1511"/>
      <c r="X12" s="2349"/>
      <c r="Y12" s="2349"/>
      <c r="Z12" s="1508"/>
      <c r="AA12" s="2349"/>
      <c r="AB12" s="2357"/>
      <c r="AC12" s="1512"/>
      <c r="AD12" s="2349"/>
      <c r="AE12" s="2349"/>
      <c r="AF12" s="1513"/>
      <c r="AG12" s="1513"/>
      <c r="AH12" s="2406"/>
      <c r="AI12" s="2407"/>
      <c r="AJ12" s="1492"/>
      <c r="BM12" s="230">
        <v>14</v>
      </c>
    </row>
    <row r="13" spans="1:65" ht="14.65" customHeight="1">
      <c r="D13" s="2395"/>
      <c r="E13" s="2397"/>
      <c r="F13" s="2397"/>
      <c r="G13" s="2401"/>
      <c r="H13" s="1518"/>
      <c r="I13" s="2403"/>
      <c r="J13" s="2357"/>
      <c r="K13" s="1528"/>
      <c r="L13" s="2349"/>
      <c r="M13" s="2349"/>
      <c r="N13" s="1508"/>
      <c r="O13" s="2349"/>
      <c r="P13" s="2357"/>
      <c r="Q13" s="1509"/>
      <c r="R13" s="2349"/>
      <c r="S13" s="2349"/>
      <c r="T13" s="1510"/>
      <c r="U13" s="2349"/>
      <c r="V13" s="2357"/>
      <c r="W13" s="1511"/>
      <c r="X13" s="2349"/>
      <c r="Y13" s="2349"/>
      <c r="Z13" s="1430"/>
      <c r="AA13" s="1513"/>
      <c r="AB13" s="2406"/>
      <c r="AC13" s="2406"/>
      <c r="AD13" s="2406"/>
      <c r="AE13" s="2406"/>
      <c r="AF13" s="2406"/>
      <c r="AG13" s="2406"/>
      <c r="AH13" s="2406"/>
      <c r="AI13" s="2407"/>
      <c r="AJ13" s="1492"/>
      <c r="BM13" s="230">
        <v>14</v>
      </c>
    </row>
    <row r="14" spans="1:65" ht="14.65" customHeight="1">
      <c r="D14" s="2395"/>
      <c r="E14" s="2397"/>
      <c r="F14" s="2397"/>
      <c r="G14" s="2401"/>
      <c r="H14" s="1518"/>
      <c r="I14" s="2403"/>
      <c r="J14" s="2357"/>
      <c r="K14" s="1528"/>
      <c r="L14" s="2349"/>
      <c r="M14" s="2349"/>
      <c r="N14" s="1508"/>
      <c r="O14" s="2349"/>
      <c r="P14" s="2357"/>
      <c r="Q14" s="1509"/>
      <c r="R14" s="2349"/>
      <c r="S14" s="2349"/>
      <c r="T14" s="1514"/>
      <c r="U14" s="1515"/>
      <c r="V14" s="2406"/>
      <c r="W14" s="2406"/>
      <c r="X14" s="2406"/>
      <c r="Y14" s="2406"/>
      <c r="Z14" s="2406"/>
      <c r="AA14" s="2406"/>
      <c r="AB14" s="2406"/>
      <c r="AC14" s="2406"/>
      <c r="AD14" s="2406"/>
      <c r="AE14" s="2406"/>
      <c r="AF14" s="2406"/>
      <c r="AG14" s="2406"/>
      <c r="AH14" s="2406"/>
      <c r="AI14" s="2407"/>
      <c r="AJ14" s="1492"/>
      <c r="BM14" s="230">
        <v>14</v>
      </c>
    </row>
    <row r="15" spans="1:65" ht="11.45" customHeight="1">
      <c r="D15" s="2395"/>
      <c r="E15" s="2397"/>
      <c r="F15" s="2397"/>
      <c r="G15" s="2401"/>
      <c r="H15" s="1519"/>
      <c r="I15" s="2403"/>
      <c r="J15" s="2357"/>
      <c r="K15" s="1528"/>
      <c r="L15" s="2349"/>
      <c r="M15" s="2349"/>
      <c r="N15" s="1513"/>
      <c r="O15" s="1513"/>
      <c r="P15" s="2406"/>
      <c r="Q15" s="2406"/>
      <c r="R15" s="2406"/>
      <c r="S15" s="2406"/>
      <c r="T15" s="2406"/>
      <c r="U15" s="2406"/>
      <c r="V15" s="2406"/>
      <c r="W15" s="2406"/>
      <c r="X15" s="2406"/>
      <c r="Y15" s="2406"/>
      <c r="Z15" s="2406"/>
      <c r="AA15" s="2406"/>
      <c r="AB15" s="2406"/>
      <c r="AC15" s="2406"/>
      <c r="AD15" s="2406"/>
      <c r="AE15" s="2406"/>
      <c r="AF15" s="2406"/>
      <c r="AG15" s="2406"/>
      <c r="AH15" s="2406"/>
      <c r="AI15" s="2407"/>
      <c r="AJ15" s="1492"/>
      <c r="BM15" s="230">
        <v>11</v>
      </c>
    </row>
    <row r="16" spans="1:65" s="2013" customFormat="1" ht="11.45" customHeight="1">
      <c r="D16" s="2396"/>
      <c r="E16" s="2398"/>
      <c r="F16" s="2399"/>
      <c r="G16" s="2343"/>
      <c r="H16" s="1516"/>
      <c r="I16" s="1520"/>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5"/>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95" t="s">
        <v>109</v>
      </c>
      <c r="E17" s="2397" t="s">
        <v>290</v>
      </c>
      <c r="F17" s="2397" t="s">
        <v>292</v>
      </c>
      <c r="G17" s="2400" t="s">
        <v>19</v>
      </c>
      <c r="H17" s="1517"/>
      <c r="I17" s="2402"/>
      <c r="J17" s="2356"/>
      <c r="K17" s="1432"/>
      <c r="L17" s="2348"/>
      <c r="M17" s="2348"/>
      <c r="N17" s="1502"/>
      <c r="O17" s="2348"/>
      <c r="P17" s="2356"/>
      <c r="Q17" s="1503"/>
      <c r="R17" s="2348"/>
      <c r="S17" s="2348"/>
      <c r="T17" s="1504"/>
      <c r="U17" s="2348"/>
      <c r="V17" s="2356"/>
      <c r="W17" s="1505"/>
      <c r="X17" s="2348"/>
      <c r="Y17" s="2348"/>
      <c r="Z17" s="1502"/>
      <c r="AA17" s="2348"/>
      <c r="AB17" s="2356"/>
      <c r="AC17" s="1506"/>
      <c r="AD17" s="2348"/>
      <c r="AE17" s="2348"/>
      <c r="AF17" s="1431"/>
      <c r="AG17" s="1431"/>
      <c r="AH17" s="1507"/>
      <c r="AI17" s="1214"/>
      <c r="AJ17" s="1492"/>
      <c r="BM17" s="230">
        <v>14</v>
      </c>
    </row>
    <row r="18" spans="4:65" ht="14.65" customHeight="1">
      <c r="D18" s="2395"/>
      <c r="E18" s="2397"/>
      <c r="F18" s="2397"/>
      <c r="G18" s="2401"/>
      <c r="H18" s="1518"/>
      <c r="I18" s="2403"/>
      <c r="J18" s="2357"/>
      <c r="K18" s="1501"/>
      <c r="L18" s="2349"/>
      <c r="M18" s="2349"/>
      <c r="N18" s="1508"/>
      <c r="O18" s="2349"/>
      <c r="P18" s="2357"/>
      <c r="Q18" s="1509"/>
      <c r="R18" s="2349"/>
      <c r="S18" s="2349"/>
      <c r="T18" s="1510"/>
      <c r="U18" s="2349"/>
      <c r="V18" s="2357"/>
      <c r="W18" s="1511"/>
      <c r="X18" s="2349"/>
      <c r="Y18" s="2349"/>
      <c r="Z18" s="1508"/>
      <c r="AA18" s="2349"/>
      <c r="AB18" s="2357"/>
      <c r="AC18" s="1512"/>
      <c r="AD18" s="2349"/>
      <c r="AE18" s="2349"/>
      <c r="AF18" s="1513"/>
      <c r="AG18" s="1513"/>
      <c r="AH18" s="2406"/>
      <c r="AI18" s="2407"/>
      <c r="AJ18" s="1492"/>
      <c r="BM18" s="230">
        <v>14</v>
      </c>
    </row>
    <row r="19" spans="4:65" ht="14.65" customHeight="1">
      <c r="D19" s="2395"/>
      <c r="E19" s="2397"/>
      <c r="F19" s="2397"/>
      <c r="G19" s="2401"/>
      <c r="H19" s="1518"/>
      <c r="I19" s="2403"/>
      <c r="J19" s="2357"/>
      <c r="K19" s="1501"/>
      <c r="L19" s="2349"/>
      <c r="M19" s="2349"/>
      <c r="N19" s="1508"/>
      <c r="O19" s="2349"/>
      <c r="P19" s="2357"/>
      <c r="Q19" s="1509"/>
      <c r="R19" s="2349"/>
      <c r="S19" s="2349"/>
      <c r="T19" s="1510"/>
      <c r="U19" s="2349"/>
      <c r="V19" s="2357"/>
      <c r="W19" s="1511"/>
      <c r="X19" s="2349"/>
      <c r="Y19" s="2349"/>
      <c r="Z19" s="1430"/>
      <c r="AA19" s="1513"/>
      <c r="AB19" s="2406"/>
      <c r="AC19" s="2406"/>
      <c r="AD19" s="2406"/>
      <c r="AE19" s="2406"/>
      <c r="AF19" s="2406"/>
      <c r="AG19" s="2406"/>
      <c r="AH19" s="2406"/>
      <c r="AI19" s="2407"/>
      <c r="AJ19" s="1492"/>
      <c r="BM19" s="230">
        <v>14</v>
      </c>
    </row>
    <row r="20" spans="4:65" ht="14.65" customHeight="1">
      <c r="D20" s="2395"/>
      <c r="E20" s="2397"/>
      <c r="F20" s="2397"/>
      <c r="G20" s="2401"/>
      <c r="H20" s="1518"/>
      <c r="I20" s="2403"/>
      <c r="J20" s="2357"/>
      <c r="K20" s="1501"/>
      <c r="L20" s="2349"/>
      <c r="M20" s="2349"/>
      <c r="N20" s="1508"/>
      <c r="O20" s="2349"/>
      <c r="P20" s="2357"/>
      <c r="Q20" s="1509"/>
      <c r="R20" s="2349"/>
      <c r="S20" s="2349"/>
      <c r="T20" s="1514"/>
      <c r="U20" s="1515"/>
      <c r="V20" s="2406"/>
      <c r="W20" s="2406"/>
      <c r="X20" s="2406"/>
      <c r="Y20" s="2406"/>
      <c r="Z20" s="2406"/>
      <c r="AA20" s="2406"/>
      <c r="AB20" s="2406"/>
      <c r="AC20" s="2406"/>
      <c r="AD20" s="2406"/>
      <c r="AE20" s="2406"/>
      <c r="AF20" s="2406"/>
      <c r="AG20" s="2406"/>
      <c r="AH20" s="2406"/>
      <c r="AI20" s="2407"/>
      <c r="AJ20" s="1492"/>
      <c r="BM20" s="230">
        <v>14</v>
      </c>
    </row>
    <row r="21" spans="4:65" ht="11.45" customHeight="1">
      <c r="D21" s="2395"/>
      <c r="E21" s="2397"/>
      <c r="F21" s="2397"/>
      <c r="G21" s="2401"/>
      <c r="H21" s="1519"/>
      <c r="I21" s="2403"/>
      <c r="J21" s="2357"/>
      <c r="K21" s="1501"/>
      <c r="L21" s="2349"/>
      <c r="M21" s="2349"/>
      <c r="N21" s="1513"/>
      <c r="O21" s="1513"/>
      <c r="P21" s="2406"/>
      <c r="Q21" s="2406"/>
      <c r="R21" s="2406"/>
      <c r="S21" s="2406"/>
      <c r="T21" s="2406"/>
      <c r="U21" s="2406"/>
      <c r="V21" s="2406"/>
      <c r="W21" s="2406"/>
      <c r="X21" s="2406"/>
      <c r="Y21" s="2406"/>
      <c r="Z21" s="2406"/>
      <c r="AA21" s="2406"/>
      <c r="AB21" s="2406"/>
      <c r="AC21" s="2406"/>
      <c r="AD21" s="2406"/>
      <c r="AE21" s="2406"/>
      <c r="AF21" s="2406"/>
      <c r="AG21" s="2406"/>
      <c r="AH21" s="2406"/>
      <c r="AI21" s="2407"/>
      <c r="AJ21" s="1492"/>
      <c r="BM21" s="230">
        <v>11</v>
      </c>
    </row>
    <row r="22" spans="4:65" s="2013" customFormat="1" ht="11.45" customHeight="1">
      <c r="D22" s="2396"/>
      <c r="E22" s="2398"/>
      <c r="F22" s="2399"/>
      <c r="G22" s="2343"/>
      <c r="H22" s="1516"/>
      <c r="I22" s="1520"/>
      <c r="J22" s="2404"/>
      <c r="K22" s="2404"/>
      <c r="L22" s="2404"/>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5"/>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95" t="s">
        <v>92</v>
      </c>
      <c r="E23" s="2397" t="s">
        <v>290</v>
      </c>
      <c r="F23" s="2397" t="s">
        <v>293</v>
      </c>
      <c r="G23" s="2400" t="s">
        <v>19</v>
      </c>
      <c r="H23" s="1517"/>
      <c r="I23" s="2402"/>
      <c r="J23" s="2356"/>
      <c r="K23" s="1432"/>
      <c r="L23" s="2348"/>
      <c r="M23" s="2348"/>
      <c r="N23" s="1502"/>
      <c r="O23" s="2348"/>
      <c r="P23" s="2356"/>
      <c r="Q23" s="1503"/>
      <c r="R23" s="2348"/>
      <c r="S23" s="2348"/>
      <c r="T23" s="1504"/>
      <c r="U23" s="2348"/>
      <c r="V23" s="2356"/>
      <c r="W23" s="1505"/>
      <c r="X23" s="2348"/>
      <c r="Y23" s="2348"/>
      <c r="Z23" s="1502"/>
      <c r="AA23" s="2348"/>
      <c r="AB23" s="2356"/>
      <c r="AC23" s="1506"/>
      <c r="AD23" s="2348"/>
      <c r="AE23" s="2348"/>
      <c r="AF23" s="1431"/>
      <c r="AG23" s="1431"/>
      <c r="AH23" s="1507"/>
      <c r="AI23" s="1214"/>
      <c r="AJ23" s="1492"/>
      <c r="AK23" s="243" t="s">
        <v>100</v>
      </c>
      <c r="BM23" s="230">
        <v>14</v>
      </c>
    </row>
    <row r="24" spans="4:65" ht="14.65" customHeight="1">
      <c r="D24" s="2395"/>
      <c r="E24" s="2397"/>
      <c r="F24" s="2397"/>
      <c r="G24" s="2401"/>
      <c r="H24" s="1518"/>
      <c r="I24" s="2403"/>
      <c r="J24" s="2357"/>
      <c r="K24" s="1528"/>
      <c r="L24" s="2349"/>
      <c r="M24" s="2349"/>
      <c r="N24" s="1508"/>
      <c r="O24" s="2349"/>
      <c r="P24" s="2357"/>
      <c r="Q24" s="1509"/>
      <c r="R24" s="2349"/>
      <c r="S24" s="2349"/>
      <c r="T24" s="1510"/>
      <c r="U24" s="2349"/>
      <c r="V24" s="2357"/>
      <c r="W24" s="1511"/>
      <c r="X24" s="2349"/>
      <c r="Y24" s="2349"/>
      <c r="Z24" s="1508"/>
      <c r="AA24" s="2349"/>
      <c r="AB24" s="2357"/>
      <c r="AC24" s="1512"/>
      <c r="AD24" s="2349"/>
      <c r="AE24" s="2349"/>
      <c r="AF24" s="1513"/>
      <c r="AG24" s="1513"/>
      <c r="AH24" s="2406"/>
      <c r="AI24" s="2407"/>
      <c r="AJ24" s="1492"/>
      <c r="BM24" s="230">
        <v>14</v>
      </c>
    </row>
    <row r="25" spans="4:65" ht="14.65" customHeight="1">
      <c r="D25" s="2395"/>
      <c r="E25" s="2397"/>
      <c r="F25" s="2397"/>
      <c r="G25" s="2401"/>
      <c r="H25" s="1518"/>
      <c r="I25" s="2403"/>
      <c r="J25" s="2357"/>
      <c r="K25" s="1528"/>
      <c r="L25" s="2349"/>
      <c r="M25" s="2349"/>
      <c r="N25" s="1508"/>
      <c r="O25" s="2349"/>
      <c r="P25" s="2357"/>
      <c r="Q25" s="1509"/>
      <c r="R25" s="2349"/>
      <c r="S25" s="2349"/>
      <c r="T25" s="1510"/>
      <c r="U25" s="2349"/>
      <c r="V25" s="2357"/>
      <c r="W25" s="1511"/>
      <c r="X25" s="2349"/>
      <c r="Y25" s="2349"/>
      <c r="Z25" s="1430"/>
      <c r="AA25" s="1513"/>
      <c r="AB25" s="2406"/>
      <c r="AC25" s="2406"/>
      <c r="AD25" s="2406"/>
      <c r="AE25" s="2406"/>
      <c r="AF25" s="2406"/>
      <c r="AG25" s="2406"/>
      <c r="AH25" s="2406"/>
      <c r="AI25" s="2407"/>
      <c r="AJ25" s="1492"/>
      <c r="BM25" s="230">
        <v>14</v>
      </c>
    </row>
    <row r="26" spans="4:65" ht="14.65" customHeight="1">
      <c r="D26" s="2395"/>
      <c r="E26" s="2397"/>
      <c r="F26" s="2397"/>
      <c r="G26" s="2401"/>
      <c r="H26" s="1518"/>
      <c r="I26" s="2403"/>
      <c r="J26" s="2357"/>
      <c r="K26" s="1528"/>
      <c r="L26" s="2349"/>
      <c r="M26" s="2349"/>
      <c r="N26" s="1508"/>
      <c r="O26" s="2349"/>
      <c r="P26" s="2357"/>
      <c r="Q26" s="1509"/>
      <c r="R26" s="2349"/>
      <c r="S26" s="2349"/>
      <c r="T26" s="1514"/>
      <c r="U26" s="1515"/>
      <c r="V26" s="2406"/>
      <c r="W26" s="2406"/>
      <c r="X26" s="2406"/>
      <c r="Y26" s="2406"/>
      <c r="Z26" s="2406"/>
      <c r="AA26" s="2406"/>
      <c r="AB26" s="2406"/>
      <c r="AC26" s="2406"/>
      <c r="AD26" s="2406"/>
      <c r="AE26" s="2406"/>
      <c r="AF26" s="2406"/>
      <c r="AG26" s="2406"/>
      <c r="AH26" s="2406"/>
      <c r="AI26" s="2407"/>
      <c r="AJ26" s="1492"/>
      <c r="BM26" s="230">
        <v>14</v>
      </c>
    </row>
    <row r="27" spans="4:65" ht="11.45" customHeight="1">
      <c r="D27" s="2395"/>
      <c r="E27" s="2397"/>
      <c r="F27" s="2397"/>
      <c r="G27" s="2401"/>
      <c r="H27" s="1519"/>
      <c r="I27" s="2403"/>
      <c r="J27" s="2357"/>
      <c r="K27" s="1528"/>
      <c r="L27" s="2349"/>
      <c r="M27" s="2349"/>
      <c r="N27" s="1513"/>
      <c r="O27" s="1513"/>
      <c r="P27" s="2406"/>
      <c r="Q27" s="2406"/>
      <c r="R27" s="2406"/>
      <c r="S27" s="2406"/>
      <c r="T27" s="2406"/>
      <c r="U27" s="2406"/>
      <c r="V27" s="2406"/>
      <c r="W27" s="2406"/>
      <c r="X27" s="2406"/>
      <c r="Y27" s="2406"/>
      <c r="Z27" s="2406"/>
      <c r="AA27" s="2406"/>
      <c r="AB27" s="2406"/>
      <c r="AC27" s="2406"/>
      <c r="AD27" s="2406"/>
      <c r="AE27" s="2406"/>
      <c r="AF27" s="2406"/>
      <c r="AG27" s="2406"/>
      <c r="AH27" s="2406"/>
      <c r="AI27" s="2407"/>
      <c r="AJ27" s="1492"/>
      <c r="BM27" s="230">
        <v>11</v>
      </c>
    </row>
    <row r="28" spans="4:65" s="2013" customFormat="1" ht="11.45" customHeight="1">
      <c r="D28" s="2396"/>
      <c r="E28" s="2398"/>
      <c r="F28" s="2399"/>
      <c r="G28" s="2343"/>
      <c r="H28" s="1516"/>
      <c r="I28" s="1520"/>
      <c r="J28" s="2404"/>
      <c r="K28" s="2404"/>
      <c r="L28" s="2404"/>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5"/>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95" t="s">
        <v>93</v>
      </c>
      <c r="E29" s="2397" t="s">
        <v>290</v>
      </c>
      <c r="F29" s="2397" t="s">
        <v>294</v>
      </c>
      <c r="G29" s="2400" t="s">
        <v>19</v>
      </c>
      <c r="H29" s="1517"/>
      <c r="I29" s="2402"/>
      <c r="J29" s="2356"/>
      <c r="K29" s="1432"/>
      <c r="L29" s="2348"/>
      <c r="M29" s="2348"/>
      <c r="N29" s="1502"/>
      <c r="O29" s="2348"/>
      <c r="P29" s="2356"/>
      <c r="Q29" s="1503"/>
      <c r="R29" s="2348"/>
      <c r="S29" s="2348"/>
      <c r="T29" s="1504"/>
      <c r="U29" s="2348"/>
      <c r="V29" s="2356"/>
      <c r="W29" s="1505"/>
      <c r="X29" s="2348"/>
      <c r="Y29" s="2348"/>
      <c r="Z29" s="1502"/>
      <c r="AA29" s="2348"/>
      <c r="AB29" s="2356"/>
      <c r="AC29" s="1506"/>
      <c r="AD29" s="2348"/>
      <c r="AE29" s="2348"/>
      <c r="AF29" s="1431"/>
      <c r="AG29" s="1431"/>
      <c r="AH29" s="1507"/>
      <c r="AI29" s="1214"/>
      <c r="AJ29" s="1492"/>
      <c r="BM29" s="230">
        <v>14</v>
      </c>
    </row>
    <row r="30" spans="4:65" ht="14.65" customHeight="1">
      <c r="D30" s="2395"/>
      <c r="E30" s="2397"/>
      <c r="F30" s="2397"/>
      <c r="G30" s="2401"/>
      <c r="H30" s="1518"/>
      <c r="I30" s="2403"/>
      <c r="J30" s="2357"/>
      <c r="K30" s="1501"/>
      <c r="L30" s="2349"/>
      <c r="M30" s="2349"/>
      <c r="N30" s="1508"/>
      <c r="O30" s="2349"/>
      <c r="P30" s="2357"/>
      <c r="Q30" s="1509"/>
      <c r="R30" s="2349"/>
      <c r="S30" s="2349"/>
      <c r="T30" s="1510"/>
      <c r="U30" s="2349"/>
      <c r="V30" s="2357"/>
      <c r="W30" s="1511"/>
      <c r="X30" s="2349"/>
      <c r="Y30" s="2349"/>
      <c r="Z30" s="1508"/>
      <c r="AA30" s="2349"/>
      <c r="AB30" s="2357"/>
      <c r="AC30" s="1512"/>
      <c r="AD30" s="2349"/>
      <c r="AE30" s="2349"/>
      <c r="AF30" s="1513"/>
      <c r="AG30" s="1513"/>
      <c r="AH30" s="2406"/>
      <c r="AI30" s="2407"/>
      <c r="AJ30" s="1492"/>
      <c r="BM30" s="230">
        <v>14</v>
      </c>
    </row>
    <row r="31" spans="4:65" ht="14.65" customHeight="1">
      <c r="D31" s="2395"/>
      <c r="E31" s="2397"/>
      <c r="F31" s="2397"/>
      <c r="G31" s="2401"/>
      <c r="H31" s="1518"/>
      <c r="I31" s="2403"/>
      <c r="J31" s="2357"/>
      <c r="K31" s="1501"/>
      <c r="L31" s="2349"/>
      <c r="M31" s="2349"/>
      <c r="N31" s="1508"/>
      <c r="O31" s="2349"/>
      <c r="P31" s="2357"/>
      <c r="Q31" s="1509"/>
      <c r="R31" s="2349"/>
      <c r="S31" s="2349"/>
      <c r="T31" s="1510"/>
      <c r="U31" s="2349"/>
      <c r="V31" s="2357"/>
      <c r="W31" s="1511"/>
      <c r="X31" s="2349"/>
      <c r="Y31" s="2349"/>
      <c r="Z31" s="1430"/>
      <c r="AA31" s="1513"/>
      <c r="AB31" s="2406"/>
      <c r="AC31" s="2406"/>
      <c r="AD31" s="2406"/>
      <c r="AE31" s="2406"/>
      <c r="AF31" s="2406"/>
      <c r="AG31" s="2406"/>
      <c r="AH31" s="2406"/>
      <c r="AI31" s="2407"/>
      <c r="AJ31" s="1492"/>
      <c r="BM31" s="230">
        <v>14</v>
      </c>
    </row>
    <row r="32" spans="4:65" ht="14.65" customHeight="1">
      <c r="D32" s="2395"/>
      <c r="E32" s="2397"/>
      <c r="F32" s="2397"/>
      <c r="G32" s="2401"/>
      <c r="H32" s="1518"/>
      <c r="I32" s="2403"/>
      <c r="J32" s="2357"/>
      <c r="K32" s="1501"/>
      <c r="L32" s="2349"/>
      <c r="M32" s="2349"/>
      <c r="N32" s="1508"/>
      <c r="O32" s="2349"/>
      <c r="P32" s="2357"/>
      <c r="Q32" s="1509"/>
      <c r="R32" s="2349"/>
      <c r="S32" s="2349"/>
      <c r="T32" s="1514"/>
      <c r="U32" s="1515"/>
      <c r="V32" s="2406"/>
      <c r="W32" s="2406"/>
      <c r="X32" s="2406"/>
      <c r="Y32" s="2406"/>
      <c r="Z32" s="2406"/>
      <c r="AA32" s="2406"/>
      <c r="AB32" s="2406"/>
      <c r="AC32" s="2406"/>
      <c r="AD32" s="2406"/>
      <c r="AE32" s="2406"/>
      <c r="AF32" s="2406"/>
      <c r="AG32" s="2406"/>
      <c r="AH32" s="2406"/>
      <c r="AI32" s="2407"/>
      <c r="AJ32" s="1492"/>
      <c r="BM32" s="230">
        <v>14</v>
      </c>
    </row>
    <row r="33" spans="4:65" ht="11.45" customHeight="1">
      <c r="D33" s="2395"/>
      <c r="E33" s="2397"/>
      <c r="F33" s="2397"/>
      <c r="G33" s="2401"/>
      <c r="H33" s="1519"/>
      <c r="I33" s="2403"/>
      <c r="J33" s="2357"/>
      <c r="K33" s="1501"/>
      <c r="L33" s="2349"/>
      <c r="M33" s="2349"/>
      <c r="N33" s="1513"/>
      <c r="O33" s="1513"/>
      <c r="P33" s="2406"/>
      <c r="Q33" s="2406"/>
      <c r="R33" s="2406"/>
      <c r="S33" s="2406"/>
      <c r="T33" s="2406"/>
      <c r="U33" s="2406"/>
      <c r="V33" s="2406"/>
      <c r="W33" s="2406"/>
      <c r="X33" s="2406"/>
      <c r="Y33" s="2406"/>
      <c r="Z33" s="2406"/>
      <c r="AA33" s="2406"/>
      <c r="AB33" s="2406"/>
      <c r="AC33" s="2406"/>
      <c r="AD33" s="2406"/>
      <c r="AE33" s="2406"/>
      <c r="AF33" s="2406"/>
      <c r="AG33" s="2406"/>
      <c r="AH33" s="2406"/>
      <c r="AI33" s="2407"/>
      <c r="AJ33" s="1492"/>
      <c r="BM33" s="230">
        <v>11</v>
      </c>
    </row>
    <row r="34" spans="4:65" s="2013" customFormat="1" ht="11.45" customHeight="1">
      <c r="D34" s="2396"/>
      <c r="E34" s="2398"/>
      <c r="F34" s="2399"/>
      <c r="G34" s="2343"/>
      <c r="H34" s="1516"/>
      <c r="I34" s="1520"/>
      <c r="J34" s="2404"/>
      <c r="K34" s="2404"/>
      <c r="L34" s="2404"/>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5"/>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95" t="s">
        <v>110</v>
      </c>
      <c r="E35" s="2397" t="s">
        <v>290</v>
      </c>
      <c r="F35" s="2397" t="s">
        <v>295</v>
      </c>
      <c r="G35" s="2400" t="s">
        <v>19</v>
      </c>
      <c r="H35" s="1517"/>
      <c r="I35" s="2402"/>
      <c r="J35" s="2356"/>
      <c r="K35" s="1432"/>
      <c r="L35" s="2348"/>
      <c r="M35" s="2348"/>
      <c r="N35" s="1502"/>
      <c r="O35" s="2348"/>
      <c r="P35" s="2356"/>
      <c r="Q35" s="1503"/>
      <c r="R35" s="2348"/>
      <c r="S35" s="2348"/>
      <c r="T35" s="1504"/>
      <c r="U35" s="2348"/>
      <c r="V35" s="2356"/>
      <c r="W35" s="1505"/>
      <c r="X35" s="2348"/>
      <c r="Y35" s="2348"/>
      <c r="Z35" s="1502"/>
      <c r="AA35" s="2348"/>
      <c r="AB35" s="2356"/>
      <c r="AC35" s="1506"/>
      <c r="AD35" s="2348"/>
      <c r="AE35" s="2348"/>
      <c r="AF35" s="1431"/>
      <c r="AG35" s="1431"/>
      <c r="AH35" s="1507"/>
      <c r="AI35" s="1214"/>
      <c r="AJ35" s="1492"/>
      <c r="BM35" s="230">
        <v>14</v>
      </c>
    </row>
    <row r="36" spans="4:65" ht="14.65" customHeight="1">
      <c r="D36" s="2395"/>
      <c r="E36" s="2397"/>
      <c r="F36" s="2397"/>
      <c r="G36" s="2401"/>
      <c r="H36" s="1518"/>
      <c r="I36" s="2403"/>
      <c r="J36" s="2357"/>
      <c r="K36" s="1501"/>
      <c r="L36" s="2349"/>
      <c r="M36" s="2349"/>
      <c r="N36" s="1508"/>
      <c r="O36" s="2349"/>
      <c r="P36" s="2357"/>
      <c r="Q36" s="1509"/>
      <c r="R36" s="2349"/>
      <c r="S36" s="2349"/>
      <c r="T36" s="1510"/>
      <c r="U36" s="2349"/>
      <c r="V36" s="2357"/>
      <c r="W36" s="1511"/>
      <c r="X36" s="2349"/>
      <c r="Y36" s="2349"/>
      <c r="Z36" s="1508"/>
      <c r="AA36" s="2349"/>
      <c r="AB36" s="2357"/>
      <c r="AC36" s="1512"/>
      <c r="AD36" s="2349"/>
      <c r="AE36" s="2349"/>
      <c r="AF36" s="1513"/>
      <c r="AG36" s="1513"/>
      <c r="AH36" s="2406"/>
      <c r="AI36" s="2407"/>
      <c r="AJ36" s="1492"/>
      <c r="BM36" s="230">
        <v>14</v>
      </c>
    </row>
    <row r="37" spans="4:65" ht="14.65" customHeight="1">
      <c r="D37" s="2395"/>
      <c r="E37" s="2397"/>
      <c r="F37" s="2397"/>
      <c r="G37" s="2401"/>
      <c r="H37" s="1518"/>
      <c r="I37" s="2403"/>
      <c r="J37" s="2357"/>
      <c r="K37" s="1501"/>
      <c r="L37" s="2349"/>
      <c r="M37" s="2349"/>
      <c r="N37" s="1508"/>
      <c r="O37" s="2349"/>
      <c r="P37" s="2357"/>
      <c r="Q37" s="1509"/>
      <c r="R37" s="2349"/>
      <c r="S37" s="2349"/>
      <c r="T37" s="1510"/>
      <c r="U37" s="2349"/>
      <c r="V37" s="2357"/>
      <c r="W37" s="1511"/>
      <c r="X37" s="2349"/>
      <c r="Y37" s="2349"/>
      <c r="Z37" s="1430"/>
      <c r="AA37" s="1513"/>
      <c r="AB37" s="2406"/>
      <c r="AC37" s="2406"/>
      <c r="AD37" s="2406"/>
      <c r="AE37" s="2406"/>
      <c r="AF37" s="2406"/>
      <c r="AG37" s="2406"/>
      <c r="AH37" s="2406"/>
      <c r="AI37" s="2407"/>
      <c r="AJ37" s="1492"/>
      <c r="BM37" s="230">
        <v>14</v>
      </c>
    </row>
    <row r="38" spans="4:65" ht="14.65" customHeight="1">
      <c r="D38" s="2395"/>
      <c r="E38" s="2397"/>
      <c r="F38" s="2397"/>
      <c r="G38" s="2401"/>
      <c r="H38" s="1518"/>
      <c r="I38" s="2403"/>
      <c r="J38" s="2357"/>
      <c r="K38" s="1501"/>
      <c r="L38" s="2349"/>
      <c r="M38" s="2349"/>
      <c r="N38" s="1508"/>
      <c r="O38" s="2349"/>
      <c r="P38" s="2357"/>
      <c r="Q38" s="1509"/>
      <c r="R38" s="2349"/>
      <c r="S38" s="2349"/>
      <c r="T38" s="1514"/>
      <c r="U38" s="1515"/>
      <c r="V38" s="2406"/>
      <c r="W38" s="2406"/>
      <c r="X38" s="2406"/>
      <c r="Y38" s="2406"/>
      <c r="Z38" s="2406"/>
      <c r="AA38" s="2406"/>
      <c r="AB38" s="2406"/>
      <c r="AC38" s="2406"/>
      <c r="AD38" s="2406"/>
      <c r="AE38" s="2406"/>
      <c r="AF38" s="2406"/>
      <c r="AG38" s="2406"/>
      <c r="AH38" s="2406"/>
      <c r="AI38" s="2407"/>
      <c r="AJ38" s="1492"/>
      <c r="BM38" s="230">
        <v>14</v>
      </c>
    </row>
    <row r="39" spans="4:65" ht="11.45" customHeight="1">
      <c r="D39" s="2395"/>
      <c r="E39" s="2397"/>
      <c r="F39" s="2397"/>
      <c r="G39" s="2401"/>
      <c r="H39" s="1519"/>
      <c r="I39" s="2403"/>
      <c r="J39" s="2357"/>
      <c r="K39" s="1501"/>
      <c r="L39" s="2349"/>
      <c r="M39" s="2349"/>
      <c r="N39" s="1513"/>
      <c r="O39" s="1513"/>
      <c r="P39" s="2406"/>
      <c r="Q39" s="2406"/>
      <c r="R39" s="2406"/>
      <c r="S39" s="2406"/>
      <c r="T39" s="2406"/>
      <c r="U39" s="2406"/>
      <c r="V39" s="2406"/>
      <c r="W39" s="2406"/>
      <c r="X39" s="2406"/>
      <c r="Y39" s="2406"/>
      <c r="Z39" s="2406"/>
      <c r="AA39" s="2406"/>
      <c r="AB39" s="2406"/>
      <c r="AC39" s="2406"/>
      <c r="AD39" s="2406"/>
      <c r="AE39" s="2406"/>
      <c r="AF39" s="2406"/>
      <c r="AG39" s="2406"/>
      <c r="AH39" s="2406"/>
      <c r="AI39" s="2407"/>
      <c r="AJ39" s="1492"/>
      <c r="BM39" s="230">
        <v>11</v>
      </c>
    </row>
    <row r="40" spans="4:65" s="2013" customFormat="1" ht="11.45" customHeight="1">
      <c r="D40" s="2395"/>
      <c r="E40" s="2397"/>
      <c r="F40" s="2408"/>
      <c r="G40" s="2343"/>
      <c r="H40" s="1516"/>
      <c r="I40" s="1520"/>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5"/>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14" customWidth="1"/>
    <col min="2" max="2" width="34.5703125" style="2114" customWidth="1"/>
    <col min="3" max="3" width="85" style="2114" customWidth="1"/>
    <col min="4" max="4" width="17" style="2114" customWidth="1"/>
    <col min="5" max="5" width="8" style="2114" customWidth="1"/>
    <col min="6" max="6" width="9.140625" style="2114" hidden="1"/>
  </cols>
  <sheetData>
    <row r="1" spans="1:6" ht="3" customHeight="1">
      <c r="F1" s="29" t="s">
        <v>14</v>
      </c>
    </row>
    <row r="2" spans="1:6" ht="22.5" customHeight="1">
      <c r="B2" s="2694" t="s">
        <v>1955</v>
      </c>
      <c r="C2" s="2694"/>
      <c r="D2" s="2694"/>
      <c r="E2" s="205"/>
      <c r="F2" s="29">
        <v>22</v>
      </c>
    </row>
    <row r="3" spans="1:6" ht="3" customHeight="1">
      <c r="F3" s="29">
        <v>3</v>
      </c>
    </row>
    <row r="4" spans="1:6" ht="23.25" customHeight="1">
      <c r="B4" s="1989" t="s">
        <v>1956</v>
      </c>
      <c r="C4" s="319" t="s">
        <v>1957</v>
      </c>
      <c r="D4" s="319" t="s">
        <v>1958</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14" customWidth="1"/>
    <col min="2" max="2" width="10" style="2114" customWidth="1"/>
    <col min="3" max="3" width="9.140625" style="2114"/>
    <col min="4" max="4" width="11.140625" style="2114" customWidth="1"/>
    <col min="5" max="5" width="16.5703125" style="2114" customWidth="1"/>
    <col min="6" max="6" width="16.28515625" style="2114" customWidth="1"/>
    <col min="7" max="7" width="19.140625" style="2114" customWidth="1"/>
    <col min="8" max="11" width="10" style="2114" customWidth="1"/>
    <col min="12" max="12" width="12.7109375" style="2114" customWidth="1"/>
    <col min="13" max="13" width="61.28515625" style="2114" customWidth="1"/>
    <col min="14" max="14" width="10" style="2114" customWidth="1"/>
    <col min="15" max="17" width="23.7109375" style="2114" customWidth="1"/>
    <col min="18" max="18" width="11.7109375" style="2114" customWidth="1"/>
    <col min="19" max="19" width="8.5703125" style="2114" customWidth="1"/>
    <col min="20" max="20" width="11.7109375" style="2114" customWidth="1"/>
    <col min="21" max="21" width="8.5703125" style="2114" customWidth="1"/>
    <col min="22" max="22" width="4.7109375" style="2114" customWidth="1"/>
    <col min="23" max="23" width="115.7109375" style="2114" customWidth="1"/>
    <col min="24" max="24" width="115.28515625" style="2114" customWidth="1"/>
    <col min="25" max="27" width="9.140625" style="2114"/>
    <col min="28" max="28" width="115.7109375" style="2114" customWidth="1"/>
    <col min="29" max="29" width="9.140625" style="2114"/>
    <col min="30" max="90" width="115.7109375" style="2114" customWidth="1"/>
    <col min="91" max="184" width="9.140625" style="2114"/>
  </cols>
  <sheetData>
    <row r="2" spans="1:80" s="2078" customFormat="1" ht="17.25" customHeight="1">
      <c r="A2" s="1732" t="s">
        <v>1959</v>
      </c>
    </row>
    <row r="4" spans="1:80" s="2077" customFormat="1" ht="15" customHeight="1">
      <c r="C4" s="1733"/>
      <c r="D4" s="53"/>
      <c r="E4" s="313"/>
    </row>
    <row r="6" spans="1:80" s="2078" customFormat="1" ht="17.25" customHeight="1">
      <c r="A6" s="1732" t="s">
        <v>1960</v>
      </c>
    </row>
    <row r="8" spans="1:80" s="2077" customFormat="1" ht="17.25" customHeight="1">
      <c r="C8" s="1734"/>
      <c r="D8" s="53"/>
      <c r="E8" s="54"/>
    </row>
    <row r="11" spans="1:80" s="2078" customFormat="1" ht="17.25" customHeight="1">
      <c r="A11" s="1732" t="s">
        <v>1961</v>
      </c>
    </row>
    <row r="13" spans="1:80" s="2022" customFormat="1" ht="15" customHeight="1">
      <c r="A13" s="2434">
        <v>1</v>
      </c>
      <c r="B13" s="1078"/>
      <c r="C13" s="731" t="s">
        <v>686</v>
      </c>
      <c r="D13" s="1735"/>
      <c r="E13" s="1722">
        <f>A13</f>
        <v>1</v>
      </c>
      <c r="F13" s="734"/>
      <c r="G13" s="476" t="str">
        <f>"Территория "&amp;E13</f>
        <v>Территория 1</v>
      </c>
      <c r="H13" s="722"/>
      <c r="I13" s="722"/>
      <c r="J13" s="719"/>
      <c r="K13" s="1542"/>
      <c r="L13" s="1542"/>
      <c r="M13" s="1542"/>
      <c r="N13" s="163"/>
      <c r="O13" s="1542"/>
      <c r="P13" s="162"/>
      <c r="Q13" s="162"/>
      <c r="R13" s="162"/>
      <c r="S13" s="162"/>
    </row>
    <row r="14" spans="1:80" s="2114" customFormat="1" ht="15" customHeight="1">
      <c r="A14" s="2434"/>
      <c r="B14" s="1078">
        <v>1</v>
      </c>
      <c r="C14" s="1078"/>
      <c r="D14" s="730"/>
      <c r="E14" s="1730"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14" customFormat="1" ht="15" customHeight="1">
      <c r="A15" s="2434"/>
      <c r="B15" s="1078"/>
      <c r="C15" s="348"/>
      <c r="D15" s="731"/>
      <c r="E15" s="357"/>
      <c r="F15" s="114"/>
      <c r="G15" s="351" t="s">
        <v>101</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78" customFormat="1" ht="17.25" customHeight="1">
      <c r="A17" s="1732" t="s">
        <v>1962</v>
      </c>
    </row>
    <row r="19" spans="1:80" s="2114" customFormat="1" ht="15" customHeight="1">
      <c r="A19" s="1797"/>
      <c r="B19" s="1284">
        <v>1</v>
      </c>
      <c r="C19" s="1284"/>
      <c r="D19" s="730" t="s">
        <v>686</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14" customFormat="1" ht="15" customHeight="1">
      <c r="A21" s="1732" t="s">
        <v>1963</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14" customFormat="1" ht="15" customHeight="1">
      <c r="U22" s="122"/>
    </row>
    <row r="23" spans="1:80" s="2098" customFormat="1" ht="15" customHeight="1">
      <c r="A23" s="359"/>
      <c r="B23" s="359"/>
      <c r="C23" s="1645" t="s">
        <v>686</v>
      </c>
      <c r="D23" s="2339" t="s">
        <v>108</v>
      </c>
      <c r="E23" s="2340"/>
      <c r="F23" s="2338" t="s">
        <v>19</v>
      </c>
      <c r="G23" s="2714"/>
      <c r="H23" s="2328">
        <v>1</v>
      </c>
      <c r="I23" s="2716" t="str">
        <f>IF(U23="","",INDEX(TERRITORY_MR_LIST,MATCH(U23,TERRITORY_LIST_ID,0)))</f>
        <v/>
      </c>
      <c r="J23" s="2338" t="s">
        <v>19</v>
      </c>
      <c r="K23" s="762"/>
      <c r="L23" s="1699" t="s">
        <v>108</v>
      </c>
      <c r="M23" s="539"/>
      <c r="N23" s="540"/>
      <c r="O23" s="540"/>
      <c r="P23" s="540"/>
      <c r="Q23" s="540"/>
      <c r="R23" s="540"/>
      <c r="S23" s="540"/>
      <c r="T23" s="540"/>
      <c r="U23" s="541"/>
      <c r="V23" s="540"/>
      <c r="W23" s="540"/>
      <c r="X23" s="531"/>
      <c r="Y23" s="531" t="s">
        <v>117</v>
      </c>
      <c r="Z23" s="531">
        <v>1705000</v>
      </c>
      <c r="AA23" s="531"/>
      <c r="AB23" s="531"/>
      <c r="AC23" s="531"/>
      <c r="AD23" s="531"/>
      <c r="AE23" s="531"/>
      <c r="AF23" s="531"/>
      <c r="AG23" s="531"/>
      <c r="AH23" s="531"/>
      <c r="AI23" s="531"/>
      <c r="AJ23" s="531"/>
      <c r="AK23" s="531"/>
      <c r="AL23" s="531"/>
    </row>
    <row r="24" spans="1:80" s="2098" customFormat="1" ht="15" customHeight="1">
      <c r="A24" s="359"/>
      <c r="B24" s="359"/>
      <c r="C24" s="113"/>
      <c r="D24" s="2339"/>
      <c r="E24" s="2341"/>
      <c r="F24" s="2338"/>
      <c r="G24" s="2715"/>
      <c r="H24" s="2328"/>
      <c r="I24" s="2717"/>
      <c r="J24" s="2338"/>
      <c r="K24" s="357"/>
      <c r="L24" s="114"/>
      <c r="M24" s="543" t="s">
        <v>118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98" customFormat="1" ht="15" customHeight="1">
      <c r="A25" s="359"/>
      <c r="B25" s="359"/>
      <c r="C25" s="113"/>
      <c r="D25" s="2339"/>
      <c r="E25" s="2342"/>
      <c r="F25" s="2338"/>
      <c r="G25" s="357"/>
      <c r="H25" s="114"/>
      <c r="I25" s="516" t="s">
        <v>119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14" customFormat="1" ht="15" customHeight="1">
      <c r="U26" s="122"/>
    </row>
    <row r="27" spans="1:80" s="2114" customFormat="1" ht="15" customHeight="1">
      <c r="A27" s="1732" t="s">
        <v>1964</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14" customFormat="1" ht="15" customHeight="1">
      <c r="U28" s="122"/>
    </row>
    <row r="29" spans="1:80" s="2098" customFormat="1" ht="15" customHeight="1">
      <c r="A29" s="359"/>
      <c r="B29" s="359"/>
      <c r="C29" s="113"/>
      <c r="D29" s="1736"/>
      <c r="E29" s="1736"/>
      <c r="F29" s="1736"/>
      <c r="G29" s="2718" t="s">
        <v>686</v>
      </c>
      <c r="H29" s="2309">
        <v>1</v>
      </c>
      <c r="I29" s="2719" t="str">
        <f>IF(U29="","",INDEX(TERRITORY_MR_LIST,MATCH(U29,TERRITORY_LIST_ID,0)))</f>
        <v/>
      </c>
      <c r="J29" s="2338" t="s">
        <v>19</v>
      </c>
      <c r="K29" s="762"/>
      <c r="L29" s="1699" t="s">
        <v>108</v>
      </c>
      <c r="M29" s="539"/>
      <c r="N29" s="540"/>
      <c r="O29" s="540"/>
      <c r="P29" s="540"/>
      <c r="Q29" s="540"/>
      <c r="R29" s="540"/>
      <c r="S29" s="540"/>
      <c r="T29" s="540"/>
      <c r="U29" s="541"/>
      <c r="V29" s="540"/>
      <c r="W29" s="540"/>
      <c r="X29" s="531"/>
      <c r="Y29" s="531" t="s">
        <v>117</v>
      </c>
      <c r="Z29" s="531">
        <v>1705000</v>
      </c>
      <c r="AA29" s="531"/>
      <c r="AB29" s="531"/>
      <c r="AC29" s="531"/>
      <c r="AD29" s="531"/>
      <c r="AE29" s="531"/>
      <c r="AF29" s="531"/>
      <c r="AG29" s="531"/>
      <c r="AH29" s="531"/>
      <c r="AI29" s="531"/>
      <c r="AJ29" s="531"/>
      <c r="AK29" s="531"/>
      <c r="AL29" s="531"/>
    </row>
    <row r="30" spans="1:80" s="2098" customFormat="1" ht="15" customHeight="1">
      <c r="A30" s="359"/>
      <c r="B30" s="359"/>
      <c r="C30" s="113"/>
      <c r="D30" s="1736"/>
      <c r="E30" s="1736"/>
      <c r="F30" s="1736"/>
      <c r="G30" s="2718"/>
      <c r="H30" s="2309"/>
      <c r="I30" s="2719"/>
      <c r="J30" s="2338"/>
      <c r="K30" s="357"/>
      <c r="L30" s="114"/>
      <c r="M30" s="543" t="s">
        <v>118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14" customFormat="1" ht="15" customHeight="1">
      <c r="U31" s="122"/>
    </row>
    <row r="32" spans="1:80" s="2114" customFormat="1" ht="15" customHeight="1">
      <c r="A32" s="1732" t="s">
        <v>1965</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14" customFormat="1" ht="15" customHeight="1">
      <c r="U33" s="122"/>
    </row>
    <row r="34" spans="1:38" s="2098" customFormat="1" ht="15" customHeight="1">
      <c r="A34" s="359"/>
      <c r="B34" s="359"/>
      <c r="C34" s="113"/>
      <c r="D34" s="1736"/>
      <c r="E34" s="1736"/>
      <c r="F34" s="1736"/>
      <c r="G34" s="1736"/>
      <c r="H34" s="1736"/>
      <c r="I34" s="1736"/>
      <c r="J34" s="1736"/>
      <c r="K34" s="1716" t="s">
        <v>686</v>
      </c>
      <c r="L34" s="1646" t="s">
        <v>108</v>
      </c>
      <c r="M34" s="741"/>
      <c r="N34" s="742"/>
      <c r="O34" s="540"/>
      <c r="P34" s="540"/>
      <c r="Q34" s="540"/>
      <c r="R34" s="540"/>
      <c r="S34" s="540"/>
      <c r="T34" s="540"/>
      <c r="U34" s="541"/>
      <c r="V34" s="540"/>
      <c r="W34" s="540"/>
      <c r="X34" s="531"/>
      <c r="Y34" s="531" t="s">
        <v>117</v>
      </c>
      <c r="Z34" s="531">
        <v>1705000</v>
      </c>
      <c r="AA34" s="531"/>
      <c r="AB34" s="531"/>
      <c r="AC34" s="531"/>
      <c r="AD34" s="531"/>
      <c r="AE34" s="531"/>
      <c r="AF34" s="531"/>
      <c r="AG34" s="531"/>
      <c r="AH34" s="531"/>
      <c r="AI34" s="531"/>
      <c r="AJ34" s="531"/>
      <c r="AK34" s="531"/>
      <c r="AL34" s="531"/>
    </row>
    <row r="35" spans="1:38" s="2114" customFormat="1" ht="15" customHeight="1">
      <c r="U35" s="122"/>
    </row>
    <row r="36" spans="1:38" s="2114" customFormat="1" ht="15" customHeight="1">
      <c r="U36" s="122"/>
    </row>
    <row r="37" spans="1:38" s="2078" customFormat="1" ht="11.25" customHeight="1">
      <c r="A37" s="1732" t="s">
        <v>1966</v>
      </c>
    </row>
    <row r="38" spans="1:38" ht="11.25" customHeight="1"/>
    <row r="39" spans="1:38" s="2014" customFormat="1" ht="22.5" customHeight="1">
      <c r="A39" s="1708"/>
      <c r="B39" s="393"/>
      <c r="C39" s="785"/>
      <c r="D39" s="376"/>
      <c r="E39" s="786"/>
      <c r="F39" s="1729"/>
      <c r="G39" s="1737"/>
      <c r="H39" s="411"/>
    </row>
    <row r="40" spans="1:38" ht="11.25" customHeight="1"/>
    <row r="41" spans="1:38" s="2078" customFormat="1" ht="11.25" customHeight="1">
      <c r="A41" s="1732" t="s">
        <v>1967</v>
      </c>
    </row>
    <row r="42" spans="1:38" ht="11.25" customHeight="1"/>
    <row r="43" spans="1:38" s="2014" customFormat="1" ht="22.5" customHeight="1">
      <c r="A43" s="393"/>
      <c r="B43" s="393"/>
      <c r="C43" s="393"/>
      <c r="D43" s="376"/>
      <c r="E43" s="786"/>
      <c r="F43" s="787"/>
      <c r="G43" s="1737"/>
      <c r="H43" s="411"/>
    </row>
    <row r="44" spans="1:38" ht="11.25" customHeight="1"/>
    <row r="45" spans="1:38" s="2078" customFormat="1" ht="11.25" customHeight="1">
      <c r="A45" s="1732" t="s">
        <v>1968</v>
      </c>
    </row>
    <row r="46" spans="1:38" ht="11.25" customHeight="1"/>
    <row r="47" spans="1:38" s="2014" customFormat="1" ht="24" customHeight="1">
      <c r="A47" s="2410" t="s">
        <v>310</v>
      </c>
      <c r="B47" s="438"/>
      <c r="C47" s="2421"/>
      <c r="D47" s="381" t="str">
        <f>A47</f>
        <v>5.1</v>
      </c>
      <c r="E47" s="378" t="s">
        <v>311</v>
      </c>
      <c r="F47" s="1888" t="s">
        <v>303</v>
      </c>
      <c r="G47" s="380" t="s">
        <v>312</v>
      </c>
      <c r="H47" s="411"/>
      <c r="I47" s="778"/>
    </row>
    <row r="48" spans="1:38" s="2014" customFormat="1" ht="22.5" customHeight="1">
      <c r="A48" s="2410"/>
      <c r="B48" s="438"/>
      <c r="C48" s="2421"/>
      <c r="D48" s="376" t="str">
        <f>D47&amp;".1"</f>
        <v>5.1.1</v>
      </c>
      <c r="E48" s="375" t="s">
        <v>313</v>
      </c>
      <c r="F48" s="1889" t="s">
        <v>22</v>
      </c>
      <c r="G48" s="410"/>
      <c r="H48" s="411"/>
      <c r="I48" s="778"/>
    </row>
    <row r="49" spans="1:45" s="2014" customFormat="1" ht="22.5" customHeight="1">
      <c r="A49" s="2410"/>
      <c r="B49" s="438"/>
      <c r="C49" s="2421"/>
      <c r="D49" s="376" t="str">
        <f>D47&amp;".2"</f>
        <v>5.1.2</v>
      </c>
      <c r="E49" s="375" t="s">
        <v>314</v>
      </c>
      <c r="F49" s="1649" t="s">
        <v>22</v>
      </c>
      <c r="G49" s="380" t="s">
        <v>315</v>
      </c>
      <c r="H49" s="411"/>
      <c r="I49" s="778"/>
    </row>
    <row r="50" spans="1:45" s="2014" customFormat="1" ht="22.5" customHeight="1">
      <c r="A50" s="2410"/>
      <c r="B50" s="438"/>
      <c r="C50" s="2421"/>
      <c r="D50" s="376" t="str">
        <f>D47&amp;".3"</f>
        <v>5.1.3</v>
      </c>
      <c r="E50" s="375" t="s">
        <v>316</v>
      </c>
      <c r="F50" s="1889" t="s">
        <v>22</v>
      </c>
      <c r="G50" s="410"/>
      <c r="H50" s="411"/>
      <c r="I50" s="778"/>
    </row>
    <row r="51" spans="1:45" s="2014" customFormat="1" ht="22.5" customHeight="1">
      <c r="A51" s="2410"/>
      <c r="B51" s="438"/>
      <c r="C51" s="2421"/>
      <c r="D51" s="376" t="str">
        <f>D47&amp;".4"</f>
        <v>5.1.4</v>
      </c>
      <c r="E51" s="375" t="s">
        <v>317</v>
      </c>
      <c r="F51" s="1889" t="s">
        <v>22</v>
      </c>
      <c r="G51" s="380" t="s">
        <v>318</v>
      </c>
      <c r="H51" s="411"/>
      <c r="I51" s="778"/>
    </row>
    <row r="54" spans="1:45" s="2078" customFormat="1" ht="17.25" customHeight="1">
      <c r="A54" s="1732" t="s">
        <v>1969</v>
      </c>
    </row>
    <row r="56" spans="1:45" s="2021" customFormat="1" ht="18.75" customHeight="1">
      <c r="A56" s="29"/>
      <c r="B56" s="1738"/>
      <c r="C56" s="1738"/>
      <c r="D56" s="1739"/>
      <c r="E56" s="1726"/>
      <c r="F56" s="794">
        <v>13</v>
      </c>
      <c r="G56" s="793"/>
      <c r="H56" s="723"/>
      <c r="I56" s="721"/>
      <c r="J56" s="456" t="s">
        <v>67</v>
      </c>
      <c r="K56" s="1740" t="s">
        <v>22</v>
      </c>
      <c r="L56" s="29"/>
      <c r="M56" s="1554"/>
      <c r="N56" s="1554"/>
      <c r="O56" s="1554"/>
      <c r="P56" s="452" t="s">
        <v>389</v>
      </c>
      <c r="Q56" s="452" t="s">
        <v>390</v>
      </c>
      <c r="R56" s="453" t="s">
        <v>391</v>
      </c>
      <c r="S56" s="1554" t="s">
        <v>392</v>
      </c>
      <c r="T56" s="1554"/>
      <c r="U56" s="1554"/>
      <c r="V56" s="1554"/>
    </row>
    <row r="58" spans="1:45" s="2078" customFormat="1" ht="11.25" customHeight="1">
      <c r="A58" s="1732" t="s">
        <v>1970</v>
      </c>
    </row>
    <row r="60" spans="1:45" s="2062" customFormat="1" ht="14.25" customHeight="1">
      <c r="C60" s="1606"/>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4"/>
      <c r="AK60" s="1554"/>
      <c r="AL60" s="1554"/>
      <c r="AM60" s="1554"/>
      <c r="AN60" s="1554"/>
      <c r="AO60" s="1554"/>
      <c r="AP60" s="1542" t="s">
        <v>378</v>
      </c>
      <c r="AQ60" s="1542" t="s">
        <v>378</v>
      </c>
      <c r="AR60" s="1554"/>
      <c r="AS60" s="1554"/>
    </row>
    <row r="62" spans="1:45" s="2078" customFormat="1" ht="11.25" customHeight="1">
      <c r="A62" s="1732" t="s">
        <v>1971</v>
      </c>
    </row>
    <row r="64" spans="1:45" s="2093" customFormat="1" ht="15" customHeight="1">
      <c r="A64" s="83" t="s">
        <v>92</v>
      </c>
      <c r="B64" s="65" t="s">
        <v>22</v>
      </c>
      <c r="C64" s="1741"/>
      <c r="D64" s="68"/>
      <c r="E64" s="317"/>
      <c r="F64" s="317"/>
      <c r="G64" s="1720"/>
      <c r="H64" s="1740"/>
      <c r="I64" s="1721"/>
      <c r="K64" s="209"/>
      <c r="L64" s="210"/>
    </row>
    <row r="66" spans="1:30" s="2078" customFormat="1" ht="11.25" customHeight="1">
      <c r="A66" s="1732" t="s">
        <v>1972</v>
      </c>
    </row>
    <row r="68" spans="1:30" s="2062" customFormat="1" ht="14.25" customHeight="1">
      <c r="A68" s="280"/>
      <c r="B68" s="1078"/>
      <c r="C68" s="312"/>
      <c r="D68" s="1727"/>
      <c r="E68" s="811"/>
      <c r="F68" s="1740"/>
      <c r="G68" s="29"/>
      <c r="I68" s="1542"/>
      <c r="J68" s="1542"/>
    </row>
    <row r="70" spans="1:30" s="2078" customFormat="1" ht="11.25" customHeight="1">
      <c r="A70" s="1732" t="s">
        <v>1973</v>
      </c>
    </row>
    <row r="72" spans="1:30" s="2062" customFormat="1" ht="27" customHeight="1">
      <c r="A72" s="1084"/>
      <c r="B72" s="1084"/>
      <c r="C72" s="1084"/>
      <c r="D72" s="1078"/>
      <c r="E72" s="1742"/>
      <c r="F72" s="2575"/>
      <c r="G72" s="2576"/>
      <c r="H72" s="2577" t="s">
        <v>67</v>
      </c>
      <c r="I72" s="2579"/>
      <c r="J72" s="2581"/>
      <c r="K72" s="2583"/>
      <c r="L72" s="2584"/>
      <c r="M72" s="2584"/>
      <c r="N72" s="2588"/>
      <c r="O72" s="2588"/>
      <c r="P72" s="2589" t="e">
        <f>DATEDIF(DATEVALUE(N72),DATEVALUE(O72),"y")&amp;"г. "&amp;DATEDIF(DATEVALUE(N72),DATEVALUE(O72),"ym")&amp;"мес. "&amp;DATEVALUE(O72)-DATE(YEAR(DATEVALUE(O72)),MONTH(DATEVALUE(O72)),1)&amp;"дн. "</f>
        <v>#VALUE!</v>
      </c>
      <c r="Q72" s="2585"/>
      <c r="R72" s="2585"/>
      <c r="S72" s="2585"/>
      <c r="T72" s="2581"/>
      <c r="U72" s="2585"/>
      <c r="V72" s="2585"/>
      <c r="W72" s="2585"/>
      <c r="X72" s="2581"/>
      <c r="Y72" s="2586" t="s">
        <v>67</v>
      </c>
      <c r="Z72" s="1725"/>
      <c r="AA72" s="1709">
        <v>1</v>
      </c>
      <c r="AB72" s="1160"/>
      <c r="AD72" s="1554" t="s">
        <v>1974</v>
      </c>
    </row>
    <row r="73" spans="1:30" s="2062" customFormat="1" ht="10.5" customHeight="1">
      <c r="A73" s="1084"/>
      <c r="B73" s="1084"/>
      <c r="C73" s="1084"/>
      <c r="D73" s="1078"/>
      <c r="E73" s="872"/>
      <c r="F73" s="2575"/>
      <c r="G73" s="2576"/>
      <c r="H73" s="2578"/>
      <c r="I73" s="2580"/>
      <c r="J73" s="2582"/>
      <c r="K73" s="2583"/>
      <c r="L73" s="2584"/>
      <c r="M73" s="2584"/>
      <c r="N73" s="2588"/>
      <c r="O73" s="2588"/>
      <c r="P73" s="2589"/>
      <c r="Q73" s="2585"/>
      <c r="R73" s="2585"/>
      <c r="S73" s="2585"/>
      <c r="T73" s="2582"/>
      <c r="U73" s="2585"/>
      <c r="V73" s="2585"/>
      <c r="W73" s="2585"/>
      <c r="X73" s="2582"/>
      <c r="Y73" s="2587"/>
      <c r="Z73" s="284"/>
      <c r="AA73" s="508"/>
      <c r="AB73" s="588" t="s">
        <v>993</v>
      </c>
    </row>
    <row r="75" spans="1:30" s="2078" customFormat="1" ht="11.25" customHeight="1">
      <c r="A75" s="1732" t="s">
        <v>1975</v>
      </c>
    </row>
    <row r="77" spans="1:30" s="2062"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1974</v>
      </c>
    </row>
    <row r="79" spans="1:30" s="2078" customFormat="1" ht="11.25" customHeight="1">
      <c r="A79" s="1732" t="s">
        <v>1976</v>
      </c>
    </row>
    <row r="80" spans="1:30" ht="17.25" customHeight="1"/>
    <row r="81" spans="1:58" s="2062" customFormat="1" ht="21" customHeight="1">
      <c r="A81" s="1085"/>
      <c r="B81" s="1084"/>
      <c r="C81" s="1084"/>
      <c r="D81" s="1078"/>
      <c r="E81" s="1088"/>
      <c r="F81" s="1041" t="e">
        <f>INDEX(IP_MAIN_LIST_NAME_IP,MATCH(A81,IP_MAIN_LIST_IP_ID,0))&amp;" ("&amp;INDEX(IP_MAIN_START_DATE,MATCH(A81,IP_MAIN_LIST_IP_ID,0))&amp;"-"&amp;INDEX(IP_MAIN_END_DATE,MATCH(A81,IP_MAIN_LIST_IP_ID,0))&amp;")"</f>
        <v>#N/A</v>
      </c>
      <c r="G81" s="1042"/>
      <c r="H81" s="1042"/>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62" customFormat="1" ht="0.75" customHeight="1">
      <c r="A82" s="1084"/>
      <c r="B82" s="1084"/>
      <c r="C82" s="1084"/>
      <c r="D82" s="1078"/>
      <c r="E82" s="1088"/>
      <c r="F82" s="2604"/>
      <c r="G82" s="2601"/>
      <c r="H82" s="2609" t="s">
        <v>373</v>
      </c>
      <c r="I82" s="2610"/>
      <c r="J82" s="2600"/>
      <c r="K82" s="2600"/>
      <c r="L82" s="2602"/>
      <c r="M82" s="2453"/>
      <c r="N82" s="1948"/>
      <c r="O82" s="1947"/>
      <c r="P82" s="1948"/>
      <c r="Q82" s="1948"/>
      <c r="R82" s="1948"/>
      <c r="S82" s="1948"/>
      <c r="T82" s="1948"/>
      <c r="U82" s="1948"/>
      <c r="V82" s="1948"/>
      <c r="W82" s="1948"/>
      <c r="X82" s="1948"/>
      <c r="Y82" s="1948"/>
      <c r="Z82" s="1948"/>
      <c r="AA82" s="1948"/>
      <c r="AB82" s="1948"/>
      <c r="AC82" s="1948"/>
      <c r="AD82" s="1948"/>
      <c r="AE82" s="1948"/>
      <c r="AF82" s="2608"/>
      <c r="AG82" s="2602"/>
      <c r="AH82" s="2602"/>
      <c r="AI82" s="2608"/>
      <c r="AJ82" s="2602"/>
      <c r="AK82" s="2602"/>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62" customFormat="1" ht="0.75" customHeight="1">
      <c r="A83" s="1084"/>
      <c r="B83" s="1084"/>
      <c r="C83" s="1084"/>
      <c r="D83" s="1078"/>
      <c r="E83" s="1088"/>
      <c r="F83" s="2604"/>
      <c r="G83" s="2601"/>
      <c r="H83" s="2609"/>
      <c r="I83" s="2610"/>
      <c r="J83" s="2600"/>
      <c r="K83" s="2600"/>
      <c r="L83" s="2602"/>
      <c r="M83" s="2453"/>
      <c r="N83" s="2611"/>
      <c r="O83" s="2612"/>
      <c r="P83" s="2597"/>
      <c r="Q83" s="2600"/>
      <c r="R83" s="2600"/>
      <c r="S83" s="2600"/>
      <c r="T83" s="2600"/>
      <c r="U83" s="2600"/>
      <c r="V83" s="2600"/>
      <c r="W83" s="2600"/>
      <c r="X83" s="2600"/>
      <c r="Y83" s="2600"/>
      <c r="Z83" s="1949"/>
      <c r="AA83" s="1950"/>
      <c r="AB83" s="1950"/>
      <c r="AC83" s="1951"/>
      <c r="AD83" s="1951"/>
      <c r="AE83" s="1952"/>
      <c r="AF83" s="2608"/>
      <c r="AG83" s="2602"/>
      <c r="AH83" s="2602"/>
      <c r="AI83" s="2608"/>
      <c r="AJ83" s="2602"/>
      <c r="AK83" s="2602"/>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62" customFormat="1" ht="0.75" customHeight="1">
      <c r="A84" s="1084"/>
      <c r="B84" s="1084"/>
      <c r="C84" s="1084"/>
      <c r="D84" s="1078"/>
      <c r="E84" s="1088"/>
      <c r="F84" s="2604"/>
      <c r="G84" s="2601"/>
      <c r="H84" s="2609"/>
      <c r="I84" s="2610"/>
      <c r="J84" s="2600"/>
      <c r="K84" s="2600"/>
      <c r="L84" s="2602"/>
      <c r="M84" s="2453"/>
      <c r="N84" s="2611"/>
      <c r="O84" s="2612"/>
      <c r="P84" s="2598"/>
      <c r="Q84" s="2600"/>
      <c r="R84" s="2600"/>
      <c r="S84" s="2600"/>
      <c r="T84" s="2600"/>
      <c r="U84" s="2600"/>
      <c r="V84" s="2600"/>
      <c r="W84" s="2600"/>
      <c r="X84" s="2600"/>
      <c r="Y84" s="2600"/>
      <c r="Z84" s="1953"/>
      <c r="AA84" s="1954"/>
      <c r="AB84" s="1955"/>
      <c r="AC84" s="1956"/>
      <c r="AD84" s="1955"/>
      <c r="AE84" s="1956"/>
      <c r="AF84" s="2608"/>
      <c r="AG84" s="2602"/>
      <c r="AH84" s="2602"/>
      <c r="AI84" s="2608"/>
      <c r="AJ84" s="2602"/>
      <c r="AK84" s="2602"/>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62" customFormat="1" ht="0.75" customHeight="1">
      <c r="A85" s="1084"/>
      <c r="B85" s="1084"/>
      <c r="C85" s="1084"/>
      <c r="D85" s="1078"/>
      <c r="E85" s="1088"/>
      <c r="F85" s="2604"/>
      <c r="G85" s="2601"/>
      <c r="H85" s="2609"/>
      <c r="I85" s="2610"/>
      <c r="J85" s="2600"/>
      <c r="K85" s="2600"/>
      <c r="L85" s="2602"/>
      <c r="M85" s="2453"/>
      <c r="N85" s="2611"/>
      <c r="O85" s="2612"/>
      <c r="P85" s="2599"/>
      <c r="Q85" s="2600"/>
      <c r="R85" s="2600"/>
      <c r="S85" s="2600"/>
      <c r="T85" s="2600"/>
      <c r="U85" s="2600"/>
      <c r="V85" s="2600"/>
      <c r="W85" s="2600"/>
      <c r="X85" s="2600"/>
      <c r="Y85" s="2600"/>
      <c r="Z85" s="1949"/>
      <c r="AA85" s="1950"/>
      <c r="AB85" s="1957"/>
      <c r="AC85" s="1951"/>
      <c r="AD85" s="1951"/>
      <c r="AE85" s="1958"/>
      <c r="AF85" s="2608"/>
      <c r="AG85" s="2602"/>
      <c r="AH85" s="2602"/>
      <c r="AI85" s="2608"/>
      <c r="AJ85" s="2602"/>
      <c r="AK85" s="2602"/>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62" customFormat="1" ht="0.75" customHeight="1">
      <c r="A86" s="1084"/>
      <c r="B86" s="1084"/>
      <c r="C86" s="1084"/>
      <c r="D86" s="1078"/>
      <c r="E86" s="1088"/>
      <c r="F86" s="2604"/>
      <c r="G86" s="2601"/>
      <c r="H86" s="2609"/>
      <c r="I86" s="2610"/>
      <c r="J86" s="2600"/>
      <c r="K86" s="2600"/>
      <c r="L86" s="2602"/>
      <c r="M86" s="2453"/>
      <c r="N86" s="1950"/>
      <c r="O86" s="1950"/>
      <c r="P86" s="1957"/>
      <c r="Q86" s="1950"/>
      <c r="R86" s="1950"/>
      <c r="S86" s="1950"/>
      <c r="T86" s="1950"/>
      <c r="U86" s="1950"/>
      <c r="V86" s="1950"/>
      <c r="W86" s="1950"/>
      <c r="X86" s="1950"/>
      <c r="Y86" s="1950"/>
      <c r="Z86" s="1950"/>
      <c r="AA86" s="1950"/>
      <c r="AB86" s="1950"/>
      <c r="AC86" s="1950"/>
      <c r="AD86" s="1950"/>
      <c r="AE86" s="1959"/>
      <c r="AF86" s="2608"/>
      <c r="AG86" s="2602"/>
      <c r="AH86" s="2602"/>
      <c r="AI86" s="2608"/>
      <c r="AJ86" s="2602"/>
      <c r="AK86" s="2602"/>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62" customFormat="1" ht="12" customHeight="1">
      <c r="A87" s="1084"/>
      <c r="B87" s="1084"/>
      <c r="C87" s="1084"/>
      <c r="D87" s="1078"/>
      <c r="E87" s="1088"/>
      <c r="F87" s="2607"/>
      <c r="G87" s="1108"/>
      <c r="H87" s="1108"/>
      <c r="I87" s="2603" t="s">
        <v>1063</v>
      </c>
      <c r="J87" s="2603"/>
      <c r="K87" s="2603"/>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078" customFormat="1" ht="11.25" customHeight="1">
      <c r="A89" s="1732" t="s">
        <v>1977</v>
      </c>
    </row>
    <row r="91" spans="1:58" s="2062" customFormat="1" ht="11.25" customHeight="1">
      <c r="A91" s="1084"/>
      <c r="B91" s="1084"/>
      <c r="C91" s="1084"/>
      <c r="D91" s="1078"/>
      <c r="E91" s="1088"/>
      <c r="F91" s="1744"/>
      <c r="G91" s="1745"/>
      <c r="H91" s="1745"/>
      <c r="I91" s="1681"/>
      <c r="J91" s="1681"/>
      <c r="K91" s="1746"/>
      <c r="L91" s="1681"/>
      <c r="M91" s="1745"/>
      <c r="N91" s="2618"/>
      <c r="O91" s="2695">
        <v>1</v>
      </c>
      <c r="P91" s="2620" t="s">
        <v>19</v>
      </c>
      <c r="Q91" s="2573" t="s">
        <v>22</v>
      </c>
      <c r="R91" s="2573" t="s">
        <v>22</v>
      </c>
      <c r="S91" s="2573" t="s">
        <v>22</v>
      </c>
      <c r="T91" s="2573" t="s">
        <v>22</v>
      </c>
      <c r="U91" s="2573" t="s">
        <v>22</v>
      </c>
      <c r="V91" s="2573" t="s">
        <v>22</v>
      </c>
      <c r="W91" s="2573" t="s">
        <v>22</v>
      </c>
      <c r="X91" s="2573" t="s">
        <v>22</v>
      </c>
      <c r="Y91" s="2573"/>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62" customFormat="1" ht="11.25" customHeight="1">
      <c r="A92" s="1084"/>
      <c r="B92" s="1084"/>
      <c r="C92" s="1084"/>
      <c r="D92" s="1078"/>
      <c r="E92" s="1088"/>
      <c r="F92" s="1744"/>
      <c r="G92" s="1745"/>
      <c r="H92" s="1745"/>
      <c r="I92" s="1682"/>
      <c r="J92" s="1682"/>
      <c r="K92" s="1746"/>
      <c r="L92" s="1682"/>
      <c r="M92" s="1745"/>
      <c r="N92" s="2618"/>
      <c r="O92" s="2695"/>
      <c r="P92" s="2621"/>
      <c r="Q92" s="2573"/>
      <c r="R92" s="2573"/>
      <c r="S92" s="2623"/>
      <c r="T92" s="2573"/>
      <c r="U92" s="2573"/>
      <c r="V92" s="2573"/>
      <c r="W92" s="2573"/>
      <c r="X92" s="2573"/>
      <c r="Y92" s="2573"/>
      <c r="Z92" s="1743"/>
      <c r="AA92" s="1711">
        <v>1</v>
      </c>
      <c r="AB92" s="1097"/>
      <c r="AC92" s="1087"/>
      <c r="AD92" s="1097">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62" customFormat="1" ht="11.25" customHeight="1">
      <c r="A93" s="1084"/>
      <c r="B93" s="1084"/>
      <c r="C93" s="1084"/>
      <c r="D93" s="1078"/>
      <c r="E93" s="1088"/>
      <c r="F93" s="1744"/>
      <c r="G93" s="1745"/>
      <c r="H93" s="1745"/>
      <c r="I93" s="1683"/>
      <c r="J93" s="1683"/>
      <c r="K93" s="1746"/>
      <c r="L93" s="1683"/>
      <c r="M93" s="1745"/>
      <c r="N93" s="2618"/>
      <c r="O93" s="2695"/>
      <c r="P93" s="2622"/>
      <c r="Q93" s="2573"/>
      <c r="R93" s="2573"/>
      <c r="S93" s="2623"/>
      <c r="T93" s="2573"/>
      <c r="U93" s="2573"/>
      <c r="V93" s="2573"/>
      <c r="W93" s="2573"/>
      <c r="X93" s="2573"/>
      <c r="Y93" s="2573"/>
      <c r="Z93" s="1093"/>
      <c r="AA93" s="1094"/>
      <c r="AB93" s="1159" t="s">
        <v>1029</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078" customFormat="1" ht="11.25" customHeight="1">
      <c r="A95" s="1732" t="s">
        <v>1978</v>
      </c>
    </row>
    <row r="97" spans="1:184" s="2062"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078" customFormat="1" ht="11.25" customHeight="1">
      <c r="A99" s="1732" t="s">
        <v>1979</v>
      </c>
    </row>
    <row r="101" spans="1:184" s="2062" customFormat="1" ht="11.25" customHeight="1">
      <c r="A101" s="1084"/>
      <c r="B101" s="1084"/>
      <c r="C101" s="1084"/>
      <c r="D101" s="1078"/>
      <c r="E101" s="1088"/>
      <c r="F101" s="1744"/>
      <c r="G101" s="1745"/>
      <c r="H101" s="2601" t="s">
        <v>108</v>
      </c>
      <c r="I101" s="2613"/>
      <c r="J101" s="2624"/>
      <c r="K101" s="2615"/>
      <c r="L101" s="2338" t="s">
        <v>19</v>
      </c>
      <c r="M101" s="2339"/>
      <c r="N101" s="1898"/>
      <c r="O101" s="1095" t="s">
        <v>373</v>
      </c>
      <c r="P101" s="1096"/>
      <c r="Q101" s="1096"/>
      <c r="R101" s="1096"/>
      <c r="S101" s="1096"/>
      <c r="T101" s="1096"/>
      <c r="U101" s="1096"/>
      <c r="V101" s="1096"/>
      <c r="W101" s="1096"/>
      <c r="X101" s="1096"/>
      <c r="Y101" s="1096"/>
      <c r="Z101" s="1096"/>
      <c r="AA101" s="1096"/>
      <c r="AB101" s="1096"/>
      <c r="AC101" s="1096"/>
      <c r="AD101" s="1096"/>
      <c r="AE101" s="1096"/>
      <c r="AF101" s="2616"/>
      <c r="AG101" s="2617"/>
      <c r="AH101" s="2617"/>
      <c r="AI101" s="2616"/>
      <c r="AJ101" s="2617"/>
      <c r="AK101" s="2617"/>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62" customFormat="1" ht="11.25" customHeight="1">
      <c r="A102" s="1084"/>
      <c r="B102" s="1084"/>
      <c r="C102" s="1084"/>
      <c r="D102" s="1078"/>
      <c r="E102" s="1088"/>
      <c r="F102" s="1744"/>
      <c r="G102" s="1745"/>
      <c r="H102" s="2601"/>
      <c r="I102" s="2613"/>
      <c r="J102" s="2624"/>
      <c r="K102" s="2615"/>
      <c r="L102" s="2338"/>
      <c r="M102" s="2339"/>
      <c r="N102" s="2618"/>
      <c r="O102" s="2619">
        <v>1</v>
      </c>
      <c r="P102" s="2620" t="s">
        <v>19</v>
      </c>
      <c r="Q102" s="2573" t="s">
        <v>22</v>
      </c>
      <c r="R102" s="2573" t="s">
        <v>22</v>
      </c>
      <c r="S102" s="2573" t="s">
        <v>22</v>
      </c>
      <c r="T102" s="2573" t="s">
        <v>22</v>
      </c>
      <c r="U102" s="2573" t="s">
        <v>22</v>
      </c>
      <c r="V102" s="2573" t="s">
        <v>22</v>
      </c>
      <c r="W102" s="2573" t="s">
        <v>22</v>
      </c>
      <c r="X102" s="2573" t="s">
        <v>22</v>
      </c>
      <c r="Y102" s="2573"/>
      <c r="Z102" s="1093"/>
      <c r="AA102" s="1094"/>
      <c r="AB102" s="1094"/>
      <c r="AC102" s="1098"/>
      <c r="AD102" s="1098"/>
      <c r="AE102" s="1099"/>
      <c r="AF102" s="2616"/>
      <c r="AG102" s="2617"/>
      <c r="AH102" s="2617"/>
      <c r="AI102" s="2616"/>
      <c r="AJ102" s="2617"/>
      <c r="AK102" s="2617"/>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62" customFormat="1" ht="11.25" customHeight="1">
      <c r="A103" s="1084"/>
      <c r="B103" s="1084"/>
      <c r="C103" s="1084"/>
      <c r="D103" s="1078"/>
      <c r="E103" s="1088"/>
      <c r="F103" s="1744"/>
      <c r="G103" s="1745"/>
      <c r="H103" s="2601"/>
      <c r="I103" s="2613"/>
      <c r="J103" s="2624"/>
      <c r="K103" s="2615"/>
      <c r="L103" s="2338"/>
      <c r="M103" s="2339"/>
      <c r="N103" s="2618"/>
      <c r="O103" s="2619"/>
      <c r="P103" s="2621"/>
      <c r="Q103" s="2573"/>
      <c r="R103" s="2573"/>
      <c r="S103" s="2623"/>
      <c r="T103" s="2573"/>
      <c r="U103" s="2573"/>
      <c r="V103" s="2573"/>
      <c r="W103" s="2573"/>
      <c r="X103" s="2573"/>
      <c r="Y103" s="2573"/>
      <c r="Z103" s="1743"/>
      <c r="AA103" s="1711">
        <v>1</v>
      </c>
      <c r="AB103" s="1097"/>
      <c r="AC103" s="1087"/>
      <c r="AD103" s="1097">
        <f>AB103</f>
        <v>0</v>
      </c>
      <c r="AE103" s="1087"/>
      <c r="AF103" s="2616"/>
      <c r="AG103" s="2617"/>
      <c r="AH103" s="2617"/>
      <c r="AI103" s="2616"/>
      <c r="AJ103" s="2617"/>
      <c r="AK103" s="2617"/>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62" customFormat="1" ht="11.25" customHeight="1">
      <c r="A104" s="1084"/>
      <c r="B104" s="1084"/>
      <c r="C104" s="1084"/>
      <c r="D104" s="1078"/>
      <c r="E104" s="1088"/>
      <c r="F104" s="1744"/>
      <c r="G104" s="1745"/>
      <c r="H104" s="2601"/>
      <c r="I104" s="2613"/>
      <c r="J104" s="2624"/>
      <c r="K104" s="2615"/>
      <c r="L104" s="2338"/>
      <c r="M104" s="2339"/>
      <c r="N104" s="2618"/>
      <c r="O104" s="2619"/>
      <c r="P104" s="2622"/>
      <c r="Q104" s="2573"/>
      <c r="R104" s="2573"/>
      <c r="S104" s="2623"/>
      <c r="T104" s="2573"/>
      <c r="U104" s="2573"/>
      <c r="V104" s="2573"/>
      <c r="W104" s="2573"/>
      <c r="X104" s="2573"/>
      <c r="Y104" s="2573"/>
      <c r="Z104" s="1093"/>
      <c r="AA104" s="1094"/>
      <c r="AB104" s="1159" t="s">
        <v>1029</v>
      </c>
      <c r="AC104" s="1098"/>
      <c r="AD104" s="1098"/>
      <c r="AE104" s="1100"/>
      <c r="AF104" s="2616"/>
      <c r="AG104" s="2617"/>
      <c r="AH104" s="2617"/>
      <c r="AI104" s="2616"/>
      <c r="AJ104" s="2617"/>
      <c r="AK104" s="2617"/>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62" customFormat="1" ht="11.25" customHeight="1">
      <c r="A105" s="1084"/>
      <c r="B105" s="1084"/>
      <c r="C105" s="1084"/>
      <c r="D105" s="1078"/>
      <c r="E105" s="1088"/>
      <c r="F105" s="1744"/>
      <c r="G105" s="1745"/>
      <c r="H105" s="2601"/>
      <c r="I105" s="2613"/>
      <c r="J105" s="2624"/>
      <c r="K105" s="2615"/>
      <c r="L105" s="2338"/>
      <c r="M105" s="2339"/>
      <c r="N105" s="1093"/>
      <c r="O105" s="1094"/>
      <c r="P105" s="1086" t="s">
        <v>1030</v>
      </c>
      <c r="Q105" s="1094"/>
      <c r="R105" s="1094"/>
      <c r="S105" s="1094"/>
      <c r="T105" s="1094"/>
      <c r="U105" s="1094"/>
      <c r="V105" s="1094"/>
      <c r="W105" s="1094"/>
      <c r="X105" s="1094"/>
      <c r="Y105" s="1094"/>
      <c r="Z105" s="1094"/>
      <c r="AA105" s="1094"/>
      <c r="AB105" s="1094"/>
      <c r="AC105" s="1094"/>
      <c r="AD105" s="1094"/>
      <c r="AE105" s="1101"/>
      <c r="AF105" s="2616"/>
      <c r="AG105" s="2617"/>
      <c r="AH105" s="2617"/>
      <c r="AI105" s="2616"/>
      <c r="AJ105" s="2617"/>
      <c r="AK105" s="2617"/>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078" customFormat="1" ht="11.25" customHeight="1">
      <c r="A107" s="1732" t="s">
        <v>1980</v>
      </c>
    </row>
    <row r="108" spans="1:184" ht="17.25" customHeight="1"/>
    <row r="109" spans="1:184" s="2045" customFormat="1" ht="21" customHeight="1">
      <c r="A109" s="1085"/>
      <c r="B109" s="865"/>
      <c r="D109" s="849"/>
      <c r="E109" s="864" t="s">
        <v>22</v>
      </c>
      <c r="F109" s="1040"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45" customFormat="1" ht="24.75" customHeight="1">
      <c r="B110" s="848"/>
      <c r="C110" s="849"/>
      <c r="D110" s="849"/>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45" customFormat="1" ht="12" customHeight="1">
      <c r="A111" s="849"/>
      <c r="B111" s="848"/>
      <c r="C111" s="849"/>
      <c r="D111" s="849"/>
      <c r="E111" s="849"/>
      <c r="F111" s="1131"/>
      <c r="G111" s="1717" t="s">
        <v>1184</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6"/>
      <c r="FZ111" s="866"/>
      <c r="GA111" s="866"/>
      <c r="GB111" s="866"/>
    </row>
    <row r="113" spans="1:83" s="2078" customFormat="1" ht="11.25" customHeight="1">
      <c r="A113" s="1732" t="s">
        <v>1981</v>
      </c>
    </row>
    <row r="115" spans="1:83" s="2114" customFormat="1" ht="15" customHeight="1">
      <c r="A115" s="559"/>
      <c r="B115" s="560"/>
      <c r="C115" s="560"/>
      <c r="D115" s="2700" t="s">
        <v>108</v>
      </c>
      <c r="E115" s="2554" t="s">
        <v>104</v>
      </c>
      <c r="F115" s="2555"/>
      <c r="G115" s="2556"/>
      <c r="H115" s="2550" t="str">
        <f>IF(A115="","",INDEX(DIFFERENTIATION_UNMERGE_VD,MATCH(A115,DIFFERENTIATION_ID_DIFF,0)))</f>
        <v/>
      </c>
      <c r="I115" s="2550"/>
      <c r="J115" s="2550"/>
      <c r="K115" s="2550"/>
      <c r="L115" s="2550"/>
      <c r="M115" s="2550"/>
      <c r="N115" s="2550"/>
      <c r="O115" s="2550"/>
      <c r="P115" s="2550"/>
      <c r="Q115" s="2550"/>
      <c r="R115" s="2550"/>
      <c r="S115" s="655"/>
      <c r="T115" s="652"/>
      <c r="U115" s="561"/>
      <c r="V115" s="561"/>
      <c r="W115" s="562"/>
      <c r="X115" s="562"/>
      <c r="Y115" s="562"/>
      <c r="Z115" s="562"/>
      <c r="AA115" s="563"/>
      <c r="AB115" s="564"/>
      <c r="AC115" s="2553"/>
      <c r="AD115" s="565"/>
      <c r="AE115" s="566" t="s">
        <v>22</v>
      </c>
      <c r="AF115" s="566"/>
      <c r="AG115" s="567" t="s">
        <v>606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14" customFormat="1" ht="15" customHeight="1">
      <c r="A116" s="559"/>
      <c r="B116" s="560"/>
      <c r="C116" s="560"/>
      <c r="D116" s="2701"/>
      <c r="E116" s="2554" t="s">
        <v>561</v>
      </c>
      <c r="F116" s="2555"/>
      <c r="G116" s="2556"/>
      <c r="H116" s="2550" t="str">
        <f>IF(A115="","",INDEX(DIFFERENTIATION_UNMERGE_AREA,MATCH(A115,DIFFERENTIATION_ID_DIFF,0)))</f>
        <v/>
      </c>
      <c r="I116" s="2550"/>
      <c r="J116" s="2550"/>
      <c r="K116" s="2550"/>
      <c r="L116" s="2550"/>
      <c r="M116" s="2550"/>
      <c r="N116" s="2550"/>
      <c r="O116" s="2550"/>
      <c r="P116" s="2550"/>
      <c r="Q116" s="2550"/>
      <c r="R116" s="2550"/>
      <c r="S116" s="655"/>
      <c r="T116" s="652"/>
      <c r="U116" s="561"/>
      <c r="V116" s="561"/>
      <c r="W116" s="562"/>
      <c r="X116" s="562"/>
      <c r="Y116" s="562"/>
      <c r="Z116" s="562"/>
      <c r="AA116" s="563"/>
      <c r="AB116" s="564"/>
      <c r="AC116" s="255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14" customFormat="1" ht="15" customHeight="1">
      <c r="A117" s="559"/>
      <c r="B117" s="560"/>
      <c r="C117" s="560"/>
      <c r="D117" s="2701"/>
      <c r="E117" s="2554" t="s">
        <v>562</v>
      </c>
      <c r="F117" s="2555"/>
      <c r="G117" s="2556"/>
      <c r="H117" s="2550" t="str">
        <f>IF(A115="","",INDEX(DIFFERENTIATION_UNMERGE_SYSTEM,MATCH(A115,DIFFERENTIATION_ID_DIFF,0)))</f>
        <v/>
      </c>
      <c r="I117" s="2550"/>
      <c r="J117" s="2550"/>
      <c r="K117" s="2550"/>
      <c r="L117" s="2550"/>
      <c r="M117" s="2550"/>
      <c r="N117" s="2550"/>
      <c r="O117" s="2550"/>
      <c r="P117" s="2550"/>
      <c r="Q117" s="2550"/>
      <c r="R117" s="2550"/>
      <c r="S117" s="655"/>
      <c r="T117" s="652"/>
      <c r="U117" s="561"/>
      <c r="V117" s="561"/>
      <c r="W117" s="562"/>
      <c r="X117" s="562"/>
      <c r="Y117" s="562"/>
      <c r="Z117" s="562"/>
      <c r="AA117" s="563"/>
      <c r="AB117" s="564"/>
      <c r="AC117" s="255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14" customFormat="1" ht="24.75" customHeight="1">
      <c r="A118" s="1723"/>
      <c r="B118" s="1078"/>
      <c r="C118" s="348"/>
      <c r="D118" s="2701"/>
      <c r="E118" s="2552" t="s">
        <v>607</v>
      </c>
      <c r="F118" s="2552"/>
      <c r="G118" s="2552"/>
      <c r="H118" s="2552"/>
      <c r="I118" s="2552"/>
      <c r="J118" s="2552"/>
      <c r="K118" s="2552"/>
      <c r="L118" s="2552"/>
      <c r="M118" s="2552"/>
      <c r="N118" s="2552"/>
      <c r="O118" s="2552"/>
      <c r="P118" s="2552"/>
      <c r="Q118" s="494">
        <f>SUMIF(T119:T120,"i",Q119:Q120)</f>
        <v>0</v>
      </c>
      <c r="R118" s="940"/>
      <c r="S118" s="1715" t="s">
        <v>608</v>
      </c>
      <c r="T118" s="653" t="s">
        <v>609</v>
      </c>
      <c r="U118" s="2460">
        <v>1</v>
      </c>
      <c r="V118" s="2460" t="s">
        <v>572</v>
      </c>
      <c r="W118" s="1078"/>
      <c r="X118" s="1078"/>
      <c r="Y118" s="1078"/>
      <c r="Z118" s="1078"/>
      <c r="AA118" s="1554"/>
      <c r="AB118" s="1078"/>
      <c r="AC118" s="2553"/>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14" customFormat="1" ht="11.25" hidden="1" customHeight="1">
      <c r="A119" s="1710"/>
      <c r="B119" s="1554"/>
      <c r="C119" s="1554"/>
      <c r="D119" s="2701"/>
      <c r="E119" s="571"/>
      <c r="F119" s="571">
        <v>0</v>
      </c>
      <c r="G119" s="571"/>
      <c r="H119" s="571"/>
      <c r="I119" s="571"/>
      <c r="J119" s="571"/>
      <c r="K119" s="571"/>
      <c r="L119" s="571"/>
      <c r="M119" s="571"/>
      <c r="N119" s="571"/>
      <c r="O119" s="571"/>
      <c r="P119" s="571"/>
      <c r="Q119" s="571"/>
      <c r="R119" s="571"/>
      <c r="S119" s="572"/>
      <c r="T119" s="654"/>
      <c r="U119" s="2460"/>
      <c r="V119" s="2460"/>
      <c r="W119" s="1554"/>
      <c r="X119" s="1554"/>
      <c r="Y119" s="1554"/>
      <c r="Z119" s="1554"/>
      <c r="AA119" s="1554"/>
      <c r="AB119" s="1078"/>
      <c r="AC119" s="2553"/>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14" customFormat="1" ht="11.25" customHeight="1">
      <c r="A120" s="1723"/>
      <c r="B120" s="1078"/>
      <c r="C120" s="348"/>
      <c r="D120" s="2701"/>
      <c r="E120" s="585" t="s">
        <v>22</v>
      </c>
      <c r="F120" s="1086" t="s">
        <v>22</v>
      </c>
      <c r="G120" s="1086" t="s">
        <v>1982</v>
      </c>
      <c r="H120" s="587" t="s">
        <v>22</v>
      </c>
      <c r="I120" s="587"/>
      <c r="J120" s="587"/>
      <c r="K120" s="587"/>
      <c r="L120" s="587"/>
      <c r="M120" s="587"/>
      <c r="N120" s="587"/>
      <c r="O120" s="587"/>
      <c r="P120" s="587"/>
      <c r="Q120" s="587"/>
      <c r="R120" s="588"/>
      <c r="S120" s="589"/>
      <c r="T120" s="654"/>
      <c r="U120" s="2460"/>
      <c r="V120" s="2460"/>
      <c r="W120" s="1078"/>
      <c r="X120" s="1078"/>
      <c r="Y120" s="1078"/>
      <c r="Z120" s="1078"/>
      <c r="AA120" s="1554"/>
      <c r="AB120" s="1078"/>
      <c r="AC120" s="2553"/>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14" customFormat="1" ht="24.75" customHeight="1">
      <c r="A121" s="1723"/>
      <c r="B121" s="1078"/>
      <c r="C121" s="348"/>
      <c r="D121" s="2701"/>
      <c r="E121" s="2552" t="s">
        <v>610</v>
      </c>
      <c r="F121" s="2552"/>
      <c r="G121" s="2552"/>
      <c r="H121" s="2552"/>
      <c r="I121" s="2552"/>
      <c r="J121" s="2552"/>
      <c r="K121" s="2552"/>
      <c r="L121" s="2552"/>
      <c r="M121" s="2552"/>
      <c r="N121" s="2552"/>
      <c r="O121" s="2552"/>
      <c r="P121" s="2552"/>
      <c r="Q121" s="494">
        <f>SUMIF(T122:T123,"i",Q122:Q123)</f>
        <v>0</v>
      </c>
      <c r="R121" s="940"/>
      <c r="S121" s="1715" t="s">
        <v>611</v>
      </c>
      <c r="T121" s="653" t="s">
        <v>609</v>
      </c>
      <c r="U121" s="2460">
        <v>1</v>
      </c>
      <c r="V121" s="2460" t="s">
        <v>572</v>
      </c>
      <c r="W121" s="1078"/>
      <c r="X121" s="1078"/>
      <c r="Y121" s="1078"/>
      <c r="Z121" s="1078"/>
      <c r="AA121" s="1554"/>
      <c r="AB121" s="1078"/>
      <c r="AC121" s="1713"/>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14" customFormat="1" ht="11.25" hidden="1" customHeight="1">
      <c r="A122" s="1710"/>
      <c r="B122" s="1554"/>
      <c r="C122" s="1554"/>
      <c r="D122" s="2701"/>
      <c r="E122" s="571"/>
      <c r="F122" s="571">
        <v>0</v>
      </c>
      <c r="G122" s="571"/>
      <c r="H122" s="571"/>
      <c r="I122" s="571"/>
      <c r="J122" s="571"/>
      <c r="K122" s="571"/>
      <c r="L122" s="571"/>
      <c r="M122" s="571"/>
      <c r="N122" s="571"/>
      <c r="O122" s="571"/>
      <c r="P122" s="571"/>
      <c r="Q122" s="571"/>
      <c r="R122" s="571"/>
      <c r="S122" s="572"/>
      <c r="T122" s="654"/>
      <c r="U122" s="2460"/>
      <c r="V122" s="2460"/>
      <c r="W122" s="1554"/>
      <c r="X122" s="1554"/>
      <c r="Y122" s="1554"/>
      <c r="Z122" s="1554"/>
      <c r="AA122" s="1554"/>
      <c r="AB122" s="1078"/>
      <c r="AC122" s="1713"/>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14" customFormat="1" ht="11.25" customHeight="1">
      <c r="A123" s="1723"/>
      <c r="B123" s="1078"/>
      <c r="C123" s="348"/>
      <c r="D123" s="2702"/>
      <c r="E123" s="585" t="s">
        <v>22</v>
      </c>
      <c r="F123" s="1086" t="s">
        <v>22</v>
      </c>
      <c r="G123" s="1086" t="s">
        <v>1982</v>
      </c>
      <c r="H123" s="587" t="s">
        <v>22</v>
      </c>
      <c r="I123" s="587"/>
      <c r="J123" s="587"/>
      <c r="K123" s="587"/>
      <c r="L123" s="587"/>
      <c r="M123" s="587"/>
      <c r="N123" s="587"/>
      <c r="O123" s="587"/>
      <c r="P123" s="587"/>
      <c r="Q123" s="587"/>
      <c r="R123" s="588"/>
      <c r="S123" s="589"/>
      <c r="T123" s="654"/>
      <c r="U123" s="2460"/>
      <c r="V123" s="2460"/>
      <c r="W123" s="1078"/>
      <c r="X123" s="1078"/>
      <c r="Y123" s="1078"/>
      <c r="Z123" s="1078"/>
      <c r="AA123" s="1554"/>
      <c r="AB123" s="1078"/>
      <c r="AC123" s="1713"/>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78" customFormat="1" ht="11.25" customHeight="1">
      <c r="A125" s="1732" t="s">
        <v>1983</v>
      </c>
    </row>
    <row r="127" spans="1:83" s="2114" customFormat="1" ht="15" customHeight="1">
      <c r="A127" s="559"/>
      <c r="B127" s="560"/>
      <c r="C127" s="560"/>
      <c r="D127" s="2700" t="s">
        <v>108</v>
      </c>
      <c r="E127" s="2554" t="s">
        <v>104</v>
      </c>
      <c r="F127" s="2555"/>
      <c r="G127" s="2556"/>
      <c r="H127" s="2550" t="str">
        <f>IF(A127="","",INDEX(DIFFERENTIATION_UNMERGE_VD,MATCH(A127,DIFFERENTIATION_ID_DIFF,0)))</f>
        <v/>
      </c>
      <c r="I127" s="2550"/>
      <c r="J127" s="2550"/>
      <c r="K127" s="2550"/>
      <c r="L127" s="2550"/>
      <c r="M127" s="2550"/>
      <c r="N127" s="2550"/>
      <c r="O127" s="2550"/>
      <c r="P127" s="2550"/>
      <c r="Q127" s="2550"/>
      <c r="R127" s="2550"/>
      <c r="S127" s="655"/>
      <c r="T127" s="652"/>
      <c r="U127" s="561"/>
      <c r="V127" s="561"/>
      <c r="W127" s="562"/>
      <c r="X127" s="562"/>
      <c r="Y127" s="562"/>
      <c r="Z127" s="562"/>
      <c r="AA127" s="563"/>
      <c r="AB127" s="564"/>
      <c r="AC127" s="2553"/>
      <c r="AD127" s="565"/>
      <c r="AE127" s="566" t="s">
        <v>22</v>
      </c>
      <c r="AF127" s="566"/>
      <c r="AG127" s="567" t="s">
        <v>606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14" customFormat="1" ht="15" customHeight="1">
      <c r="A128" s="559"/>
      <c r="B128" s="560"/>
      <c r="C128" s="560"/>
      <c r="D128" s="2701"/>
      <c r="E128" s="2554" t="s">
        <v>561</v>
      </c>
      <c r="F128" s="2555"/>
      <c r="G128" s="2556"/>
      <c r="H128" s="2550" t="str">
        <f>IF(A127="","",INDEX(DIFFERENTIATION_UNMERGE_AREA,MATCH(A127,DIFFERENTIATION_ID_DIFF,0)))</f>
        <v/>
      </c>
      <c r="I128" s="2550"/>
      <c r="J128" s="2550"/>
      <c r="K128" s="2550"/>
      <c r="L128" s="2550"/>
      <c r="M128" s="2550"/>
      <c r="N128" s="2550"/>
      <c r="O128" s="2550"/>
      <c r="P128" s="2550"/>
      <c r="Q128" s="2550"/>
      <c r="R128" s="2550"/>
      <c r="S128" s="655"/>
      <c r="T128" s="652"/>
      <c r="U128" s="561"/>
      <c r="V128" s="561"/>
      <c r="W128" s="562"/>
      <c r="X128" s="562"/>
      <c r="Y128" s="562"/>
      <c r="Z128" s="562"/>
      <c r="AA128" s="563"/>
      <c r="AB128" s="564"/>
      <c r="AC128" s="255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14" customFormat="1" ht="15" customHeight="1">
      <c r="A129" s="559"/>
      <c r="B129" s="560"/>
      <c r="C129" s="560"/>
      <c r="D129" s="2701"/>
      <c r="E129" s="2554" t="s">
        <v>562</v>
      </c>
      <c r="F129" s="2555"/>
      <c r="G129" s="2556"/>
      <c r="H129" s="2550" t="str">
        <f>IF(A127="","",INDEX(DIFFERENTIATION_UNMERGE_SYSTEM,MATCH(A127,DIFFERENTIATION_ID_DIFF,0)))</f>
        <v/>
      </c>
      <c r="I129" s="2550"/>
      <c r="J129" s="2550"/>
      <c r="K129" s="2550"/>
      <c r="L129" s="2550"/>
      <c r="M129" s="2550"/>
      <c r="N129" s="2550"/>
      <c r="O129" s="2550"/>
      <c r="P129" s="2550"/>
      <c r="Q129" s="2550"/>
      <c r="R129" s="2550"/>
      <c r="S129" s="655"/>
      <c r="T129" s="652"/>
      <c r="U129" s="561"/>
      <c r="V129" s="561"/>
      <c r="W129" s="562"/>
      <c r="X129" s="562"/>
      <c r="Y129" s="562"/>
      <c r="Z129" s="562"/>
      <c r="AA129" s="563"/>
      <c r="AB129" s="564"/>
      <c r="AC129" s="255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14" customFormat="1" ht="24.75" customHeight="1">
      <c r="A130" s="1723"/>
      <c r="B130" s="1078"/>
      <c r="C130" s="348"/>
      <c r="D130" s="2701"/>
      <c r="E130" s="2552" t="s">
        <v>607</v>
      </c>
      <c r="F130" s="2552"/>
      <c r="G130" s="2552"/>
      <c r="H130" s="2552"/>
      <c r="I130" s="2552"/>
      <c r="J130" s="2552"/>
      <c r="K130" s="2552"/>
      <c r="L130" s="2552"/>
      <c r="M130" s="2552"/>
      <c r="N130" s="2552"/>
      <c r="O130" s="2552"/>
      <c r="P130" s="2552"/>
      <c r="Q130" s="494">
        <f>SUMIF(T131:T132,"i",Q131:Q132)</f>
        <v>0</v>
      </c>
      <c r="R130" s="940"/>
      <c r="S130" s="1715" t="s">
        <v>608</v>
      </c>
      <c r="T130" s="653" t="s">
        <v>609</v>
      </c>
      <c r="U130" s="2460">
        <v>1</v>
      </c>
      <c r="V130" s="2460" t="s">
        <v>572</v>
      </c>
      <c r="W130" s="1078"/>
      <c r="X130" s="1078"/>
      <c r="Y130" s="1078"/>
      <c r="Z130" s="1078"/>
      <c r="AA130" s="1554"/>
      <c r="AB130" s="1078"/>
      <c r="AC130" s="2553"/>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14" customFormat="1" ht="11.25" hidden="1" customHeight="1">
      <c r="A131" s="1710"/>
      <c r="B131" s="1554"/>
      <c r="C131" s="1554"/>
      <c r="D131" s="2701"/>
      <c r="E131" s="571"/>
      <c r="F131" s="571">
        <v>0</v>
      </c>
      <c r="G131" s="571"/>
      <c r="H131" s="571"/>
      <c r="I131" s="571"/>
      <c r="J131" s="571"/>
      <c r="K131" s="571"/>
      <c r="L131" s="571"/>
      <c r="M131" s="571"/>
      <c r="N131" s="571"/>
      <c r="O131" s="571"/>
      <c r="P131" s="571"/>
      <c r="Q131" s="571"/>
      <c r="R131" s="571"/>
      <c r="S131" s="572"/>
      <c r="T131" s="654"/>
      <c r="U131" s="2460"/>
      <c r="V131" s="2460"/>
      <c r="W131" s="1554"/>
      <c r="X131" s="1554"/>
      <c r="Y131" s="1554"/>
      <c r="Z131" s="1554"/>
      <c r="AA131" s="1554"/>
      <c r="AB131" s="1078"/>
      <c r="AC131" s="2553"/>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14" customFormat="1" ht="11.25" customHeight="1">
      <c r="A132" s="1723"/>
      <c r="B132" s="1078"/>
      <c r="C132" s="348"/>
      <c r="D132" s="2701"/>
      <c r="E132" s="585" t="s">
        <v>22</v>
      </c>
      <c r="F132" s="1086" t="s">
        <v>22</v>
      </c>
      <c r="G132" s="1086" t="s">
        <v>1982</v>
      </c>
      <c r="H132" s="587" t="s">
        <v>22</v>
      </c>
      <c r="I132" s="587"/>
      <c r="J132" s="587"/>
      <c r="K132" s="587"/>
      <c r="L132" s="587"/>
      <c r="M132" s="587"/>
      <c r="N132" s="587"/>
      <c r="O132" s="587"/>
      <c r="P132" s="587"/>
      <c r="Q132" s="587"/>
      <c r="R132" s="588"/>
      <c r="S132" s="589"/>
      <c r="T132" s="654"/>
      <c r="U132" s="2460"/>
      <c r="V132" s="2460"/>
      <c r="W132" s="1078"/>
      <c r="X132" s="1078"/>
      <c r="Y132" s="1078"/>
      <c r="Z132" s="1078"/>
      <c r="AA132" s="1554"/>
      <c r="AB132" s="1078"/>
      <c r="AC132" s="2553"/>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08" customFormat="1" ht="5.25" hidden="1" customHeight="1">
      <c r="A133" s="1710"/>
      <c r="B133" s="1554"/>
      <c r="C133" s="1554"/>
      <c r="D133" s="2701"/>
      <c r="E133" s="962"/>
      <c r="F133" s="962"/>
      <c r="G133" s="962"/>
      <c r="H133" s="962"/>
      <c r="I133" s="962"/>
      <c r="J133" s="962"/>
      <c r="K133" s="962"/>
      <c r="L133" s="962"/>
      <c r="M133" s="962"/>
      <c r="N133" s="962"/>
      <c r="O133" s="962"/>
      <c r="P133" s="962"/>
      <c r="Q133" s="963"/>
      <c r="R133" s="964"/>
      <c r="S133" s="965"/>
      <c r="T133" s="653" t="s">
        <v>609</v>
      </c>
      <c r="U133" s="2460">
        <v>1</v>
      </c>
      <c r="V133" s="2460" t="s">
        <v>572</v>
      </c>
      <c r="W133" s="1554"/>
      <c r="X133" s="1554"/>
      <c r="Y133" s="1554"/>
      <c r="Z133" s="1554"/>
      <c r="AA133" s="1554"/>
      <c r="AB133" s="1554"/>
      <c r="AC133" s="960"/>
      <c r="AD133" s="961"/>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08" customFormat="1" ht="5.25" hidden="1" customHeight="1">
      <c r="A134" s="1710"/>
      <c r="B134" s="1554"/>
      <c r="C134" s="1554"/>
      <c r="D134" s="2701"/>
      <c r="E134" s="571"/>
      <c r="F134" s="571"/>
      <c r="G134" s="571"/>
      <c r="H134" s="571"/>
      <c r="I134" s="571"/>
      <c r="J134" s="571"/>
      <c r="K134" s="571"/>
      <c r="L134" s="571"/>
      <c r="M134" s="571"/>
      <c r="N134" s="571"/>
      <c r="O134" s="571"/>
      <c r="P134" s="571"/>
      <c r="Q134" s="571"/>
      <c r="R134" s="571"/>
      <c r="S134" s="572"/>
      <c r="T134" s="654"/>
      <c r="U134" s="2460"/>
      <c r="V134" s="2460"/>
      <c r="W134" s="1554"/>
      <c r="X134" s="1554"/>
      <c r="Y134" s="1554"/>
      <c r="Z134" s="1554"/>
      <c r="AA134" s="1554"/>
      <c r="AB134" s="1554"/>
      <c r="AC134" s="960"/>
      <c r="AD134" s="961"/>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08" customFormat="1" ht="5.25" hidden="1" customHeight="1">
      <c r="A135" s="1710"/>
      <c r="B135" s="1554"/>
      <c r="C135" s="1554"/>
      <c r="D135" s="2702"/>
      <c r="E135" s="966"/>
      <c r="F135" s="967"/>
      <c r="G135" s="967"/>
      <c r="H135" s="968"/>
      <c r="I135" s="968"/>
      <c r="J135" s="968"/>
      <c r="K135" s="968"/>
      <c r="L135" s="968"/>
      <c r="M135" s="968"/>
      <c r="N135" s="968"/>
      <c r="O135" s="968"/>
      <c r="P135" s="968"/>
      <c r="Q135" s="968"/>
      <c r="R135" s="871"/>
      <c r="S135" s="969"/>
      <c r="T135" s="654"/>
      <c r="U135" s="2460"/>
      <c r="V135" s="2460"/>
      <c r="W135" s="1554"/>
      <c r="X135" s="1554"/>
      <c r="Y135" s="1554"/>
      <c r="Z135" s="1554"/>
      <c r="AA135" s="1554"/>
      <c r="AB135" s="1554"/>
      <c r="AC135" s="960"/>
      <c r="AD135" s="961"/>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078" customFormat="1" ht="11.25" customHeight="1">
      <c r="A137" s="1732" t="s">
        <v>1984</v>
      </c>
    </row>
    <row r="139" spans="1:83" s="2114" customFormat="1" ht="45" customHeight="1">
      <c r="A139" s="1723"/>
      <c r="B139" s="1078"/>
      <c r="C139" s="348"/>
      <c r="D139" s="29"/>
      <c r="E139" s="2705"/>
      <c r="F139" s="2339" t="s">
        <v>108</v>
      </c>
      <c r="G139" s="2708" t="s">
        <v>22</v>
      </c>
      <c r="H139" s="226"/>
      <c r="I139" s="573" t="s">
        <v>108</v>
      </c>
      <c r="J139" s="1724" t="s">
        <v>1985</v>
      </c>
      <c r="K139" s="574" t="s">
        <v>543</v>
      </c>
      <c r="L139" s="2423" t="s">
        <v>543</v>
      </c>
      <c r="M139" s="2385"/>
      <c r="N139" s="574" t="s">
        <v>543</v>
      </c>
      <c r="O139" s="574" t="s">
        <v>543</v>
      </c>
      <c r="P139" s="574" t="s">
        <v>543</v>
      </c>
      <c r="Q139" s="575">
        <f>SUM(Q140:Q142)</f>
        <v>0</v>
      </c>
      <c r="R139" s="575">
        <f>IF(R136=0,0,(Q136/R136)*100)</f>
        <v>0</v>
      </c>
      <c r="S139" s="2397"/>
      <c r="T139" s="653" t="s">
        <v>609</v>
      </c>
      <c r="U139" s="29"/>
      <c r="V139" s="29"/>
      <c r="AC139" s="29"/>
    </row>
    <row r="140" spans="1:83" s="2114" customFormat="1" ht="11.25" customHeight="1">
      <c r="A140" s="1723"/>
      <c r="B140" s="1078"/>
      <c r="C140" s="348"/>
      <c r="D140" s="29"/>
      <c r="E140" s="2706"/>
      <c r="F140" s="2339"/>
      <c r="G140" s="2708"/>
      <c r="H140" s="2328"/>
      <c r="I140" s="2601" t="s">
        <v>1090</v>
      </c>
      <c r="J140" s="2703"/>
      <c r="K140" s="2704"/>
      <c r="L140" s="576"/>
      <c r="M140" s="577" t="s">
        <v>108</v>
      </c>
      <c r="N140" s="1712"/>
      <c r="O140" s="578"/>
      <c r="P140" s="579"/>
      <c r="Q140" s="578"/>
      <c r="R140" s="580">
        <v>0</v>
      </c>
      <c r="S140" s="2397"/>
      <c r="T140" s="653"/>
      <c r="U140" s="29"/>
      <c r="V140" s="29"/>
      <c r="AC140" s="29"/>
    </row>
    <row r="141" spans="1:83" s="2114" customFormat="1" ht="11.25" customHeight="1">
      <c r="A141" s="1723"/>
      <c r="B141" s="1078"/>
      <c r="C141" s="348"/>
      <c r="D141" s="29"/>
      <c r="E141" s="2706"/>
      <c r="F141" s="2339"/>
      <c r="G141" s="2708"/>
      <c r="H141" s="2328"/>
      <c r="I141" s="2601"/>
      <c r="J141" s="2703"/>
      <c r="K141" s="2697"/>
      <c r="L141" s="581"/>
      <c r="M141" s="582"/>
      <c r="N141" s="583" t="s">
        <v>1986</v>
      </c>
      <c r="O141" s="583"/>
      <c r="P141" s="583"/>
      <c r="Q141" s="583"/>
      <c r="R141" s="584"/>
      <c r="S141" s="2397"/>
      <c r="T141" s="653"/>
      <c r="U141" s="29"/>
      <c r="V141" s="29"/>
      <c r="AC141" s="29"/>
    </row>
    <row r="142" spans="1:83" s="2114" customFormat="1" ht="11.25" customHeight="1">
      <c r="A142" s="1723"/>
      <c r="B142" s="1078"/>
      <c r="C142" s="348"/>
      <c r="D142" s="29"/>
      <c r="E142" s="2707"/>
      <c r="F142" s="2339"/>
      <c r="G142" s="2709"/>
      <c r="H142" s="581" t="s">
        <v>22</v>
      </c>
      <c r="I142" s="582"/>
      <c r="J142" s="583" t="s">
        <v>1987</v>
      </c>
      <c r="K142" s="583"/>
      <c r="L142" s="583"/>
      <c r="M142" s="583"/>
      <c r="N142" s="583"/>
      <c r="O142" s="583"/>
      <c r="P142" s="583"/>
      <c r="Q142" s="583"/>
      <c r="R142" s="584"/>
      <c r="S142" s="2397"/>
      <c r="T142" s="653"/>
      <c r="U142" s="29"/>
      <c r="V142" s="29"/>
      <c r="AC142" s="29"/>
    </row>
    <row r="147" spans="1:43" s="2114" customFormat="1" ht="11.25" customHeight="1">
      <c r="A147" s="1723"/>
      <c r="B147" s="1078"/>
      <c r="C147" s="348"/>
      <c r="D147" s="29"/>
      <c r="E147" s="1745"/>
      <c r="F147" s="1745"/>
      <c r="G147" s="1745"/>
      <c r="H147" s="2328"/>
      <c r="I147" s="2601" t="s">
        <v>1090</v>
      </c>
      <c r="J147" s="2703"/>
      <c r="K147" s="2704"/>
      <c r="L147" s="576"/>
      <c r="M147" s="577" t="s">
        <v>108</v>
      </c>
      <c r="N147" s="1712"/>
      <c r="O147" s="578"/>
      <c r="P147" s="579"/>
      <c r="Q147" s="578"/>
      <c r="R147" s="580">
        <v>0</v>
      </c>
      <c r="S147" s="29"/>
      <c r="T147" s="653"/>
      <c r="U147" s="29"/>
      <c r="V147" s="29"/>
      <c r="AC147" s="29"/>
    </row>
    <row r="148" spans="1:43" s="2114" customFormat="1" ht="11.25" customHeight="1">
      <c r="A148" s="1723"/>
      <c r="B148" s="1078"/>
      <c r="C148" s="348"/>
      <c r="D148" s="29"/>
      <c r="E148" s="1745"/>
      <c r="F148" s="1745"/>
      <c r="G148" s="1745"/>
      <c r="H148" s="2328"/>
      <c r="I148" s="2601"/>
      <c r="J148" s="2703"/>
      <c r="K148" s="2697"/>
      <c r="L148" s="581"/>
      <c r="M148" s="582"/>
      <c r="N148" s="583" t="s">
        <v>1986</v>
      </c>
      <c r="O148" s="583"/>
      <c r="P148" s="583"/>
      <c r="Q148" s="583"/>
      <c r="R148" s="584"/>
      <c r="S148" s="29"/>
      <c r="T148" s="653"/>
      <c r="U148" s="29"/>
      <c r="V148" s="29"/>
      <c r="AC148" s="29"/>
    </row>
    <row r="150" spans="1:43" s="2114" customFormat="1" ht="11.25" customHeight="1">
      <c r="A150" s="1723"/>
      <c r="B150" s="1078"/>
      <c r="C150" s="348"/>
      <c r="D150" s="29"/>
      <c r="E150" s="1752"/>
      <c r="F150" s="1750"/>
      <c r="G150" s="1750"/>
      <c r="H150" s="1753"/>
      <c r="I150" s="1745"/>
      <c r="J150" s="1746"/>
      <c r="K150" s="1746"/>
      <c r="L150" s="576"/>
      <c r="M150" s="577" t="s">
        <v>108</v>
      </c>
      <c r="N150" s="1712"/>
      <c r="O150" s="578"/>
      <c r="P150" s="579"/>
      <c r="Q150" s="578"/>
      <c r="R150" s="580">
        <v>0</v>
      </c>
      <c r="S150" s="29"/>
      <c r="T150" s="653"/>
      <c r="U150" s="29"/>
      <c r="V150" s="29"/>
      <c r="AC150" s="29"/>
    </row>
    <row r="152" spans="1:43" s="2078" customFormat="1" ht="17.25" customHeight="1">
      <c r="A152" s="1732" t="s">
        <v>1988</v>
      </c>
    </row>
    <row r="153" spans="1:43" ht="17.25" customHeight="1">
      <c r="G153" s="1754"/>
      <c r="H153" s="1754"/>
      <c r="I153" s="1754"/>
      <c r="M153" s="1750"/>
    </row>
    <row r="154" spans="1:43" s="2098" customFormat="1" ht="17.25" customHeight="1">
      <c r="A154" s="1755"/>
      <c r="C154" s="1757"/>
      <c r="D154" s="2696"/>
      <c r="E154" s="2350"/>
      <c r="F154" s="2363"/>
      <c r="G154" s="2698"/>
      <c r="H154" s="2696"/>
      <c r="I154" s="2696">
        <v>1</v>
      </c>
      <c r="J154" s="2712"/>
      <c r="K154" s="2400" t="s">
        <v>67</v>
      </c>
      <c r="L154" s="2339"/>
      <c r="M154" s="2339" t="s">
        <v>108</v>
      </c>
      <c r="N154" s="2710" t="str">
        <f>IF(Z154="","",INDEX(TERRITORY_MR_LIST,MATCH(Z154,TERRITORY_LIST_ID,0)))</f>
        <v/>
      </c>
      <c r="O154" s="2400" t="s">
        <v>67</v>
      </c>
      <c r="P154" s="2339"/>
      <c r="Q154" s="2339" t="s">
        <v>108</v>
      </c>
      <c r="R154" s="2697" t="s">
        <v>22</v>
      </c>
      <c r="S154" s="2338" t="s">
        <v>67</v>
      </c>
      <c r="T154" s="1728"/>
      <c r="U154" s="1728" t="s">
        <v>108</v>
      </c>
      <c r="V154" s="1758" t="s">
        <v>22</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98" customFormat="1" ht="17.25" customHeight="1">
      <c r="A155" s="1755"/>
      <c r="C155" s="1760"/>
      <c r="D155" s="2696"/>
      <c r="E155" s="2350"/>
      <c r="F155" s="2364"/>
      <c r="G155" s="2698"/>
      <c r="H155" s="2696"/>
      <c r="I155" s="2696"/>
      <c r="J155" s="2712"/>
      <c r="K155" s="2401"/>
      <c r="L155" s="2339"/>
      <c r="M155" s="2339"/>
      <c r="N155" s="2710"/>
      <c r="O155" s="2401"/>
      <c r="P155" s="2339"/>
      <c r="Q155" s="2339"/>
      <c r="R155" s="2697"/>
      <c r="S155" s="2338"/>
      <c r="T155" s="254"/>
      <c r="U155" s="255"/>
      <c r="V155" s="255" t="s">
        <v>411</v>
      </c>
      <c r="W155" s="256"/>
      <c r="Y155" s="1177"/>
      <c r="Z155" s="1177"/>
      <c r="AA155" s="1177"/>
      <c r="AB155" s="1177"/>
      <c r="AC155" s="1177"/>
      <c r="AD155" s="1177"/>
      <c r="AE155" s="1177"/>
      <c r="AF155" s="1177"/>
      <c r="AG155" s="1177"/>
      <c r="AH155" s="1177"/>
      <c r="AI155" s="1177"/>
      <c r="AJ155" s="1177"/>
      <c r="AK155" s="1177"/>
    </row>
    <row r="156" spans="1:43" s="2098" customFormat="1" ht="17.25" customHeight="1">
      <c r="A156" s="1755"/>
      <c r="C156" s="1760"/>
      <c r="D156" s="2362"/>
      <c r="E156" s="2351"/>
      <c r="F156" s="2364"/>
      <c r="G156" s="2699"/>
      <c r="H156" s="2362"/>
      <c r="I156" s="2362"/>
      <c r="J156" s="2713"/>
      <c r="K156" s="2401"/>
      <c r="L156" s="2362"/>
      <c r="M156" s="2362"/>
      <c r="N156" s="2711"/>
      <c r="O156" s="2343"/>
      <c r="P156" s="254"/>
      <c r="Q156" s="255"/>
      <c r="R156" s="255" t="s">
        <v>412</v>
      </c>
      <c r="S156" s="1761"/>
      <c r="T156" s="1761"/>
      <c r="U156" s="1761"/>
      <c r="V156" s="1761"/>
      <c r="W156" s="256"/>
      <c r="Y156" s="1177"/>
      <c r="Z156" s="1177"/>
      <c r="AA156" s="1177"/>
      <c r="AB156" s="1177"/>
      <c r="AC156" s="1177"/>
      <c r="AD156" s="1177"/>
      <c r="AE156" s="1177"/>
      <c r="AF156" s="1177"/>
      <c r="AG156" s="1177"/>
      <c r="AH156" s="1177"/>
      <c r="AI156" s="1177"/>
      <c r="AJ156" s="1177"/>
      <c r="AK156" s="1177"/>
    </row>
    <row r="157" spans="1:43" s="2098" customFormat="1" ht="17.25" customHeight="1">
      <c r="A157" s="1755"/>
      <c r="C157" s="1760"/>
      <c r="D157" s="2362"/>
      <c r="E157" s="2351"/>
      <c r="F157" s="2364"/>
      <c r="G157" s="2699"/>
      <c r="H157" s="2362"/>
      <c r="I157" s="2362"/>
      <c r="J157" s="2713"/>
      <c r="K157" s="2343"/>
      <c r="L157" s="254"/>
      <c r="M157" s="255"/>
      <c r="N157" s="255" t="s">
        <v>413</v>
      </c>
      <c r="O157" s="255"/>
      <c r="P157" s="255"/>
      <c r="Q157" s="255"/>
      <c r="R157" s="255"/>
      <c r="S157" s="1761"/>
      <c r="T157" s="1761"/>
      <c r="U157" s="1761"/>
      <c r="V157" s="1761"/>
      <c r="W157" s="256"/>
      <c r="Y157" s="1177"/>
      <c r="Z157" s="1177"/>
      <c r="AA157" s="1177"/>
      <c r="AB157" s="1177"/>
      <c r="AC157" s="1177"/>
      <c r="AD157" s="1177"/>
      <c r="AE157" s="1177"/>
      <c r="AF157" s="1177"/>
      <c r="AG157" s="1177"/>
      <c r="AH157" s="1177"/>
      <c r="AI157" s="1177"/>
      <c r="AJ157" s="1177"/>
      <c r="AK157" s="1177"/>
    </row>
    <row r="158" spans="1:43" s="2098" customFormat="1" ht="17.25" customHeight="1">
      <c r="A158" s="1755"/>
      <c r="C158" s="1760"/>
      <c r="D158" s="2362"/>
      <c r="E158" s="2351"/>
      <c r="F158" s="2365"/>
      <c r="G158" s="2699"/>
      <c r="H158" s="254"/>
      <c r="I158" s="255"/>
      <c r="J158" s="255" t="s">
        <v>445</v>
      </c>
      <c r="K158" s="255"/>
      <c r="L158" s="255"/>
      <c r="M158" s="255"/>
      <c r="N158" s="255"/>
      <c r="O158" s="255"/>
      <c r="P158" s="255"/>
      <c r="Q158" s="255"/>
      <c r="R158" s="255"/>
      <c r="S158" s="1761"/>
      <c r="T158" s="1761"/>
      <c r="U158" s="1761"/>
      <c r="V158" s="1761"/>
      <c r="W158" s="256"/>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98" customFormat="1" ht="17.25" customHeight="1">
      <c r="A160" s="1755"/>
      <c r="C160" s="1757"/>
      <c r="D160" s="1745"/>
      <c r="E160" s="1762"/>
      <c r="F160" s="1701"/>
      <c r="G160" s="1763"/>
      <c r="H160" s="2696"/>
      <c r="I160" s="2696">
        <v>1</v>
      </c>
      <c r="J160" s="2712"/>
      <c r="K160" s="2400" t="s">
        <v>67</v>
      </c>
      <c r="L160" s="2339"/>
      <c r="M160" s="2339" t="s">
        <v>108</v>
      </c>
      <c r="N160" s="2710" t="str">
        <f>IF(Z160="","",INDEX(TERRITORY_MR_LIST,MATCH(Z160,TERRITORY_LIST_ID,0)))</f>
        <v/>
      </c>
      <c r="O160" s="2400" t="s">
        <v>67</v>
      </c>
      <c r="P160" s="2339"/>
      <c r="Q160" s="2339" t="s">
        <v>108</v>
      </c>
      <c r="R160" s="2697" t="s">
        <v>22</v>
      </c>
      <c r="S160" s="2338" t="s">
        <v>67</v>
      </c>
      <c r="T160" s="1728"/>
      <c r="U160" s="1728" t="s">
        <v>108</v>
      </c>
      <c r="V160" s="1758" t="s">
        <v>22</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98" customFormat="1" ht="17.25" customHeight="1">
      <c r="A161" s="1755"/>
      <c r="C161" s="1760"/>
      <c r="D161" s="1745"/>
      <c r="E161" s="1762"/>
      <c r="F161" s="1701"/>
      <c r="G161" s="1763"/>
      <c r="H161" s="2696"/>
      <c r="I161" s="2696"/>
      <c r="J161" s="2712"/>
      <c r="K161" s="2401"/>
      <c r="L161" s="2339"/>
      <c r="M161" s="2339"/>
      <c r="N161" s="2710"/>
      <c r="O161" s="2401"/>
      <c r="P161" s="2339"/>
      <c r="Q161" s="2339"/>
      <c r="R161" s="2697"/>
      <c r="S161" s="2338"/>
      <c r="T161" s="254"/>
      <c r="U161" s="255"/>
      <c r="V161" s="255" t="s">
        <v>411</v>
      </c>
      <c r="W161" s="256"/>
      <c r="Y161" s="1177"/>
      <c r="Z161" s="1177"/>
      <c r="AA161" s="1177"/>
      <c r="AB161" s="1177"/>
      <c r="AC161" s="1177"/>
      <c r="AD161" s="1177"/>
      <c r="AE161" s="1177"/>
      <c r="AF161" s="1177"/>
      <c r="AG161" s="1177"/>
      <c r="AH161" s="1177"/>
      <c r="AI161" s="1177"/>
      <c r="AJ161" s="1177"/>
      <c r="AK161" s="1177"/>
    </row>
    <row r="162" spans="1:43" s="2098" customFormat="1" ht="17.25" customHeight="1">
      <c r="A162" s="1755"/>
      <c r="C162" s="1760"/>
      <c r="D162" s="1745"/>
      <c r="E162" s="1762"/>
      <c r="F162" s="1701"/>
      <c r="G162" s="1763"/>
      <c r="H162" s="2362"/>
      <c r="I162" s="2362"/>
      <c r="J162" s="2713"/>
      <c r="K162" s="2401"/>
      <c r="L162" s="2362"/>
      <c r="M162" s="2362"/>
      <c r="N162" s="2711"/>
      <c r="O162" s="2343"/>
      <c r="P162" s="254"/>
      <c r="Q162" s="255"/>
      <c r="R162" s="255" t="s">
        <v>412</v>
      </c>
      <c r="S162" s="1761"/>
      <c r="T162" s="1761"/>
      <c r="U162" s="1761"/>
      <c r="V162" s="1761"/>
      <c r="W162" s="256"/>
      <c r="Y162" s="1177"/>
      <c r="Z162" s="1177"/>
      <c r="AA162" s="1177"/>
      <c r="AB162" s="1177"/>
      <c r="AC162" s="1177"/>
      <c r="AD162" s="1177"/>
      <c r="AE162" s="1177"/>
      <c r="AF162" s="1177"/>
      <c r="AG162" s="1177"/>
      <c r="AH162" s="1177"/>
      <c r="AI162" s="1177"/>
      <c r="AJ162" s="1177"/>
      <c r="AK162" s="1177"/>
    </row>
    <row r="163" spans="1:43" s="2098" customFormat="1" ht="17.25" customHeight="1">
      <c r="A163" s="1755"/>
      <c r="C163" s="1760"/>
      <c r="D163" s="1745"/>
      <c r="E163" s="1762"/>
      <c r="F163" s="1701"/>
      <c r="G163" s="1763"/>
      <c r="H163" s="2362"/>
      <c r="I163" s="2362"/>
      <c r="J163" s="2713"/>
      <c r="K163" s="2343"/>
      <c r="L163" s="254"/>
      <c r="M163" s="255"/>
      <c r="N163" s="255" t="s">
        <v>413</v>
      </c>
      <c r="O163" s="255"/>
      <c r="P163" s="255"/>
      <c r="Q163" s="255"/>
      <c r="R163" s="255"/>
      <c r="S163" s="1761"/>
      <c r="T163" s="1761"/>
      <c r="U163" s="1761"/>
      <c r="V163" s="1761"/>
      <c r="W163" s="256"/>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98" customFormat="1" ht="17.25" customHeight="1">
      <c r="A165" s="1755"/>
      <c r="C165" s="1757"/>
      <c r="D165" s="1745"/>
      <c r="E165" s="1762"/>
      <c r="F165" s="1701"/>
      <c r="G165" s="1763"/>
      <c r="H165" s="1745"/>
      <c r="I165" s="1745"/>
      <c r="J165" s="1764"/>
      <c r="K165" s="1677"/>
      <c r="L165" s="2339"/>
      <c r="M165" s="2339" t="s">
        <v>108</v>
      </c>
      <c r="N165" s="2710" t="str">
        <f>IF(Z165="","",INDEX(TERRITORY_MR_LIST,MATCH(Z165,TERRITORY_LIST_ID,0)))</f>
        <v/>
      </c>
      <c r="O165" s="2400" t="s">
        <v>67</v>
      </c>
      <c r="P165" s="2339"/>
      <c r="Q165" s="2339" t="s">
        <v>108</v>
      </c>
      <c r="R165" s="2697" t="s">
        <v>22</v>
      </c>
      <c r="S165" s="2338" t="s">
        <v>67</v>
      </c>
      <c r="T165" s="1728"/>
      <c r="U165" s="1728" t="s">
        <v>108</v>
      </c>
      <c r="V165" s="1758" t="s">
        <v>22</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98" customFormat="1" ht="17.25" customHeight="1">
      <c r="A166" s="1755"/>
      <c r="C166" s="1760"/>
      <c r="D166" s="1745"/>
      <c r="E166" s="1762"/>
      <c r="F166" s="1701"/>
      <c r="G166" s="1763"/>
      <c r="H166" s="1745"/>
      <c r="I166" s="1745"/>
      <c r="J166" s="1764"/>
      <c r="K166" s="1677"/>
      <c r="L166" s="2339"/>
      <c r="M166" s="2339"/>
      <c r="N166" s="2710"/>
      <c r="O166" s="2401"/>
      <c r="P166" s="2339"/>
      <c r="Q166" s="2339"/>
      <c r="R166" s="2697"/>
      <c r="S166" s="2338"/>
      <c r="T166" s="254"/>
      <c r="U166" s="255"/>
      <c r="V166" s="255" t="s">
        <v>411</v>
      </c>
      <c r="W166" s="256"/>
      <c r="Y166" s="1177"/>
      <c r="Z166" s="1177"/>
      <c r="AA166" s="1177"/>
      <c r="AB166" s="1177"/>
      <c r="AC166" s="1177"/>
      <c r="AD166" s="1177"/>
      <c r="AE166" s="1177"/>
      <c r="AF166" s="1177"/>
      <c r="AG166" s="1177"/>
      <c r="AH166" s="1177"/>
      <c r="AI166" s="1177"/>
      <c r="AJ166" s="1177"/>
      <c r="AK166" s="1177"/>
    </row>
    <row r="167" spans="1:43" s="2098" customFormat="1" ht="17.25" customHeight="1">
      <c r="A167" s="1755"/>
      <c r="C167" s="1760"/>
      <c r="D167" s="1745"/>
      <c r="E167" s="1762"/>
      <c r="F167" s="1701"/>
      <c r="G167" s="1763"/>
      <c r="H167" s="1745"/>
      <c r="I167" s="1745"/>
      <c r="J167" s="1764"/>
      <c r="K167" s="1677"/>
      <c r="L167" s="2362"/>
      <c r="M167" s="2362"/>
      <c r="N167" s="2711"/>
      <c r="O167" s="2343"/>
      <c r="P167" s="254"/>
      <c r="Q167" s="255"/>
      <c r="R167" s="255" t="s">
        <v>412</v>
      </c>
      <c r="S167" s="1761"/>
      <c r="T167" s="1761"/>
      <c r="U167" s="1761"/>
      <c r="V167" s="1761"/>
      <c r="W167" s="256"/>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98" customFormat="1" ht="17.25" customHeight="1">
      <c r="A169" s="1755"/>
      <c r="C169" s="1757"/>
      <c r="D169" s="1745"/>
      <c r="E169" s="1762"/>
      <c r="F169" s="1701"/>
      <c r="G169" s="1763"/>
      <c r="H169" s="1745"/>
      <c r="I169" s="1745"/>
      <c r="J169" s="1764"/>
      <c r="K169" s="1677"/>
      <c r="L169" s="1673"/>
      <c r="M169" s="1673"/>
      <c r="N169" s="1960"/>
      <c r="O169" s="1704"/>
      <c r="P169" s="2339"/>
      <c r="Q169" s="2339" t="s">
        <v>108</v>
      </c>
      <c r="R169" s="2697" t="s">
        <v>22</v>
      </c>
      <c r="S169" s="2338" t="s">
        <v>67</v>
      </c>
      <c r="T169" s="1728"/>
      <c r="U169" s="1728" t="s">
        <v>108</v>
      </c>
      <c r="V169" s="1758" t="s">
        <v>22</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98" customFormat="1" ht="17.25" customHeight="1">
      <c r="A170" s="1755"/>
      <c r="C170" s="1760"/>
      <c r="D170" s="1745"/>
      <c r="E170" s="1762"/>
      <c r="F170" s="1701"/>
      <c r="G170" s="1763"/>
      <c r="H170" s="1745"/>
      <c r="I170" s="1745"/>
      <c r="J170" s="1764"/>
      <c r="K170" s="1677"/>
      <c r="L170" s="1673"/>
      <c r="M170" s="1673"/>
      <c r="N170" s="1960"/>
      <c r="O170" s="1704"/>
      <c r="P170" s="2339"/>
      <c r="Q170" s="2339"/>
      <c r="R170" s="2697"/>
      <c r="S170" s="2338"/>
      <c r="T170" s="254"/>
      <c r="U170" s="255"/>
      <c r="V170" s="255" t="s">
        <v>411</v>
      </c>
      <c r="W170" s="256"/>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98"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108</v>
      </c>
      <c r="V172" s="1758" t="s">
        <v>22</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078" customFormat="1" ht="17.25" customHeight="1">
      <c r="A174" s="1732" t="s">
        <v>1989</v>
      </c>
    </row>
    <row r="175" spans="1:43" ht="17.25" customHeight="1">
      <c r="G175" s="1754"/>
      <c r="H175" s="1754"/>
      <c r="I175" s="1754"/>
      <c r="M175" s="1750"/>
    </row>
    <row r="176" spans="1:43" s="2098" customFormat="1" ht="17.25" customHeight="1">
      <c r="A176" s="1755"/>
      <c r="C176" s="1757"/>
      <c r="D176" s="2696"/>
      <c r="E176" s="2350"/>
      <c r="F176" s="2363"/>
      <c r="G176" s="2698"/>
      <c r="H176" s="2696"/>
      <c r="I176" s="2696">
        <v>1</v>
      </c>
      <c r="J176" s="2712"/>
      <c r="K176" s="2400" t="s">
        <v>67</v>
      </c>
      <c r="L176" s="2339"/>
      <c r="M176" s="2339" t="s">
        <v>108</v>
      </c>
      <c r="N176" s="2710" t="str">
        <f>IF(Z176="","",INDEX(TERRITORY_MR_LIST,MATCH(Z176,TERRITORY_LIST_ID,0)))</f>
        <v/>
      </c>
      <c r="O176" s="2400" t="s">
        <v>67</v>
      </c>
      <c r="P176" s="2339"/>
      <c r="Q176" s="2339" t="s">
        <v>108</v>
      </c>
      <c r="R176" s="2697" t="s">
        <v>22</v>
      </c>
      <c r="S176" s="2572" t="s">
        <v>19</v>
      </c>
      <c r="T176" s="1719"/>
      <c r="U176" s="1719" t="s">
        <v>108</v>
      </c>
      <c r="V176" s="1352"/>
      <c r="W176" s="2712"/>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98" customFormat="1" ht="17.25" customHeight="1">
      <c r="A177" s="1755"/>
      <c r="C177" s="1760"/>
      <c r="D177" s="2696"/>
      <c r="E177" s="2350"/>
      <c r="F177" s="2364"/>
      <c r="G177" s="2698"/>
      <c r="H177" s="2696"/>
      <c r="I177" s="2696"/>
      <c r="J177" s="2712"/>
      <c r="K177" s="2401"/>
      <c r="L177" s="2339"/>
      <c r="M177" s="2339"/>
      <c r="N177" s="2710"/>
      <c r="O177" s="2401"/>
      <c r="P177" s="2339"/>
      <c r="Q177" s="2339"/>
      <c r="R177" s="2697"/>
      <c r="S177" s="2572"/>
      <c r="T177" s="1353"/>
      <c r="U177" s="1354"/>
      <c r="V177" s="1354"/>
      <c r="W177" s="2712"/>
      <c r="Y177" s="1177"/>
      <c r="Z177" s="1177"/>
      <c r="AA177" s="1177"/>
      <c r="AB177" s="1177"/>
      <c r="AC177" s="1177"/>
      <c r="AD177" s="1177"/>
      <c r="AE177" s="1177"/>
      <c r="AF177" s="1177"/>
      <c r="AG177" s="1177"/>
      <c r="AH177" s="1177"/>
      <c r="AI177" s="1177"/>
      <c r="AJ177" s="1177"/>
      <c r="AK177" s="1177"/>
    </row>
    <row r="178" spans="1:43" s="2098" customFormat="1" ht="17.25" customHeight="1">
      <c r="A178" s="1755"/>
      <c r="C178" s="1760"/>
      <c r="D178" s="2362"/>
      <c r="E178" s="2351"/>
      <c r="F178" s="2364"/>
      <c r="G178" s="2699"/>
      <c r="H178" s="2362"/>
      <c r="I178" s="2362"/>
      <c r="J178" s="2713"/>
      <c r="K178" s="2401"/>
      <c r="L178" s="2362"/>
      <c r="M178" s="2362"/>
      <c r="N178" s="2711"/>
      <c r="O178" s="2343"/>
      <c r="P178" s="254"/>
      <c r="Q178" s="255"/>
      <c r="R178" s="255" t="s">
        <v>412</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98" customFormat="1" ht="17.25" customHeight="1">
      <c r="A179" s="1755"/>
      <c r="C179" s="1760"/>
      <c r="D179" s="2362"/>
      <c r="E179" s="2351"/>
      <c r="F179" s="2364"/>
      <c r="G179" s="2699"/>
      <c r="H179" s="2362"/>
      <c r="I179" s="2362"/>
      <c r="J179" s="2713"/>
      <c r="K179" s="2343"/>
      <c r="L179" s="254"/>
      <c r="M179" s="255"/>
      <c r="N179" s="255" t="s">
        <v>413</v>
      </c>
      <c r="O179" s="255"/>
      <c r="P179" s="255"/>
      <c r="Q179" s="255"/>
      <c r="R179" s="255"/>
      <c r="S179" s="1761"/>
      <c r="T179" s="1761"/>
      <c r="U179" s="1761"/>
      <c r="V179" s="1761"/>
      <c r="W179" s="256"/>
      <c r="Y179" s="1177"/>
      <c r="Z179" s="1177"/>
      <c r="AA179" s="1177"/>
      <c r="AB179" s="1177"/>
      <c r="AC179" s="1177"/>
      <c r="AD179" s="1177"/>
      <c r="AE179" s="1177"/>
      <c r="AF179" s="1177"/>
      <c r="AG179" s="1177"/>
      <c r="AH179" s="1177"/>
      <c r="AI179" s="1177"/>
      <c r="AJ179" s="1177"/>
      <c r="AK179" s="1177"/>
    </row>
    <row r="180" spans="1:43" s="2098" customFormat="1" ht="17.25" customHeight="1">
      <c r="A180" s="1755"/>
      <c r="C180" s="1760"/>
      <c r="D180" s="2362"/>
      <c r="E180" s="2351"/>
      <c r="F180" s="2365"/>
      <c r="G180" s="2699"/>
      <c r="H180" s="254"/>
      <c r="I180" s="255"/>
      <c r="J180" s="255" t="s">
        <v>445</v>
      </c>
      <c r="K180" s="255"/>
      <c r="L180" s="255"/>
      <c r="M180" s="255"/>
      <c r="N180" s="255"/>
      <c r="O180" s="255"/>
      <c r="P180" s="255"/>
      <c r="Q180" s="255"/>
      <c r="R180" s="255"/>
      <c r="S180" s="1761"/>
      <c r="T180" s="1761"/>
      <c r="U180" s="1761"/>
      <c r="V180" s="1761"/>
      <c r="W180" s="256"/>
      <c r="Y180" s="1177"/>
      <c r="Z180" s="1177"/>
      <c r="AA180" s="1177"/>
      <c r="AB180" s="1177"/>
      <c r="AC180" s="1177"/>
      <c r="AD180" s="1177"/>
      <c r="AE180" s="1177"/>
      <c r="AF180" s="1177"/>
      <c r="AG180" s="1177"/>
      <c r="AH180" s="1177"/>
      <c r="AI180" s="1177"/>
      <c r="AJ180" s="1177"/>
      <c r="AK180" s="1177"/>
    </row>
    <row r="181" spans="1:43" ht="17.25" customHeight="1">
      <c r="A181" s="1765"/>
    </row>
    <row r="182" spans="1:43" s="2098" customFormat="1" ht="17.25" customHeight="1">
      <c r="A182" s="1755"/>
      <c r="C182" s="1757"/>
      <c r="D182" s="1745"/>
      <c r="E182" s="1762"/>
      <c r="F182" s="1701"/>
      <c r="G182" s="1763"/>
      <c r="H182" s="2696"/>
      <c r="I182" s="2696">
        <v>1</v>
      </c>
      <c r="J182" s="2712"/>
      <c r="K182" s="2400" t="s">
        <v>67</v>
      </c>
      <c r="L182" s="2339"/>
      <c r="M182" s="2339" t="s">
        <v>108</v>
      </c>
      <c r="N182" s="2710" t="str">
        <f>IF(Z182="","",INDEX(TERRITORY_MR_LIST,MATCH(Z182,TERRITORY_LIST_ID,0)))</f>
        <v/>
      </c>
      <c r="O182" s="2400" t="s">
        <v>67</v>
      </c>
      <c r="P182" s="2339"/>
      <c r="Q182" s="2339" t="s">
        <v>108</v>
      </c>
      <c r="R182" s="2697" t="s">
        <v>22</v>
      </c>
      <c r="S182" s="2572" t="s">
        <v>19</v>
      </c>
      <c r="T182" s="1719"/>
      <c r="U182" s="1719" t="s">
        <v>108</v>
      </c>
      <c r="V182" s="1352"/>
      <c r="W182" s="2712"/>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98" customFormat="1" ht="17.25" customHeight="1">
      <c r="A183" s="1755"/>
      <c r="C183" s="1760"/>
      <c r="D183" s="1745"/>
      <c r="E183" s="1762"/>
      <c r="F183" s="1701"/>
      <c r="G183" s="1763"/>
      <c r="H183" s="2696"/>
      <c r="I183" s="2696"/>
      <c r="J183" s="2712"/>
      <c r="K183" s="2401"/>
      <c r="L183" s="2339"/>
      <c r="M183" s="2339"/>
      <c r="N183" s="2710"/>
      <c r="O183" s="2401"/>
      <c r="P183" s="2339"/>
      <c r="Q183" s="2339"/>
      <c r="R183" s="2697"/>
      <c r="S183" s="2572"/>
      <c r="T183" s="1353"/>
      <c r="U183" s="1354"/>
      <c r="V183" s="1354"/>
      <c r="W183" s="2712"/>
      <c r="Y183" s="1177"/>
      <c r="Z183" s="1177"/>
      <c r="AA183" s="1177"/>
      <c r="AB183" s="1177"/>
      <c r="AC183" s="1177"/>
      <c r="AD183" s="1177"/>
      <c r="AE183" s="1177"/>
      <c r="AF183" s="1177"/>
      <c r="AG183" s="1177"/>
      <c r="AH183" s="1177"/>
      <c r="AI183" s="1177"/>
      <c r="AJ183" s="1177"/>
      <c r="AK183" s="1177"/>
    </row>
    <row r="184" spans="1:43" s="2098" customFormat="1" ht="17.25" customHeight="1">
      <c r="A184" s="1755"/>
      <c r="C184" s="1760"/>
      <c r="D184" s="1745"/>
      <c r="E184" s="1762"/>
      <c r="F184" s="1701"/>
      <c r="G184" s="1763"/>
      <c r="H184" s="2362"/>
      <c r="I184" s="2362"/>
      <c r="J184" s="2713"/>
      <c r="K184" s="2401"/>
      <c r="L184" s="2362"/>
      <c r="M184" s="2362"/>
      <c r="N184" s="2711"/>
      <c r="O184" s="2343"/>
      <c r="P184" s="254"/>
      <c r="Q184" s="255"/>
      <c r="R184" s="255" t="s">
        <v>412</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98" customFormat="1" ht="17.25" customHeight="1">
      <c r="A185" s="1755"/>
      <c r="C185" s="1760"/>
      <c r="D185" s="1745"/>
      <c r="E185" s="1762"/>
      <c r="F185" s="1701"/>
      <c r="G185" s="1763"/>
      <c r="H185" s="2362"/>
      <c r="I185" s="2362"/>
      <c r="J185" s="2713"/>
      <c r="K185" s="2343"/>
      <c r="L185" s="254"/>
      <c r="M185" s="255"/>
      <c r="N185" s="255" t="s">
        <v>413</v>
      </c>
      <c r="O185" s="255"/>
      <c r="P185" s="255"/>
      <c r="Q185" s="255"/>
      <c r="R185" s="255"/>
      <c r="S185" s="1761"/>
      <c r="T185" s="1761"/>
      <c r="U185" s="1761"/>
      <c r="V185" s="1761"/>
      <c r="W185" s="256"/>
      <c r="Y185" s="1177"/>
      <c r="Z185" s="1177"/>
      <c r="AA185" s="1177"/>
      <c r="AB185" s="1177"/>
      <c r="AC185" s="1177"/>
      <c r="AD185" s="1177"/>
      <c r="AE185" s="1177"/>
      <c r="AF185" s="1177"/>
      <c r="AG185" s="1177"/>
      <c r="AH185" s="1177"/>
      <c r="AI185" s="1177"/>
      <c r="AJ185" s="1177"/>
      <c r="AK185" s="1177"/>
    </row>
    <row r="186" spans="1:43" ht="17.25" customHeight="1">
      <c r="A186" s="1765"/>
    </row>
    <row r="187" spans="1:43" s="2098" customFormat="1" ht="17.25" customHeight="1">
      <c r="A187" s="1755"/>
      <c r="C187" s="1757"/>
      <c r="D187" s="1745"/>
      <c r="E187" s="1762"/>
      <c r="F187" s="1701"/>
      <c r="G187" s="1763"/>
      <c r="H187" s="1745"/>
      <c r="I187" s="1745"/>
      <c r="J187" s="1766"/>
      <c r="K187" s="1763"/>
      <c r="L187" s="2339"/>
      <c r="M187" s="2339" t="s">
        <v>108</v>
      </c>
      <c r="N187" s="2710" t="str">
        <f>IF(Z187="","",INDEX(TERRITORY_MR_LIST,MATCH(Z187,TERRITORY_LIST_ID,0)))</f>
        <v/>
      </c>
      <c r="O187" s="2400" t="s">
        <v>67</v>
      </c>
      <c r="P187" s="2339"/>
      <c r="Q187" s="2339" t="s">
        <v>108</v>
      </c>
      <c r="R187" s="2697" t="s">
        <v>22</v>
      </c>
      <c r="S187" s="2572" t="s">
        <v>19</v>
      </c>
      <c r="T187" s="1719"/>
      <c r="U187" s="1719" t="s">
        <v>108</v>
      </c>
      <c r="V187" s="1352"/>
      <c r="W187" s="2712"/>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98" customFormat="1" ht="17.25" customHeight="1">
      <c r="A188" s="1755"/>
      <c r="C188" s="1760"/>
      <c r="D188" s="1745"/>
      <c r="E188" s="1762"/>
      <c r="F188" s="1701"/>
      <c r="G188" s="1763"/>
      <c r="H188" s="1745"/>
      <c r="I188" s="1745"/>
      <c r="J188" s="1766"/>
      <c r="K188" s="1763"/>
      <c r="L188" s="2339"/>
      <c r="M188" s="2339"/>
      <c r="N188" s="2710"/>
      <c r="O188" s="2401"/>
      <c r="P188" s="2339"/>
      <c r="Q188" s="2339"/>
      <c r="R188" s="2697"/>
      <c r="S188" s="2572"/>
      <c r="T188" s="1353"/>
      <c r="U188" s="1354"/>
      <c r="V188" s="1354"/>
      <c r="W188" s="2712"/>
      <c r="Y188" s="1177"/>
      <c r="Z188" s="1177"/>
      <c r="AA188" s="1177"/>
      <c r="AB188" s="1177"/>
      <c r="AC188" s="1177"/>
      <c r="AD188" s="1177"/>
      <c r="AE188" s="1177"/>
      <c r="AF188" s="1177"/>
      <c r="AG188" s="1177"/>
      <c r="AH188" s="1177"/>
      <c r="AI188" s="1177"/>
      <c r="AJ188" s="1177"/>
      <c r="AK188" s="1177"/>
    </row>
    <row r="189" spans="1:43" s="2098" customFormat="1" ht="17.25" customHeight="1">
      <c r="A189" s="1755"/>
      <c r="C189" s="1760"/>
      <c r="D189" s="1745"/>
      <c r="E189" s="1762"/>
      <c r="F189" s="1701"/>
      <c r="G189" s="1763"/>
      <c r="H189" s="1745"/>
      <c r="I189" s="1745"/>
      <c r="J189" s="1766"/>
      <c r="K189" s="1763"/>
      <c r="L189" s="2362"/>
      <c r="M189" s="2362"/>
      <c r="N189" s="2711"/>
      <c r="O189" s="2343"/>
      <c r="P189" s="254"/>
      <c r="Q189" s="255"/>
      <c r="R189" s="255" t="s">
        <v>412</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98" customFormat="1" ht="17.25" customHeight="1">
      <c r="A191" s="1755"/>
      <c r="C191" s="1757"/>
      <c r="D191" s="1745"/>
      <c r="E191" s="1762"/>
      <c r="F191" s="1701"/>
      <c r="G191" s="1763"/>
      <c r="H191" s="1745"/>
      <c r="I191" s="1745"/>
      <c r="J191" s="1766"/>
      <c r="K191" s="1763"/>
      <c r="L191" s="1745"/>
      <c r="M191" s="1745"/>
      <c r="N191" s="1960"/>
      <c r="O191" s="1704"/>
      <c r="P191" s="2339"/>
      <c r="Q191" s="2339" t="s">
        <v>108</v>
      </c>
      <c r="R191" s="2697" t="s">
        <v>22</v>
      </c>
      <c r="S191" s="2572" t="s">
        <v>19</v>
      </c>
      <c r="T191" s="1719"/>
      <c r="U191" s="1719" t="s">
        <v>108</v>
      </c>
      <c r="V191" s="1352"/>
      <c r="W191" s="2712"/>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98" customFormat="1" ht="17.25" customHeight="1">
      <c r="A192" s="1755"/>
      <c r="C192" s="1760"/>
      <c r="D192" s="1745"/>
      <c r="E192" s="1762"/>
      <c r="F192" s="1701"/>
      <c r="G192" s="1763"/>
      <c r="H192" s="1745"/>
      <c r="I192" s="1745"/>
      <c r="J192" s="1766"/>
      <c r="K192" s="1763"/>
      <c r="L192" s="1745"/>
      <c r="M192" s="1745"/>
      <c r="N192" s="1960"/>
      <c r="O192" s="1704"/>
      <c r="P192" s="2339"/>
      <c r="Q192" s="2339"/>
      <c r="R192" s="2697"/>
      <c r="S192" s="2572"/>
      <c r="T192" s="1353"/>
      <c r="U192" s="1354"/>
      <c r="V192" s="1354"/>
      <c r="W192" s="2712"/>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696"/>
      <c r="E194" s="2397"/>
      <c r="F194" s="2397"/>
      <c r="G194" s="2328"/>
      <c r="H194" s="2352"/>
      <c r="I194" s="2354"/>
      <c r="J194" s="2356"/>
      <c r="K194" s="2348"/>
      <c r="L194" s="2348"/>
      <c r="M194" s="2348"/>
      <c r="N194" s="2359"/>
      <c r="O194" s="2348"/>
      <c r="P194" s="2348"/>
      <c r="Q194" s="2348"/>
      <c r="R194" s="2346"/>
      <c r="S194" s="2348"/>
      <c r="T194" s="1700"/>
      <c r="U194" s="1700"/>
      <c r="V194" s="1767"/>
      <c r="W194" s="1214"/>
    </row>
    <row r="195" spans="1:63" ht="16.5" customHeight="1">
      <c r="A195" s="1755"/>
      <c r="B195" s="1756"/>
      <c r="C195" s="1760"/>
      <c r="D195" s="2696"/>
      <c r="E195" s="2397"/>
      <c r="F195" s="2397"/>
      <c r="G195" s="2328"/>
      <c r="H195" s="2353"/>
      <c r="I195" s="2355"/>
      <c r="J195" s="2357"/>
      <c r="K195" s="2349"/>
      <c r="L195" s="2349"/>
      <c r="M195" s="2349"/>
      <c r="N195" s="2360"/>
      <c r="O195" s="2349"/>
      <c r="P195" s="2349"/>
      <c r="Q195" s="2349"/>
      <c r="R195" s="2347"/>
      <c r="S195" s="2349"/>
      <c r="T195" s="1215"/>
      <c r="U195" s="1215"/>
      <c r="V195" s="1215"/>
      <c r="W195" s="1216"/>
    </row>
    <row r="196" spans="1:63" ht="17.25" customHeight="1">
      <c r="A196" s="1755"/>
      <c r="B196" s="1756"/>
      <c r="C196" s="1760"/>
      <c r="D196" s="2696"/>
      <c r="E196" s="2397"/>
      <c r="F196" s="2397"/>
      <c r="G196" s="2328"/>
      <c r="H196" s="2353"/>
      <c r="I196" s="2355"/>
      <c r="J196" s="2358"/>
      <c r="K196" s="2349"/>
      <c r="L196" s="2349"/>
      <c r="M196" s="2349"/>
      <c r="N196" s="2347"/>
      <c r="O196" s="2349"/>
      <c r="P196" s="1703"/>
      <c r="Q196" s="1215"/>
      <c r="R196" s="1215"/>
      <c r="S196" s="1768"/>
      <c r="T196" s="1768"/>
      <c r="U196" s="1768"/>
      <c r="V196" s="1768"/>
      <c r="W196" s="1216"/>
    </row>
    <row r="197" spans="1:63" ht="17.25" customHeight="1">
      <c r="A197" s="1755"/>
      <c r="B197" s="1756"/>
      <c r="C197" s="1760"/>
      <c r="D197" s="2696"/>
      <c r="E197" s="2397"/>
      <c r="F197" s="2397"/>
      <c r="G197" s="2328"/>
      <c r="H197" s="2353"/>
      <c r="I197" s="2355"/>
      <c r="J197" s="2358"/>
      <c r="K197" s="2349"/>
      <c r="L197" s="1215"/>
      <c r="M197" s="1215"/>
      <c r="N197" s="1215"/>
      <c r="O197" s="1215"/>
      <c r="P197" s="1215"/>
      <c r="Q197" s="1215"/>
      <c r="R197" s="1215"/>
      <c r="S197" s="1768"/>
      <c r="T197" s="1768"/>
      <c r="U197" s="1768"/>
      <c r="V197" s="1768"/>
      <c r="W197" s="1216"/>
    </row>
    <row r="198" spans="1:63" ht="17.25" customHeight="1">
      <c r="A198" s="1755"/>
      <c r="B198" s="1756"/>
      <c r="C198" s="1760"/>
      <c r="D198" s="2696"/>
      <c r="E198" s="2397"/>
      <c r="F198" s="2397"/>
      <c r="G198" s="2328"/>
      <c r="H198" s="1217"/>
      <c r="I198" s="1218"/>
      <c r="J198" s="1218"/>
      <c r="K198" s="1218"/>
      <c r="L198" s="1218"/>
      <c r="M198" s="1218"/>
      <c r="N198" s="1218"/>
      <c r="O198" s="1218"/>
      <c r="P198" s="1218"/>
      <c r="Q198" s="1218"/>
      <c r="R198" s="1218"/>
      <c r="S198" s="1769"/>
      <c r="T198" s="1769"/>
      <c r="U198" s="1769"/>
      <c r="V198" s="1769"/>
      <c r="W198" s="1220"/>
    </row>
    <row r="200" spans="1:63" s="2078" customFormat="1" ht="17.25" customHeight="1">
      <c r="A200" s="1732" t="s">
        <v>1990</v>
      </c>
    </row>
    <row r="201" spans="1:63" ht="17.25" customHeight="1">
      <c r="G201" s="1754"/>
      <c r="H201" s="1754"/>
      <c r="I201" s="1754"/>
      <c r="M201" s="1750"/>
    </row>
    <row r="202" spans="1:63" s="2114" customFormat="1" ht="15" customHeight="1">
      <c r="D202" s="2723"/>
      <c r="E202" s="2392"/>
      <c r="F202" s="2392"/>
      <c r="G202" s="2400"/>
      <c r="H202" s="1482"/>
      <c r="I202" s="2724">
        <v>1</v>
      </c>
      <c r="J202" s="2712"/>
      <c r="K202" s="1497"/>
      <c r="L202" s="2400" t="s">
        <v>67</v>
      </c>
      <c r="M202" s="2400" t="s">
        <v>67</v>
      </c>
      <c r="N202" s="1482"/>
      <c r="O202" s="2339" t="s">
        <v>108</v>
      </c>
      <c r="P202" s="2615"/>
      <c r="Q202" s="1498"/>
      <c r="R202" s="2400" t="s">
        <v>67</v>
      </c>
      <c r="S202" s="2400" t="s">
        <v>67</v>
      </c>
      <c r="T202" s="1770"/>
      <c r="U202" s="2339" t="s">
        <v>108</v>
      </c>
      <c r="V202" s="2720" t="str">
        <f>IF(AK202="","",INDEX(TERRITORY_MR_LIST,MATCH(AK202,TERRITORY_LIST_ID,0)))</f>
        <v/>
      </c>
      <c r="W202" s="1499"/>
      <c r="X202" s="2400" t="s">
        <v>67</v>
      </c>
      <c r="Y202" s="2400" t="s">
        <v>19</v>
      </c>
      <c r="Z202" s="1482"/>
      <c r="AA202" s="2339" t="s">
        <v>108</v>
      </c>
      <c r="AB202" s="2722"/>
      <c r="AC202" s="1500"/>
      <c r="AD202" s="2400" t="s">
        <v>67</v>
      </c>
      <c r="AE202" s="2400" t="s">
        <v>19</v>
      </c>
      <c r="AF202" s="1480"/>
      <c r="AG202" s="1728" t="s">
        <v>108</v>
      </c>
      <c r="AH202" s="1490"/>
      <c r="AI202" s="1718"/>
    </row>
    <row r="203" spans="1:63" s="2114" customFormat="1" ht="15" customHeight="1">
      <c r="D203" s="2723"/>
      <c r="E203" s="2392"/>
      <c r="F203" s="2392"/>
      <c r="G203" s="2401"/>
      <c r="H203" s="1482"/>
      <c r="I203" s="2724"/>
      <c r="J203" s="2712"/>
      <c r="K203" s="1481"/>
      <c r="L203" s="2401"/>
      <c r="M203" s="2401"/>
      <c r="N203" s="1482"/>
      <c r="O203" s="2339"/>
      <c r="P203" s="2615"/>
      <c r="Q203" s="1478"/>
      <c r="R203" s="2401"/>
      <c r="S203" s="2401"/>
      <c r="T203" s="1770"/>
      <c r="U203" s="2339"/>
      <c r="V203" s="2721"/>
      <c r="W203" s="1479"/>
      <c r="X203" s="2401"/>
      <c r="Y203" s="2401"/>
      <c r="Z203" s="1482"/>
      <c r="AA203" s="2339"/>
      <c r="AB203" s="2686"/>
      <c r="AC203" s="1483"/>
      <c r="AD203" s="2343"/>
      <c r="AE203" s="2343"/>
      <c r="AF203" s="1484"/>
      <c r="AG203" s="1485"/>
      <c r="AH203" s="2726" t="s">
        <v>1991</v>
      </c>
      <c r="AI203" s="2727"/>
    </row>
    <row r="204" spans="1:63" s="2114" customFormat="1" ht="15" customHeight="1">
      <c r="D204" s="2723"/>
      <c r="E204" s="2392"/>
      <c r="F204" s="2392"/>
      <c r="G204" s="2401"/>
      <c r="H204" s="1482"/>
      <c r="I204" s="2724"/>
      <c r="J204" s="2712"/>
      <c r="K204" s="1481"/>
      <c r="L204" s="2401"/>
      <c r="M204" s="2401"/>
      <c r="N204" s="1482"/>
      <c r="O204" s="2339"/>
      <c r="P204" s="2615"/>
      <c r="Q204" s="1478"/>
      <c r="R204" s="2401"/>
      <c r="S204" s="2401"/>
      <c r="T204" s="1770"/>
      <c r="U204" s="2339"/>
      <c r="V204" s="2721"/>
      <c r="W204" s="1479"/>
      <c r="X204" s="2401"/>
      <c r="Y204" s="2401"/>
      <c r="Z204" s="1521"/>
      <c r="AA204" s="1487"/>
      <c r="AB204" s="2728" t="s">
        <v>1992</v>
      </c>
      <c r="AC204" s="2728"/>
      <c r="AD204" s="2728"/>
      <c r="AE204" s="2728"/>
      <c r="AF204" s="2728"/>
      <c r="AG204" s="2728"/>
      <c r="AH204" s="2728"/>
      <c r="AI204" s="2729"/>
    </row>
    <row r="205" spans="1:63" s="2114" customFormat="1" ht="15" customHeight="1">
      <c r="D205" s="2723"/>
      <c r="E205" s="2392"/>
      <c r="F205" s="2392"/>
      <c r="G205" s="2401"/>
      <c r="H205" s="1482"/>
      <c r="I205" s="2724"/>
      <c r="J205" s="2712"/>
      <c r="K205" s="1481"/>
      <c r="L205" s="2401"/>
      <c r="M205" s="2401"/>
      <c r="N205" s="1482"/>
      <c r="O205" s="2339"/>
      <c r="P205" s="2730"/>
      <c r="Q205" s="1478"/>
      <c r="R205" s="2401"/>
      <c r="S205" s="2401"/>
      <c r="T205" s="1771"/>
      <c r="U205" s="1522"/>
      <c r="V205" s="2726" t="s">
        <v>102</v>
      </c>
      <c r="W205" s="2726"/>
      <c r="X205" s="2726"/>
      <c r="Y205" s="2726"/>
      <c r="Z205" s="2726"/>
      <c r="AA205" s="2726"/>
      <c r="AB205" s="2726"/>
      <c r="AC205" s="2726"/>
      <c r="AD205" s="2726"/>
      <c r="AE205" s="2726"/>
      <c r="AF205" s="2726"/>
      <c r="AG205" s="2726"/>
      <c r="AH205" s="2726"/>
      <c r="AI205" s="2727"/>
    </row>
    <row r="206" spans="1:63" s="2114" customFormat="1" ht="11.25" customHeight="1">
      <c r="D206" s="2723"/>
      <c r="E206" s="2392"/>
      <c r="F206" s="2392"/>
      <c r="G206" s="2401"/>
      <c r="H206" s="1486"/>
      <c r="I206" s="2724"/>
      <c r="J206" s="2725"/>
      <c r="K206" s="1481"/>
      <c r="L206" s="2401"/>
      <c r="M206" s="2401"/>
      <c r="N206" s="1486"/>
      <c r="O206" s="1487"/>
      <c r="P206" s="2726" t="s">
        <v>1993</v>
      </c>
      <c r="Q206" s="2726"/>
      <c r="R206" s="2726"/>
      <c r="S206" s="2726"/>
      <c r="T206" s="2726"/>
      <c r="U206" s="2726"/>
      <c r="V206" s="2726"/>
      <c r="W206" s="2726"/>
      <c r="X206" s="2726"/>
      <c r="Y206" s="2726"/>
      <c r="Z206" s="2726"/>
      <c r="AA206" s="2726"/>
      <c r="AB206" s="2726"/>
      <c r="AC206" s="2726"/>
      <c r="AD206" s="2726"/>
      <c r="AE206" s="2726"/>
      <c r="AF206" s="2726"/>
      <c r="AG206" s="2726"/>
      <c r="AH206" s="2726"/>
      <c r="AI206" s="2727"/>
    </row>
    <row r="207" spans="1:63" s="2013" customFormat="1" ht="11.25" customHeight="1">
      <c r="D207" s="2723"/>
      <c r="E207" s="2392"/>
      <c r="F207" s="2392"/>
      <c r="G207" s="2343"/>
      <c r="H207" s="1488"/>
      <c r="I207" s="1489"/>
      <c r="J207" s="2726" t="s">
        <v>445</v>
      </c>
      <c r="K207" s="2726"/>
      <c r="L207" s="2726"/>
      <c r="M207" s="2726"/>
      <c r="N207" s="2726"/>
      <c r="O207" s="2726"/>
      <c r="P207" s="2726"/>
      <c r="Q207" s="2726"/>
      <c r="R207" s="2726"/>
      <c r="S207" s="2726"/>
      <c r="T207" s="2726"/>
      <c r="U207" s="2726"/>
      <c r="V207" s="2726"/>
      <c r="W207" s="2726"/>
      <c r="X207" s="2726"/>
      <c r="Y207" s="2726"/>
      <c r="Z207" s="2726"/>
      <c r="AA207" s="2726"/>
      <c r="AB207" s="2726"/>
      <c r="AC207" s="2726"/>
      <c r="AD207" s="2726"/>
      <c r="AE207" s="2726"/>
      <c r="AF207" s="2726"/>
      <c r="AG207" s="2726"/>
      <c r="AH207" s="2726"/>
      <c r="AI207" s="2727"/>
      <c r="BK207" s="1492"/>
    </row>
    <row r="208" spans="1:63" ht="17.25" customHeight="1">
      <c r="G208" s="1754"/>
      <c r="I208" s="1754"/>
      <c r="J208" s="1754"/>
      <c r="N208" s="1750"/>
    </row>
    <row r="209" spans="1:63" s="2114" customFormat="1" ht="15" customHeight="1">
      <c r="D209" s="2723"/>
      <c r="E209" s="2392"/>
      <c r="F209" s="2392"/>
      <c r="G209" s="2397"/>
      <c r="H209" s="1517"/>
      <c r="I209" s="2402"/>
      <c r="J209" s="2356"/>
      <c r="K209" s="1702"/>
      <c r="L209" s="2348"/>
      <c r="M209" s="2348"/>
      <c r="N209" s="1502"/>
      <c r="O209" s="2348"/>
      <c r="P209" s="2356"/>
      <c r="Q209" s="1706"/>
      <c r="R209" s="2348"/>
      <c r="S209" s="2348"/>
      <c r="T209" s="1772"/>
      <c r="U209" s="2348"/>
      <c r="V209" s="2356"/>
      <c r="W209" s="1505"/>
      <c r="X209" s="2348"/>
      <c r="Y209" s="2348"/>
      <c r="Z209" s="1502"/>
      <c r="AA209" s="2348"/>
      <c r="AB209" s="2356"/>
      <c r="AC209" s="1506"/>
      <c r="AD209" s="2348"/>
      <c r="AE209" s="2348"/>
      <c r="AF209" s="1700"/>
      <c r="AG209" s="1700"/>
      <c r="AH209" s="1507"/>
      <c r="AI209" s="1214"/>
    </row>
    <row r="210" spans="1:63" s="2114" customFormat="1" ht="15" customHeight="1">
      <c r="D210" s="2723"/>
      <c r="E210" s="2392"/>
      <c r="F210" s="2392"/>
      <c r="G210" s="2397"/>
      <c r="H210" s="1518"/>
      <c r="I210" s="2403"/>
      <c r="J210" s="2357"/>
      <c r="K210" s="1528"/>
      <c r="L210" s="2349"/>
      <c r="M210" s="2349"/>
      <c r="N210" s="1508"/>
      <c r="O210" s="2349"/>
      <c r="P210" s="2357"/>
      <c r="Q210" s="1707"/>
      <c r="R210" s="2349"/>
      <c r="S210" s="2349"/>
      <c r="T210" s="1773"/>
      <c r="U210" s="2349"/>
      <c r="V210" s="2357"/>
      <c r="W210" s="1511"/>
      <c r="X210" s="2349"/>
      <c r="Y210" s="2349"/>
      <c r="Z210" s="1508"/>
      <c r="AA210" s="2349"/>
      <c r="AB210" s="2357"/>
      <c r="AC210" s="1512"/>
      <c r="AD210" s="2349"/>
      <c r="AE210" s="2349"/>
      <c r="AF210" s="1705"/>
      <c r="AG210" s="1705"/>
      <c r="AH210" s="2406"/>
      <c r="AI210" s="2407"/>
    </row>
    <row r="211" spans="1:63" s="2114" customFormat="1" ht="15" customHeight="1">
      <c r="D211" s="2723"/>
      <c r="E211" s="2392"/>
      <c r="F211" s="2392"/>
      <c r="G211" s="2397"/>
      <c r="H211" s="1518"/>
      <c r="I211" s="2403"/>
      <c r="J211" s="2357"/>
      <c r="K211" s="1528"/>
      <c r="L211" s="2349"/>
      <c r="M211" s="2349"/>
      <c r="N211" s="1508"/>
      <c r="O211" s="2349"/>
      <c r="P211" s="2357"/>
      <c r="Q211" s="1707"/>
      <c r="R211" s="2349"/>
      <c r="S211" s="2349"/>
      <c r="T211" s="1773"/>
      <c r="U211" s="2349"/>
      <c r="V211" s="2357"/>
      <c r="W211" s="1511"/>
      <c r="X211" s="2349"/>
      <c r="Y211" s="2349"/>
      <c r="Z211" s="1703"/>
      <c r="AA211" s="1705"/>
      <c r="AB211" s="2406"/>
      <c r="AC211" s="2406"/>
      <c r="AD211" s="2406"/>
      <c r="AE211" s="2406"/>
      <c r="AF211" s="2406"/>
      <c r="AG211" s="2406"/>
      <c r="AH211" s="2406"/>
      <c r="AI211" s="2407"/>
    </row>
    <row r="212" spans="1:63" s="2114" customFormat="1" ht="15" customHeight="1">
      <c r="D212" s="2723"/>
      <c r="E212" s="2392"/>
      <c r="F212" s="2392"/>
      <c r="G212" s="2397"/>
      <c r="H212" s="1518"/>
      <c r="I212" s="2403"/>
      <c r="J212" s="2357"/>
      <c r="K212" s="1528"/>
      <c r="L212" s="2349"/>
      <c r="M212" s="2349"/>
      <c r="N212" s="1508"/>
      <c r="O212" s="2349"/>
      <c r="P212" s="2357"/>
      <c r="Q212" s="1707"/>
      <c r="R212" s="2349"/>
      <c r="S212" s="2349"/>
      <c r="T212" s="1774"/>
      <c r="U212" s="1515"/>
      <c r="V212" s="2406"/>
      <c r="W212" s="2406"/>
      <c r="X212" s="2406"/>
      <c r="Y212" s="2406"/>
      <c r="Z212" s="2406"/>
      <c r="AA212" s="2406"/>
      <c r="AB212" s="2406"/>
      <c r="AC212" s="2406"/>
      <c r="AD212" s="2406"/>
      <c r="AE212" s="2406"/>
      <c r="AF212" s="2406"/>
      <c r="AG212" s="2406"/>
      <c r="AH212" s="2406"/>
      <c r="AI212" s="2407"/>
    </row>
    <row r="213" spans="1:63" s="2114" customFormat="1" ht="11.25" customHeight="1">
      <c r="D213" s="2723"/>
      <c r="E213" s="2392"/>
      <c r="F213" s="2392"/>
      <c r="G213" s="2397"/>
      <c r="H213" s="1519"/>
      <c r="I213" s="2403"/>
      <c r="J213" s="2357"/>
      <c r="K213" s="1528"/>
      <c r="L213" s="2349"/>
      <c r="M213" s="2349"/>
      <c r="N213" s="1705"/>
      <c r="O213" s="1705"/>
      <c r="P213" s="2406"/>
      <c r="Q213" s="2406"/>
      <c r="R213" s="2406"/>
      <c r="S213" s="2406"/>
      <c r="T213" s="2406"/>
      <c r="U213" s="2406"/>
      <c r="V213" s="2406"/>
      <c r="W213" s="2406"/>
      <c r="X213" s="2406"/>
      <c r="Y213" s="2406"/>
      <c r="Z213" s="2406"/>
      <c r="AA213" s="2406"/>
      <c r="AB213" s="2406"/>
      <c r="AC213" s="2406"/>
      <c r="AD213" s="2406"/>
      <c r="AE213" s="2406"/>
      <c r="AF213" s="2406"/>
      <c r="AG213" s="2406"/>
      <c r="AH213" s="2406"/>
      <c r="AI213" s="2407"/>
    </row>
    <row r="214" spans="1:63" s="2013" customFormat="1" ht="11.25" customHeight="1">
      <c r="D214" s="2723"/>
      <c r="E214" s="2392"/>
      <c r="F214" s="2392"/>
      <c r="G214" s="2408"/>
      <c r="H214" s="1516"/>
      <c r="I214" s="1520"/>
      <c r="J214" s="2404"/>
      <c r="K214" s="2404"/>
      <c r="L214" s="2404"/>
      <c r="M214" s="2404"/>
      <c r="N214" s="2404"/>
      <c r="O214" s="2404"/>
      <c r="P214" s="2404"/>
      <c r="Q214" s="2404"/>
      <c r="R214" s="2404"/>
      <c r="S214" s="2404"/>
      <c r="T214" s="2404"/>
      <c r="U214" s="2404"/>
      <c r="V214" s="2404"/>
      <c r="W214" s="2404"/>
      <c r="X214" s="2404"/>
      <c r="Y214" s="2404"/>
      <c r="Z214" s="2404"/>
      <c r="AA214" s="2404"/>
      <c r="AB214" s="2404"/>
      <c r="AC214" s="2404"/>
      <c r="AD214" s="2404"/>
      <c r="AE214" s="2404"/>
      <c r="AF214" s="2404"/>
      <c r="AG214" s="2404"/>
      <c r="AH214" s="2404"/>
      <c r="AI214" s="2405"/>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00"/>
    <col min="2" max="2" width="43.140625" style="2100" hidden="1"/>
    <col min="3" max="3" width="43.140625" style="2100"/>
    <col min="4" max="5" width="36.42578125" style="2100" customWidth="1"/>
    <col min="6" max="8" width="36.42578125" style="2101" customWidth="1"/>
  </cols>
  <sheetData>
    <row r="1" spans="1:8" ht="9" customHeight="1">
      <c r="A1" s="773" t="s">
        <v>1994</v>
      </c>
      <c r="B1" s="773"/>
      <c r="C1" s="906" t="s">
        <v>1995</v>
      </c>
      <c r="D1" s="905" t="s">
        <v>805</v>
      </c>
      <c r="E1" s="905" t="s">
        <v>851</v>
      </c>
      <c r="F1" s="905" t="s">
        <v>904</v>
      </c>
      <c r="G1" s="905" t="s">
        <v>891</v>
      </c>
      <c r="H1" s="905" t="s">
        <v>1676</v>
      </c>
    </row>
    <row r="2" spans="1:8" ht="9" customHeight="1">
      <c r="A2" s="907" t="s">
        <v>1996</v>
      </c>
      <c r="B2" s="907"/>
      <c r="C2" s="908" t="str">
        <f>INDEX(TEMPLATE_NUMBER_FORM_LIST,MATCH(TEMPLATE_SPHERE,TEMPLATE_SPHERE_LIST,0))</f>
        <v>16</v>
      </c>
      <c r="D2" s="907" t="s">
        <v>1056</v>
      </c>
      <c r="E2" s="907" t="s">
        <v>148</v>
      </c>
      <c r="F2" s="909" t="s">
        <v>148</v>
      </c>
      <c r="G2" s="907" t="s">
        <v>148</v>
      </c>
      <c r="H2" s="910"/>
    </row>
    <row r="3" spans="1:8" ht="63" customHeight="1">
      <c r="A3" s="773"/>
      <c r="B3" s="773" t="s">
        <v>108</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1997</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1998</v>
      </c>
      <c r="B4" s="773" t="s">
        <v>109</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1999</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2000</v>
      </c>
    </row>
    <row r="5" spans="1:8" ht="117" customHeight="1">
      <c r="A5" s="773" t="s">
        <v>2001</v>
      </c>
      <c r="B5" s="773" t="s">
        <v>92</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2002</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2003</v>
      </c>
    </row>
    <row r="6" spans="1:8" ht="90" customHeight="1">
      <c r="A6" s="773" t="s">
        <v>2004</v>
      </c>
      <c r="B6" s="773" t="s">
        <v>93</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2005</v>
      </c>
      <c r="B7" s="773" t="s">
        <v>110</v>
      </c>
      <c r="C7" s="908" t="str">
        <f>IF(TEMPLATE_SPHERE="HEAT",D7,E7)</f>
        <v>Форма 11. Информация о расходах на капитальный и текущий ремонт основных средств</v>
      </c>
      <c r="D7" s="773" t="s">
        <v>2006</v>
      </c>
      <c r="E7" s="773" t="s">
        <v>2007</v>
      </c>
      <c r="F7" s="910"/>
      <c r="G7" s="910"/>
      <c r="H7" s="910"/>
    </row>
    <row r="8" spans="1:8" ht="108" customHeight="1">
      <c r="A8" s="773" t="s">
        <v>2008</v>
      </c>
      <c r="B8" s="773" t="s">
        <v>94</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1225</v>
      </c>
      <c r="E8" s="773" t="s">
        <v>2009</v>
      </c>
      <c r="F8" s="910"/>
      <c r="G8" s="910"/>
      <c r="H8" s="910"/>
    </row>
    <row r="9" spans="1:8" ht="99" customHeight="1">
      <c r="A9" s="773" t="s">
        <v>2010</v>
      </c>
      <c r="B9" s="773"/>
      <c r="C9" s="773" t="s">
        <v>2011</v>
      </c>
      <c r="D9" s="773"/>
      <c r="E9" s="773"/>
      <c r="F9" s="910"/>
      <c r="G9" s="910"/>
      <c r="H9" s="910"/>
    </row>
    <row r="10" spans="1:8" ht="126" customHeight="1">
      <c r="A10" s="773" t="s">
        <v>2012</v>
      </c>
      <c r="B10" s="773"/>
      <c r="C10" s="773" t="s">
        <v>2013</v>
      </c>
      <c r="D10" s="773"/>
      <c r="E10" s="773"/>
      <c r="F10" s="910"/>
      <c r="G10" s="910"/>
      <c r="H10" s="910"/>
    </row>
    <row r="11" spans="1:8" ht="108" customHeight="1">
      <c r="A11" s="773" t="s">
        <v>2014</v>
      </c>
      <c r="B11" s="773"/>
      <c r="C11" s="773" t="s">
        <v>2015</v>
      </c>
      <c r="D11" s="773"/>
      <c r="E11" s="773"/>
      <c r="F11" s="910"/>
      <c r="G11" s="910"/>
      <c r="H11" s="910"/>
    </row>
    <row r="12" spans="1:8" ht="54" customHeight="1">
      <c r="A12" s="773" t="s">
        <v>2016</v>
      </c>
      <c r="B12" s="773"/>
      <c r="C12" s="773" t="s">
        <v>2017</v>
      </c>
      <c r="D12" s="773"/>
      <c r="E12" s="773"/>
      <c r="F12" s="910"/>
      <c r="G12" s="910"/>
      <c r="H12" s="910"/>
    </row>
    <row r="13" spans="1:8" ht="45" customHeight="1">
      <c r="A13" s="773" t="s">
        <v>2018</v>
      </c>
      <c r="B13" s="773"/>
      <c r="C13" s="773" t="s">
        <v>2019</v>
      </c>
      <c r="D13" s="773"/>
      <c r="E13" s="773"/>
      <c r="F13" s="910"/>
      <c r="G13" s="910"/>
      <c r="H13" s="910"/>
    </row>
    <row r="14" spans="1:8" ht="117" customHeight="1">
      <c r="A14" s="773" t="s">
        <v>2020</v>
      </c>
      <c r="B14" s="773"/>
      <c r="C14" s="773" t="s">
        <v>2021</v>
      </c>
      <c r="D14" s="773"/>
      <c r="E14" s="773"/>
      <c r="F14" s="910"/>
      <c r="G14" s="910"/>
      <c r="H14" s="910"/>
    </row>
    <row r="15" spans="1:8" ht="117" customHeight="1">
      <c r="A15" s="773" t="s">
        <v>2022</v>
      </c>
      <c r="B15" s="773"/>
      <c r="C15" s="773" t="s">
        <v>2023</v>
      </c>
      <c r="D15" s="773"/>
      <c r="E15" s="773"/>
      <c r="F15" s="910"/>
      <c r="G15" s="910"/>
      <c r="H15" s="910"/>
    </row>
    <row r="16" spans="1:8" ht="63" customHeight="1">
      <c r="A16" s="773" t="s">
        <v>2024</v>
      </c>
      <c r="B16" s="773"/>
      <c r="C16" s="773" t="s">
        <v>2025</v>
      </c>
      <c r="D16" s="773"/>
      <c r="E16" s="773"/>
      <c r="F16" s="910"/>
      <c r="G16" s="910"/>
      <c r="H16" s="910"/>
    </row>
    <row r="17" spans="1:8" ht="54" customHeight="1">
      <c r="A17" s="773" t="s">
        <v>2026</v>
      </c>
      <c r="B17" s="773"/>
      <c r="C17" s="908" t="s">
        <v>2027</v>
      </c>
      <c r="D17" s="773"/>
      <c r="E17" s="773"/>
      <c r="F17" s="910"/>
      <c r="G17" s="910"/>
      <c r="H17" s="910"/>
    </row>
    <row r="18" spans="1:8" ht="27" customHeight="1">
      <c r="A18" s="773" t="s">
        <v>2028</v>
      </c>
      <c r="B18" s="773"/>
      <c r="C18" s="908" t="s">
        <v>2029</v>
      </c>
      <c r="D18" s="773"/>
      <c r="E18" s="773"/>
      <c r="F18" s="910"/>
      <c r="G18" s="910"/>
      <c r="H18" s="910"/>
    </row>
    <row r="19" spans="1:8" ht="54" customHeight="1">
      <c r="A19" s="773" t="s">
        <v>2030</v>
      </c>
      <c r="B19" s="773"/>
      <c r="C19" s="908" t="s">
        <v>2031</v>
      </c>
      <c r="D19" s="773"/>
      <c r="E19" s="773"/>
      <c r="F19" s="910"/>
      <c r="G19" s="910"/>
      <c r="H19" s="910"/>
    </row>
    <row r="20" spans="1:8" ht="36" customHeight="1">
      <c r="A20" s="773" t="s">
        <v>2032</v>
      </c>
      <c r="B20" s="773"/>
      <c r="C20" s="908" t="s">
        <v>2033</v>
      </c>
      <c r="D20" s="773"/>
      <c r="E20" s="773"/>
      <c r="F20" s="910"/>
      <c r="G20" s="910"/>
      <c r="H20" s="910"/>
    </row>
    <row r="21" spans="1:8" ht="36" customHeight="1">
      <c r="A21" s="773" t="s">
        <v>2034</v>
      </c>
      <c r="B21" s="773"/>
      <c r="C21" s="908" t="s">
        <v>2035</v>
      </c>
      <c r="D21" s="773"/>
      <c r="E21" s="773"/>
      <c r="F21" s="910"/>
      <c r="G21" s="910"/>
      <c r="H21" s="910"/>
    </row>
    <row r="22" spans="1:8" ht="27" customHeight="1">
      <c r="A22" s="773" t="s">
        <v>2036</v>
      </c>
      <c r="B22" s="773"/>
      <c r="C22" s="908" t="s">
        <v>2037</v>
      </c>
      <c r="D22" s="773"/>
      <c r="E22" s="773"/>
      <c r="F22" s="910"/>
      <c r="G22" s="910"/>
      <c r="H22" s="910"/>
    </row>
    <row r="23" spans="1:8" ht="36" customHeight="1">
      <c r="A23" s="773" t="s">
        <v>2038</v>
      </c>
      <c r="B23" s="773"/>
      <c r="C23" s="908" t="s">
        <v>2039</v>
      </c>
      <c r="D23" s="773"/>
      <c r="E23" s="773"/>
      <c r="F23" s="910"/>
      <c r="G23" s="910"/>
      <c r="H23" s="910"/>
    </row>
    <row r="24" spans="1:8" ht="28.5" customHeight="1">
      <c r="A24" s="773" t="s">
        <v>2040</v>
      </c>
      <c r="B24" s="773"/>
      <c r="C24" s="908" t="s">
        <v>2041</v>
      </c>
      <c r="D24" s="773"/>
      <c r="E24" s="773"/>
      <c r="F24" s="910"/>
      <c r="G24" s="910"/>
      <c r="H24" s="910"/>
    </row>
    <row r="25" spans="1:8" ht="36" customHeight="1">
      <c r="A25" s="773" t="s">
        <v>2042</v>
      </c>
      <c r="B25" s="773"/>
      <c r="C25" s="908" t="s">
        <v>2043</v>
      </c>
      <c r="D25" s="773"/>
      <c r="E25" s="773"/>
      <c r="F25" s="910"/>
      <c r="G25" s="910"/>
      <c r="H25" s="910"/>
    </row>
    <row r="26" spans="1:8" ht="27" customHeight="1">
      <c r="A26" s="773" t="s">
        <v>2044</v>
      </c>
      <c r="B26" s="773"/>
      <c r="C26" s="908" t="s">
        <v>2045</v>
      </c>
      <c r="D26" s="773"/>
      <c r="E26" s="773"/>
      <c r="F26" s="910"/>
      <c r="G26" s="910"/>
      <c r="H26" s="910"/>
    </row>
    <row r="27" spans="1:8" ht="36" customHeight="1">
      <c r="A27" s="773" t="s">
        <v>2046</v>
      </c>
      <c r="B27" s="773"/>
      <c r="C27" s="908" t="s">
        <v>2047</v>
      </c>
      <c r="D27" s="773"/>
      <c r="E27" s="773"/>
      <c r="F27" s="910"/>
      <c r="G27" s="910"/>
      <c r="H27" s="910"/>
    </row>
    <row r="28" spans="1:8" ht="28.5" customHeight="1">
      <c r="A28" s="773" t="s">
        <v>2048</v>
      </c>
      <c r="B28" s="773"/>
      <c r="C28" s="908" t="s">
        <v>2049</v>
      </c>
      <c r="D28" s="773"/>
      <c r="E28" s="773"/>
      <c r="F28" s="910"/>
      <c r="G28" s="910"/>
      <c r="H28" s="910"/>
    </row>
    <row r="29" spans="1:8" ht="126" customHeight="1">
      <c r="A29" s="773" t="s">
        <v>2050</v>
      </c>
      <c r="B29" s="773" t="s">
        <v>1627</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2051</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2052</v>
      </c>
    </row>
    <row r="30" spans="1:8" ht="36" customHeight="1">
      <c r="A30" s="773" t="s">
        <v>2053</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2054</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2055</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2056</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2057</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2058</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2059</v>
      </c>
    </row>
    <row r="33" spans="1:8" ht="9" customHeight="1">
      <c r="A33" s="773"/>
      <c r="B33" s="773"/>
      <c r="C33" s="908"/>
      <c r="D33" s="773"/>
      <c r="E33" s="773"/>
      <c r="F33" s="910"/>
      <c r="G33" s="910"/>
      <c r="H33" s="910"/>
    </row>
    <row r="34" spans="1:8" ht="9" customHeight="1">
      <c r="A34" s="773"/>
      <c r="B34" s="773" t="s">
        <v>1070</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00"/>
    <col min="3" max="7" width="8" style="2103" customWidth="1"/>
    <col min="8" max="12" width="8.5703125" style="2103" customWidth="1"/>
    <col min="13" max="14" width="27.7109375" style="2103" customWidth="1"/>
    <col min="15" max="19" width="5.140625" style="2103" customWidth="1"/>
    <col min="20" max="24" width="27.7109375" style="2103" customWidth="1"/>
    <col min="25" max="25" width="1.85546875" style="2104" customWidth="1"/>
    <col min="26" max="26" width="27.7109375" style="2100" customWidth="1"/>
    <col min="27" max="27" width="27.7109375" style="2105" customWidth="1"/>
    <col min="28" max="29" width="27.7109375" style="2100" customWidth="1"/>
    <col min="30" max="30" width="3.85546875" style="2100" customWidth="1"/>
    <col min="31" max="34" width="9.140625" style="2100"/>
  </cols>
  <sheetData>
    <row r="1" spans="1:34" s="2102" customFormat="1" ht="18" customHeight="1">
      <c r="A1" s="823"/>
      <c r="B1" s="823"/>
      <c r="C1" s="823" t="s">
        <v>2060</v>
      </c>
      <c r="D1" s="823"/>
      <c r="E1" s="823"/>
      <c r="F1" s="823"/>
      <c r="G1" s="823"/>
      <c r="H1" s="823" t="s">
        <v>2061</v>
      </c>
      <c r="I1" s="823"/>
      <c r="J1" s="823"/>
      <c r="K1" s="823"/>
      <c r="L1" s="823"/>
      <c r="M1" s="823" t="s">
        <v>2062</v>
      </c>
      <c r="N1" s="823" t="s">
        <v>2063</v>
      </c>
      <c r="O1" s="2731" t="s">
        <v>2064</v>
      </c>
      <c r="P1" s="2731"/>
      <c r="Q1" s="2731"/>
      <c r="R1" s="2731"/>
      <c r="S1" s="2731"/>
      <c r="T1" s="2731" t="s">
        <v>2062</v>
      </c>
      <c r="U1" s="2731"/>
      <c r="V1" s="2731"/>
      <c r="W1" s="2731"/>
      <c r="X1" s="2731"/>
      <c r="Y1" s="923"/>
      <c r="Z1" s="2731" t="s">
        <v>2065</v>
      </c>
      <c r="AA1" s="2731"/>
      <c r="AB1" s="2731"/>
      <c r="AC1" s="2731"/>
      <c r="AD1" s="2731"/>
    </row>
    <row r="2" spans="1:34" ht="18" customHeight="1">
      <c r="A2" s="773"/>
      <c r="B2" s="773"/>
      <c r="C2" s="769" t="s">
        <v>805</v>
      </c>
      <c r="D2" s="769" t="s">
        <v>851</v>
      </c>
      <c r="E2" s="769" t="s">
        <v>904</v>
      </c>
      <c r="F2" s="769" t="s">
        <v>891</v>
      </c>
      <c r="G2" s="769" t="s">
        <v>1676</v>
      </c>
      <c r="H2" s="770"/>
      <c r="I2" s="770"/>
      <c r="J2" s="770"/>
      <c r="K2" s="770"/>
      <c r="L2" s="770"/>
      <c r="M2" s="770"/>
      <c r="N2" s="770"/>
      <c r="O2" s="769" t="s">
        <v>805</v>
      </c>
      <c r="P2" s="769" t="s">
        <v>851</v>
      </c>
      <c r="Q2" s="769" t="s">
        <v>891</v>
      </c>
      <c r="R2" s="769" t="s">
        <v>904</v>
      </c>
      <c r="S2" s="769" t="s">
        <v>1676</v>
      </c>
      <c r="T2" s="769" t="s">
        <v>805</v>
      </c>
      <c r="U2" s="769" t="s">
        <v>851</v>
      </c>
      <c r="V2" s="769" t="s">
        <v>891</v>
      </c>
      <c r="W2" s="769" t="s">
        <v>904</v>
      </c>
      <c r="X2" s="769" t="s">
        <v>1676</v>
      </c>
      <c r="Y2" s="769"/>
      <c r="Z2" s="769" t="s">
        <v>805</v>
      </c>
      <c r="AA2" s="777" t="s">
        <v>851</v>
      </c>
      <c r="AB2" s="769" t="s">
        <v>891</v>
      </c>
      <c r="AC2" s="769" t="s">
        <v>904</v>
      </c>
      <c r="AD2" s="769" t="s">
        <v>1676</v>
      </c>
    </row>
    <row r="3" spans="1:34" ht="162" customHeight="1">
      <c r="A3" s="772" t="s">
        <v>27</v>
      </c>
      <c r="B3" s="772"/>
      <c r="C3" s="2735" t="s">
        <v>2066</v>
      </c>
      <c r="D3" s="2736"/>
      <c r="E3" s="2736"/>
      <c r="F3" s="2737"/>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2067</v>
      </c>
      <c r="AA3" s="770" t="s">
        <v>2068</v>
      </c>
      <c r="AB3" s="773" t="s">
        <v>2069</v>
      </c>
      <c r="AC3" s="773" t="s">
        <v>2070</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32" t="s">
        <v>33</v>
      </c>
      <c r="B11" s="824">
        <v>1</v>
      </c>
      <c r="C11" s="2738" t="s">
        <v>1614</v>
      </c>
      <c r="D11" s="2738" t="s">
        <v>1081</v>
      </c>
      <c r="E11" s="2738" t="s">
        <v>1708</v>
      </c>
      <c r="F11" s="2738" t="s">
        <v>2071</v>
      </c>
      <c r="G11" s="2738"/>
      <c r="H11" s="823" t="s">
        <v>2072</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2073</v>
      </c>
      <c r="U11" s="770" t="s">
        <v>2074</v>
      </c>
      <c r="V11" s="770"/>
      <c r="W11" s="770"/>
      <c r="X11" s="770"/>
      <c r="Y11" s="924"/>
      <c r="Z11" s="773" t="s">
        <v>2075</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32"/>
      <c r="B12" s="824">
        <v>2</v>
      </c>
      <c r="C12" s="2739"/>
      <c r="D12" s="2739"/>
      <c r="E12" s="2739"/>
      <c r="F12" s="2739"/>
      <c r="G12" s="2739"/>
      <c r="H12" s="823" t="s">
        <v>2076</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2077</v>
      </c>
      <c r="U12" s="770" t="s">
        <v>2078</v>
      </c>
      <c r="V12" s="770"/>
      <c r="W12" s="770"/>
      <c r="X12" s="770"/>
      <c r="Y12" s="924"/>
      <c r="Z12" s="773" t="s">
        <v>2079</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32"/>
      <c r="B13" s="824">
        <v>3</v>
      </c>
      <c r="C13" s="2739"/>
      <c r="D13" s="2739"/>
      <c r="E13" s="2739"/>
      <c r="F13" s="2739"/>
      <c r="G13" s="2739"/>
      <c r="H13" s="2731" t="s">
        <v>2080</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2081</v>
      </c>
      <c r="U13" s="771" t="s">
        <v>2082</v>
      </c>
      <c r="V13" s="771"/>
      <c r="W13" s="771"/>
      <c r="X13" s="770"/>
      <c r="Y13" s="924"/>
      <c r="Z13" s="773" t="s">
        <v>2083</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32"/>
      <c r="B14" s="824">
        <v>4</v>
      </c>
      <c r="C14" s="2739"/>
      <c r="D14" s="2739"/>
      <c r="E14" s="2739"/>
      <c r="F14" s="2739"/>
      <c r="G14" s="2739"/>
      <c r="H14" s="2731"/>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2084</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2085</v>
      </c>
      <c r="AA14" s="776" t="s">
        <v>2085</v>
      </c>
      <c r="AB14" s="773"/>
      <c r="AC14" s="773"/>
      <c r="AD14" s="773"/>
    </row>
    <row r="15" spans="1:34" ht="108" customHeight="1">
      <c r="A15" s="2732"/>
      <c r="B15" s="824">
        <v>5</v>
      </c>
      <c r="C15" s="2739"/>
      <c r="D15" s="2739"/>
      <c r="E15" s="2739"/>
      <c r="F15" s="2739"/>
      <c r="G15" s="2739"/>
      <c r="H15" s="2733" t="s">
        <v>2086</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2087</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2088</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40"/>
      <c r="D16" s="2740"/>
      <c r="E16" s="2740"/>
      <c r="F16" s="2740"/>
      <c r="G16" s="2740"/>
      <c r="H16" s="2734"/>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2088</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1711</v>
      </c>
      <c r="B18" s="824">
        <v>1</v>
      </c>
      <c r="C18" s="770" t="s">
        <v>2072</v>
      </c>
      <c r="D18" s="892" t="s">
        <v>2072</v>
      </c>
      <c r="E18" s="770" t="s">
        <v>2072</v>
      </c>
      <c r="F18" s="770" t="s">
        <v>2072</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2089</v>
      </c>
      <c r="U18" s="773" t="s">
        <v>2090</v>
      </c>
      <c r="V18" s="773" t="s">
        <v>2091</v>
      </c>
      <c r="W18" s="773" t="s">
        <v>2092</v>
      </c>
      <c r="X18" s="770"/>
      <c r="Y18" s="924"/>
      <c r="Z18" s="773" t="s">
        <v>2093</v>
      </c>
      <c r="AA18" s="776" t="s">
        <v>2094</v>
      </c>
      <c r="AB18" s="776" t="s">
        <v>2094</v>
      </c>
      <c r="AC18" s="776" t="s">
        <v>2094</v>
      </c>
      <c r="AD18" s="773"/>
    </row>
    <row r="19" spans="1:30" ht="36" customHeight="1">
      <c r="A19" s="772"/>
      <c r="B19" s="824">
        <v>2</v>
      </c>
      <c r="C19" s="770" t="s">
        <v>2076</v>
      </c>
      <c r="D19" s="892" t="s">
        <v>2076</v>
      </c>
      <c r="E19" s="770" t="s">
        <v>2076</v>
      </c>
      <c r="F19" s="770" t="s">
        <v>2076</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2095</v>
      </c>
      <c r="U19" s="773" t="s">
        <v>2096</v>
      </c>
      <c r="V19" s="773" t="s">
        <v>2097</v>
      </c>
      <c r="W19" s="773" t="s">
        <v>2098</v>
      </c>
      <c r="X19" s="770"/>
      <c r="Y19" s="924"/>
      <c r="Z19" s="773" t="s">
        <v>2099</v>
      </c>
      <c r="AA19" s="776" t="s">
        <v>2099</v>
      </c>
      <c r="AB19" s="776" t="s">
        <v>2099</v>
      </c>
      <c r="AC19" s="776" t="s">
        <v>2099</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706</v>
      </c>
      <c r="P20" s="882" t="s">
        <v>706</v>
      </c>
      <c r="Q20" s="882" t="s">
        <v>706</v>
      </c>
      <c r="R20" s="882" t="s">
        <v>706</v>
      </c>
      <c r="S20" s="882"/>
      <c r="T20" s="889" t="s">
        <v>2100</v>
      </c>
      <c r="U20" s="773" t="s">
        <v>2101</v>
      </c>
      <c r="V20" s="773" t="s">
        <v>2102</v>
      </c>
      <c r="W20" s="773" t="s">
        <v>2103</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304</v>
      </c>
      <c r="P21" s="882"/>
      <c r="Q21" s="882"/>
      <c r="R21" s="882"/>
      <c r="S21" s="882"/>
      <c r="T21" s="889" t="s">
        <v>2104</v>
      </c>
      <c r="U21" s="773"/>
      <c r="V21" s="773"/>
      <c r="W21" s="773"/>
      <c r="X21" s="770"/>
      <c r="Y21" s="924"/>
      <c r="Z21" s="773" t="s">
        <v>2105</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304</v>
      </c>
      <c r="R22" s="882"/>
      <c r="S22" s="882"/>
      <c r="T22" s="889"/>
      <c r="U22" s="773"/>
      <c r="V22" s="773" t="s">
        <v>2106</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307</v>
      </c>
      <c r="R23" s="882"/>
      <c r="S23" s="882"/>
      <c r="T23" s="889"/>
      <c r="U23" s="773"/>
      <c r="V23" s="773" t="s">
        <v>2107</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726</v>
      </c>
      <c r="R24" s="882"/>
      <c r="S24" s="882"/>
      <c r="T24" s="889"/>
      <c r="U24" s="773"/>
      <c r="V24" s="773" t="s">
        <v>2108</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307</v>
      </c>
      <c r="P25" s="882" t="s">
        <v>304</v>
      </c>
      <c r="Q25" s="882" t="s">
        <v>733</v>
      </c>
      <c r="R25" s="882" t="s">
        <v>304</v>
      </c>
      <c r="S25" s="882"/>
      <c r="T25" s="889" t="s">
        <v>2109</v>
      </c>
      <c r="U25" s="773" t="s">
        <v>2109</v>
      </c>
      <c r="V25" s="773" t="s">
        <v>2109</v>
      </c>
      <c r="W25" s="773" t="s">
        <v>2109</v>
      </c>
      <c r="X25" s="770"/>
      <c r="Y25" s="924"/>
      <c r="Z25" s="773"/>
      <c r="AA25" s="776"/>
      <c r="AB25" s="773"/>
      <c r="AC25" s="773"/>
      <c r="AD25" s="773"/>
    </row>
    <row r="26" spans="1:30" ht="18" customHeight="1">
      <c r="A26" s="772"/>
      <c r="B26" s="824">
        <v>9</v>
      </c>
      <c r="C26" s="770" t="s">
        <v>649</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722</v>
      </c>
      <c r="P26" s="882" t="s">
        <v>716</v>
      </c>
      <c r="Q26" s="882" t="s">
        <v>2110</v>
      </c>
      <c r="R26" s="882" t="s">
        <v>716</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2111</v>
      </c>
      <c r="V26" s="889" t="s">
        <v>2111</v>
      </c>
      <c r="W26" s="889" t="s">
        <v>2111</v>
      </c>
      <c r="X26" s="770"/>
      <c r="Y26" s="924"/>
      <c r="Z26" s="773"/>
      <c r="AA26" s="776"/>
      <c r="AB26" s="773"/>
      <c r="AC26" s="773"/>
      <c r="AD26" s="773"/>
    </row>
    <row r="27" spans="1:30" ht="18" customHeight="1">
      <c r="A27" s="772"/>
      <c r="B27" s="824">
        <v>10</v>
      </c>
      <c r="C27" s="770" t="s">
        <v>653</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724</v>
      </c>
      <c r="P27" s="882" t="s">
        <v>718</v>
      </c>
      <c r="Q27" s="882" t="s">
        <v>2112</v>
      </c>
      <c r="R27" s="882" t="s">
        <v>718</v>
      </c>
      <c r="S27" s="882"/>
      <c r="T27" s="889" t="s">
        <v>2113</v>
      </c>
      <c r="U27" s="889" t="s">
        <v>2113</v>
      </c>
      <c r="V27" s="889" t="s">
        <v>2113</v>
      </c>
      <c r="W27" s="889" t="s">
        <v>2113</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726</v>
      </c>
      <c r="P28" s="882"/>
      <c r="Q28" s="882"/>
      <c r="R28" s="882"/>
      <c r="S28" s="882"/>
      <c r="T28" s="889" t="s">
        <v>2114</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733</v>
      </c>
      <c r="P29" s="882" t="s">
        <v>307</v>
      </c>
      <c r="Q29" s="882"/>
      <c r="R29" s="882" t="s">
        <v>307</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2115</v>
      </c>
      <c r="V29" s="773"/>
      <c r="W29" s="773" t="s">
        <v>2115</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735</v>
      </c>
      <c r="P30" s="882" t="s">
        <v>726</v>
      </c>
      <c r="Q30" s="882" t="s">
        <v>735</v>
      </c>
      <c r="R30" s="882" t="s">
        <v>726</v>
      </c>
      <c r="S30" s="882"/>
      <c r="T30" s="889" t="s">
        <v>2116</v>
      </c>
      <c r="U30" s="773" t="s">
        <v>2116</v>
      </c>
      <c r="V30" s="773" t="s">
        <v>2116</v>
      </c>
      <c r="W30" s="773" t="s">
        <v>2116</v>
      </c>
      <c r="X30" s="770"/>
      <c r="Y30" s="924"/>
      <c r="Z30" s="773"/>
      <c r="AA30" s="776" t="s">
        <v>2117</v>
      </c>
      <c r="AB30" s="776" t="s">
        <v>2117</v>
      </c>
      <c r="AC30" s="776" t="s">
        <v>2117</v>
      </c>
      <c r="AD30" s="773"/>
    </row>
    <row r="31" spans="1:30" ht="18" customHeight="1">
      <c r="A31" s="772"/>
      <c r="B31" s="824">
        <v>14</v>
      </c>
      <c r="C31" s="770" t="s">
        <v>2118</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2119</v>
      </c>
      <c r="P31" s="882" t="s">
        <v>729</v>
      </c>
      <c r="Q31" s="882" t="s">
        <v>2119</v>
      </c>
      <c r="R31" s="882" t="s">
        <v>729</v>
      </c>
      <c r="S31" s="882"/>
      <c r="T31" s="890" t="s">
        <v>2120</v>
      </c>
      <c r="U31" s="773" t="s">
        <v>2120</v>
      </c>
      <c r="V31" s="773" t="s">
        <v>2120</v>
      </c>
      <c r="W31" s="773" t="s">
        <v>2120</v>
      </c>
      <c r="X31" s="770"/>
      <c r="Y31" s="924"/>
      <c r="Z31" s="773"/>
      <c r="AA31" s="776"/>
      <c r="AB31" s="776"/>
      <c r="AC31" s="776"/>
      <c r="AD31" s="773"/>
    </row>
    <row r="32" spans="1:30" ht="36" customHeight="1">
      <c r="A32" s="772"/>
      <c r="B32" s="824">
        <v>15</v>
      </c>
      <c r="C32" s="770" t="s">
        <v>2121</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2122</v>
      </c>
      <c r="P32" s="882" t="s">
        <v>731</v>
      </c>
      <c r="Q32" s="882" t="s">
        <v>2122</v>
      </c>
      <c r="R32" s="882" t="s">
        <v>731</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2123</v>
      </c>
      <c r="V32" s="773" t="s">
        <v>2123</v>
      </c>
      <c r="W32" s="773" t="s">
        <v>2123</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737</v>
      </c>
      <c r="P33" s="882" t="s">
        <v>733</v>
      </c>
      <c r="Q33" s="882" t="s">
        <v>737</v>
      </c>
      <c r="R33" s="882" t="s">
        <v>733</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2124</v>
      </c>
      <c r="V33" s="773" t="s">
        <v>2124</v>
      </c>
      <c r="W33" s="773" t="s">
        <v>2125</v>
      </c>
      <c r="X33" s="770"/>
      <c r="Y33" s="924"/>
      <c r="Z33" s="773"/>
      <c r="AA33" s="776" t="s">
        <v>2126</v>
      </c>
      <c r="AB33" s="776" t="s">
        <v>2126</v>
      </c>
      <c r="AC33" s="776" t="s">
        <v>2126</v>
      </c>
      <c r="AD33" s="773"/>
    </row>
    <row r="34" spans="1:30" ht="27" customHeight="1">
      <c r="A34" s="772"/>
      <c r="B34" s="824">
        <v>17</v>
      </c>
      <c r="C34" s="770" t="s">
        <v>2127</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2128</v>
      </c>
      <c r="P34" s="882" t="s">
        <v>2110</v>
      </c>
      <c r="Q34" s="882" t="s">
        <v>2128</v>
      </c>
      <c r="R34" s="882" t="s">
        <v>2110</v>
      </c>
      <c r="S34" s="882"/>
      <c r="T34" s="891" t="s">
        <v>2129</v>
      </c>
      <c r="U34" s="773" t="s">
        <v>2129</v>
      </c>
      <c r="V34" s="773" t="s">
        <v>2129</v>
      </c>
      <c r="W34" s="773" t="s">
        <v>2130</v>
      </c>
      <c r="X34" s="770"/>
      <c r="Y34" s="924"/>
      <c r="Z34" s="773"/>
      <c r="AA34" s="776"/>
      <c r="AB34" s="773"/>
      <c r="AC34" s="773"/>
      <c r="AD34" s="773"/>
    </row>
    <row r="35" spans="1:30" ht="45" customHeight="1">
      <c r="A35" s="772"/>
      <c r="B35" s="824">
        <v>18</v>
      </c>
      <c r="C35" s="770" t="s">
        <v>2131</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2132</v>
      </c>
      <c r="P35" s="882" t="s">
        <v>2112</v>
      </c>
      <c r="Q35" s="882" t="s">
        <v>2132</v>
      </c>
      <c r="R35" s="882" t="s">
        <v>2112</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2133</v>
      </c>
      <c r="V35" s="773" t="s">
        <v>2133</v>
      </c>
      <c r="W35" s="773" t="s">
        <v>2133</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739</v>
      </c>
      <c r="P36" s="882" t="s">
        <v>735</v>
      </c>
      <c r="Q36" s="882" t="s">
        <v>739</v>
      </c>
      <c r="R36" s="882" t="s">
        <v>735</v>
      </c>
      <c r="S36" s="882"/>
      <c r="T36" s="889" t="s">
        <v>2134</v>
      </c>
      <c r="U36" s="773" t="s">
        <v>2134</v>
      </c>
      <c r="V36" s="773" t="s">
        <v>2134</v>
      </c>
      <c r="W36" s="773" t="s">
        <v>2134</v>
      </c>
      <c r="X36" s="770"/>
      <c r="Y36" s="924"/>
      <c r="Z36" s="773"/>
      <c r="AA36" s="776"/>
      <c r="AB36" s="773"/>
      <c r="AC36" s="773"/>
      <c r="AD36" s="773"/>
    </row>
    <row r="37" spans="1:30" ht="18" customHeight="1">
      <c r="A37" s="772"/>
      <c r="B37" s="824">
        <v>20</v>
      </c>
      <c r="C37" s="770" t="s">
        <v>2135</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2136</v>
      </c>
      <c r="P37" s="882" t="s">
        <v>2119</v>
      </c>
      <c r="Q37" s="882" t="s">
        <v>2136</v>
      </c>
      <c r="R37" s="882" t="s">
        <v>2119</v>
      </c>
      <c r="S37" s="882"/>
      <c r="T37" s="889" t="s">
        <v>2137</v>
      </c>
      <c r="U37" s="773" t="s">
        <v>2137</v>
      </c>
      <c r="V37" s="773" t="s">
        <v>2137</v>
      </c>
      <c r="W37" s="773" t="s">
        <v>2137</v>
      </c>
      <c r="X37" s="770"/>
      <c r="Y37" s="924"/>
      <c r="Z37" s="773"/>
      <c r="AA37" s="776"/>
      <c r="AB37" s="773"/>
      <c r="AC37" s="773"/>
      <c r="AD37" s="773"/>
    </row>
    <row r="38" spans="1:30" ht="18" customHeight="1">
      <c r="A38" s="772"/>
      <c r="B38" s="824">
        <v>21</v>
      </c>
      <c r="C38" s="770" t="s">
        <v>2138</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2139</v>
      </c>
      <c r="P38" s="882" t="s">
        <v>2122</v>
      </c>
      <c r="Q38" s="882" t="s">
        <v>2139</v>
      </c>
      <c r="R38" s="882" t="s">
        <v>2122</v>
      </c>
      <c r="S38" s="882"/>
      <c r="T38" s="889" t="s">
        <v>2140</v>
      </c>
      <c r="U38" s="773" t="s">
        <v>2140</v>
      </c>
      <c r="V38" s="773" t="s">
        <v>2140</v>
      </c>
      <c r="W38" s="773" t="s">
        <v>2140</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743</v>
      </c>
      <c r="P39" s="882" t="s">
        <v>737</v>
      </c>
      <c r="Q39" s="882" t="s">
        <v>743</v>
      </c>
      <c r="R39" s="882" t="s">
        <v>737</v>
      </c>
      <c r="S39" s="882"/>
      <c r="T39" s="889" t="s">
        <v>2141</v>
      </c>
      <c r="U39" s="773" t="s">
        <v>2142</v>
      </c>
      <c r="V39" s="773" t="s">
        <v>2143</v>
      </c>
      <c r="W39" s="773" t="s">
        <v>2144</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2145</v>
      </c>
      <c r="P40" s="882" t="s">
        <v>739</v>
      </c>
      <c r="Q40" s="882" t="s">
        <v>2145</v>
      </c>
      <c r="R40" s="882" t="s">
        <v>739</v>
      </c>
      <c r="S40" s="882"/>
      <c r="T40" s="770" t="s">
        <v>2146</v>
      </c>
      <c r="U40" s="770" t="s">
        <v>2146</v>
      </c>
      <c r="V40" s="770" t="s">
        <v>2146</v>
      </c>
      <c r="W40" s="770" t="s">
        <v>2146</v>
      </c>
      <c r="X40" s="770"/>
      <c r="Y40" s="924"/>
      <c r="Z40" s="773" t="s">
        <v>2147</v>
      </c>
      <c r="AA40" s="776" t="s">
        <v>2147</v>
      </c>
      <c r="AB40" s="776" t="s">
        <v>2147</v>
      </c>
      <c r="AC40" s="776" t="s">
        <v>2147</v>
      </c>
      <c r="AD40" s="773"/>
    </row>
    <row r="41" spans="1:30" ht="27" customHeight="1">
      <c r="A41" s="772"/>
      <c r="B41" s="824">
        <v>24</v>
      </c>
      <c r="C41" s="770" t="s">
        <v>2148</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2149</v>
      </c>
      <c r="P41" s="882" t="s">
        <v>2136</v>
      </c>
      <c r="Q41" s="882" t="s">
        <v>2149</v>
      </c>
      <c r="R41" s="882" t="s">
        <v>2136</v>
      </c>
      <c r="S41" s="882"/>
      <c r="T41" s="770" t="s">
        <v>2150</v>
      </c>
      <c r="U41" s="770" t="s">
        <v>2150</v>
      </c>
      <c r="V41" s="770" t="s">
        <v>2150</v>
      </c>
      <c r="W41" s="770" t="s">
        <v>2150</v>
      </c>
      <c r="X41" s="770"/>
      <c r="Y41" s="924"/>
      <c r="Z41" s="773" t="s">
        <v>2151</v>
      </c>
      <c r="AA41" s="773" t="s">
        <v>2151</v>
      </c>
      <c r="AB41" s="773" t="s">
        <v>2151</v>
      </c>
      <c r="AC41" s="773" t="s">
        <v>2151</v>
      </c>
      <c r="AD41" s="773"/>
    </row>
    <row r="42" spans="1:30" ht="27" customHeight="1">
      <c r="A42" s="772"/>
      <c r="B42" s="824">
        <v>25</v>
      </c>
      <c r="C42" s="770" t="s">
        <v>2152</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2153</v>
      </c>
      <c r="P42" s="882" t="s">
        <v>2139</v>
      </c>
      <c r="Q42" s="882" t="s">
        <v>2153</v>
      </c>
      <c r="R42" s="882" t="s">
        <v>2139</v>
      </c>
      <c r="S42" s="882"/>
      <c r="T42" s="770" t="s">
        <v>2154</v>
      </c>
      <c r="U42" s="770" t="s">
        <v>2154</v>
      </c>
      <c r="V42" s="770" t="s">
        <v>2154</v>
      </c>
      <c r="W42" s="770" t="s">
        <v>2154</v>
      </c>
      <c r="X42" s="770"/>
      <c r="Y42" s="924"/>
      <c r="Z42" s="773" t="s">
        <v>2155</v>
      </c>
      <c r="AA42" s="773" t="s">
        <v>2155</v>
      </c>
      <c r="AB42" s="773" t="s">
        <v>2155</v>
      </c>
      <c r="AC42" s="773" t="s">
        <v>2155</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2156</v>
      </c>
      <c r="P43" s="882" t="s">
        <v>743</v>
      </c>
      <c r="Q43" s="882" t="s">
        <v>2156</v>
      </c>
      <c r="R43" s="882" t="s">
        <v>743</v>
      </c>
      <c r="S43" s="882"/>
      <c r="T43" s="770" t="s">
        <v>2157</v>
      </c>
      <c r="U43" s="770" t="s">
        <v>2157</v>
      </c>
      <c r="V43" s="770" t="s">
        <v>2157</v>
      </c>
      <c r="W43" s="770" t="s">
        <v>2157</v>
      </c>
      <c r="X43" s="770"/>
      <c r="Y43" s="924"/>
      <c r="Z43" s="773" t="s">
        <v>2158</v>
      </c>
      <c r="AA43" s="773" t="s">
        <v>2158</v>
      </c>
      <c r="AB43" s="773" t="s">
        <v>2158</v>
      </c>
      <c r="AC43" s="773" t="s">
        <v>2158</v>
      </c>
      <c r="AD43" s="773"/>
    </row>
    <row r="44" spans="1:30" ht="27" customHeight="1">
      <c r="A44" s="772"/>
      <c r="B44" s="824">
        <v>27</v>
      </c>
      <c r="C44" s="770" t="s">
        <v>2159</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2160</v>
      </c>
      <c r="P44" s="882" t="s">
        <v>2161</v>
      </c>
      <c r="Q44" s="882" t="s">
        <v>2160</v>
      </c>
      <c r="R44" s="882" t="s">
        <v>2161</v>
      </c>
      <c r="S44" s="882"/>
      <c r="T44" s="770" t="s">
        <v>2150</v>
      </c>
      <c r="U44" s="770" t="s">
        <v>2150</v>
      </c>
      <c r="V44" s="770" t="s">
        <v>2150</v>
      </c>
      <c r="W44" s="770" t="s">
        <v>2150</v>
      </c>
      <c r="X44" s="770"/>
      <c r="Y44" s="924"/>
      <c r="Z44" s="773" t="s">
        <v>2162</v>
      </c>
      <c r="AA44" s="773" t="s">
        <v>2162</v>
      </c>
      <c r="AB44" s="773" t="s">
        <v>2162</v>
      </c>
      <c r="AC44" s="773" t="s">
        <v>2162</v>
      </c>
      <c r="AD44" s="773"/>
    </row>
    <row r="45" spans="1:30" ht="27" customHeight="1">
      <c r="A45" s="772"/>
      <c r="B45" s="824">
        <v>28</v>
      </c>
      <c r="C45" s="770" t="s">
        <v>2163</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2164</v>
      </c>
      <c r="P45" s="882" t="s">
        <v>2165</v>
      </c>
      <c r="Q45" s="882" t="s">
        <v>2164</v>
      </c>
      <c r="R45" s="882" t="s">
        <v>2165</v>
      </c>
      <c r="S45" s="882"/>
      <c r="T45" s="770" t="s">
        <v>2154</v>
      </c>
      <c r="U45" s="770" t="s">
        <v>2154</v>
      </c>
      <c r="V45" s="770" t="s">
        <v>2154</v>
      </c>
      <c r="W45" s="770" t="s">
        <v>2154</v>
      </c>
      <c r="X45" s="770"/>
      <c r="Y45" s="924"/>
      <c r="Z45" s="773" t="s">
        <v>2166</v>
      </c>
      <c r="AA45" s="773" t="s">
        <v>2166</v>
      </c>
      <c r="AB45" s="773" t="s">
        <v>2166</v>
      </c>
      <c r="AC45" s="773" t="s">
        <v>2166</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2167</v>
      </c>
      <c r="P46" s="882" t="s">
        <v>2145</v>
      </c>
      <c r="Q46" s="882" t="s">
        <v>2167</v>
      </c>
      <c r="R46" s="882" t="s">
        <v>2145</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2168</v>
      </c>
      <c r="V46" s="770" t="s">
        <v>2168</v>
      </c>
      <c r="W46" s="770" t="s">
        <v>2168</v>
      </c>
      <c r="X46" s="770"/>
      <c r="Y46" s="924"/>
      <c r="Z46" s="773" t="s">
        <v>2169</v>
      </c>
      <c r="AA46" s="773" t="s">
        <v>2170</v>
      </c>
      <c r="AB46" s="773" t="s">
        <v>2170</v>
      </c>
      <c r="AC46" s="773" t="s">
        <v>2170</v>
      </c>
      <c r="AD46" s="773"/>
    </row>
    <row r="47" spans="1:30" ht="54" customHeight="1">
      <c r="A47" s="772"/>
      <c r="B47" s="824">
        <v>30</v>
      </c>
      <c r="C47" s="770" t="s">
        <v>2171</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2172</v>
      </c>
      <c r="P47" s="882" t="s">
        <v>2149</v>
      </c>
      <c r="Q47" s="882" t="s">
        <v>2172</v>
      </c>
      <c r="R47" s="882" t="s">
        <v>2149</v>
      </c>
      <c r="S47" s="882"/>
      <c r="T47" s="770" t="s">
        <v>2173</v>
      </c>
      <c r="U47" s="770" t="s">
        <v>2173</v>
      </c>
      <c r="V47" s="770" t="s">
        <v>2173</v>
      </c>
      <c r="W47" s="770" t="s">
        <v>2173</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2156</v>
      </c>
      <c r="Q48" s="882" t="s">
        <v>2174</v>
      </c>
      <c r="R48" s="882" t="s">
        <v>2156</v>
      </c>
      <c r="S48" s="882"/>
      <c r="T48" s="770"/>
      <c r="U48" s="770" t="s">
        <v>2175</v>
      </c>
      <c r="V48" s="770" t="s">
        <v>2176</v>
      </c>
      <c r="W48" s="770" t="s">
        <v>2176</v>
      </c>
      <c r="X48" s="770"/>
      <c r="Y48" s="924"/>
      <c r="Z48" s="773"/>
      <c r="AA48" s="776" t="s">
        <v>2170</v>
      </c>
      <c r="AB48" s="776" t="s">
        <v>2170</v>
      </c>
      <c r="AC48" s="776" t="s">
        <v>2170</v>
      </c>
      <c r="AD48" s="773"/>
    </row>
    <row r="49" spans="1:30" ht="54" customHeight="1">
      <c r="A49" s="772"/>
      <c r="B49" s="824">
        <v>32</v>
      </c>
      <c r="C49" s="770" t="s">
        <v>2177</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2160</v>
      </c>
      <c r="Q49" s="882" t="s">
        <v>2178</v>
      </c>
      <c r="R49" s="882" t="s">
        <v>2160</v>
      </c>
      <c r="S49" s="882"/>
      <c r="T49" s="770"/>
      <c r="U49" s="770" t="s">
        <v>2173</v>
      </c>
      <c r="V49" s="770" t="s">
        <v>2173</v>
      </c>
      <c r="W49" s="770" t="s">
        <v>2173</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2174</v>
      </c>
      <c r="P50" s="882" t="s">
        <v>2167</v>
      </c>
      <c r="Q50" s="882" t="s">
        <v>2179</v>
      </c>
      <c r="R50" s="882" t="s">
        <v>2167</v>
      </c>
      <c r="S50" s="882"/>
      <c r="T50" s="770" t="s">
        <v>2180</v>
      </c>
      <c r="U50" s="770" t="s">
        <v>2181</v>
      </c>
      <c r="V50" s="770" t="s">
        <v>2182</v>
      </c>
      <c r="W50" s="770" t="s">
        <v>2183</v>
      </c>
      <c r="X50" s="770"/>
      <c r="Y50" s="924"/>
      <c r="Z50" s="773" t="s">
        <v>2184</v>
      </c>
      <c r="AA50" s="776" t="s">
        <v>2185</v>
      </c>
      <c r="AB50" s="776" t="s">
        <v>2185</v>
      </c>
      <c r="AC50" s="776" t="s">
        <v>2185</v>
      </c>
      <c r="AD50" s="773"/>
    </row>
    <row r="51" spans="1:30" ht="27" customHeight="1">
      <c r="A51" s="772"/>
      <c r="B51" s="824">
        <v>34</v>
      </c>
      <c r="C51" s="770" t="s">
        <v>2186</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92</v>
      </c>
      <c r="P51" s="882"/>
      <c r="Q51" s="882"/>
      <c r="R51" s="882"/>
      <c r="S51" s="882"/>
      <c r="T51" s="770" t="s">
        <v>2187</v>
      </c>
      <c r="U51" s="770"/>
      <c r="V51" s="770"/>
      <c r="W51" s="770"/>
      <c r="X51" s="770"/>
      <c r="Y51" s="924"/>
      <c r="Z51" s="773"/>
      <c r="AA51" s="776"/>
      <c r="AB51" s="776"/>
      <c r="AC51" s="776"/>
      <c r="AD51" s="773"/>
    </row>
    <row r="52" spans="1:30" ht="36" customHeight="1">
      <c r="A52" s="772"/>
      <c r="B52" s="824">
        <v>35</v>
      </c>
      <c r="C52" s="770" t="s">
        <v>2080</v>
      </c>
      <c r="D52" s="892" t="s">
        <v>2080</v>
      </c>
      <c r="E52" s="770" t="s">
        <v>2080</v>
      </c>
      <c r="F52" s="770" t="s">
        <v>2080</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2188</v>
      </c>
      <c r="U52" s="770" t="s">
        <v>2189</v>
      </c>
      <c r="V52" s="770" t="s">
        <v>2190</v>
      </c>
      <c r="W52" s="770" t="s">
        <v>2191</v>
      </c>
      <c r="X52" s="770"/>
      <c r="Y52" s="924"/>
      <c r="Z52" s="773" t="s">
        <v>747</v>
      </c>
      <c r="AA52" s="776" t="s">
        <v>747</v>
      </c>
      <c r="AB52" s="776" t="s">
        <v>747</v>
      </c>
      <c r="AC52" s="776" t="s">
        <v>747</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751</v>
      </c>
      <c r="P53" s="882" t="s">
        <v>321</v>
      </c>
      <c r="Q53" s="882" t="s">
        <v>321</v>
      </c>
      <c r="R53" s="882" t="s">
        <v>321</v>
      </c>
      <c r="S53" s="882"/>
      <c r="T53" s="770" t="s">
        <v>2192</v>
      </c>
      <c r="U53" s="770" t="s">
        <v>2192</v>
      </c>
      <c r="V53" s="770" t="s">
        <v>2192</v>
      </c>
      <c r="W53" s="770" t="s">
        <v>2192</v>
      </c>
      <c r="X53" s="770"/>
      <c r="Y53" s="924"/>
      <c r="Z53" s="773"/>
      <c r="AA53" s="776"/>
      <c r="AB53" s="773"/>
      <c r="AC53" s="773"/>
      <c r="AD53" s="773"/>
    </row>
    <row r="54" spans="1:30" ht="18" customHeight="1">
      <c r="A54" s="772"/>
      <c r="B54" s="824">
        <v>37</v>
      </c>
      <c r="C54" s="770" t="s">
        <v>2086</v>
      </c>
      <c r="D54" s="892" t="s">
        <v>2086</v>
      </c>
      <c r="E54" s="770" t="s">
        <v>2086</v>
      </c>
      <c r="F54" s="770" t="s">
        <v>2086</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110</v>
      </c>
      <c r="P54" s="882" t="s">
        <v>93</v>
      </c>
      <c r="Q54" s="882" t="s">
        <v>93</v>
      </c>
      <c r="R54" s="882" t="s">
        <v>93</v>
      </c>
      <c r="S54" s="882"/>
      <c r="T54" s="770" t="s">
        <v>749</v>
      </c>
      <c r="U54" s="770" t="s">
        <v>749</v>
      </c>
      <c r="V54" s="770" t="s">
        <v>749</v>
      </c>
      <c r="W54" s="770" t="s">
        <v>749</v>
      </c>
      <c r="X54" s="770"/>
      <c r="Y54" s="924"/>
      <c r="Z54" s="773" t="s">
        <v>750</v>
      </c>
      <c r="AA54" s="773" t="s">
        <v>750</v>
      </c>
      <c r="AB54" s="773" t="s">
        <v>750</v>
      </c>
      <c r="AC54" s="773" t="s">
        <v>750</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310</v>
      </c>
      <c r="P55" s="882" t="s">
        <v>751</v>
      </c>
      <c r="Q55" s="882" t="s">
        <v>751</v>
      </c>
      <c r="R55" s="882" t="s">
        <v>751</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2193</v>
      </c>
      <c r="V55" s="770" t="s">
        <v>2193</v>
      </c>
      <c r="W55" s="770" t="s">
        <v>2193</v>
      </c>
      <c r="X55" s="770"/>
      <c r="Y55" s="924"/>
      <c r="Z55" s="773" t="s">
        <v>2194</v>
      </c>
      <c r="AA55" s="773" t="s">
        <v>2194</v>
      </c>
      <c r="AB55" s="773" t="s">
        <v>2194</v>
      </c>
      <c r="AC55" s="773" t="s">
        <v>2194</v>
      </c>
      <c r="AD55" s="773"/>
    </row>
    <row r="56" spans="1:30" ht="27" customHeight="1">
      <c r="A56" s="772"/>
      <c r="B56" s="824">
        <v>39</v>
      </c>
      <c r="C56" s="770" t="s">
        <v>1090</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1209</v>
      </c>
      <c r="P56" s="882" t="s">
        <v>754</v>
      </c>
      <c r="Q56" s="882" t="s">
        <v>754</v>
      </c>
      <c r="R56" s="882" t="s">
        <v>754</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2195</v>
      </c>
      <c r="V56" s="770" t="s">
        <v>2195</v>
      </c>
      <c r="W56" s="770" t="s">
        <v>2195</v>
      </c>
      <c r="X56" s="770"/>
      <c r="Y56" s="924"/>
      <c r="Z56" s="773" t="s">
        <v>756</v>
      </c>
      <c r="AA56" s="773" t="s">
        <v>756</v>
      </c>
      <c r="AB56" s="773" t="s">
        <v>756</v>
      </c>
      <c r="AC56" s="773" t="s">
        <v>756</v>
      </c>
      <c r="AD56" s="773"/>
    </row>
    <row r="57" spans="1:30" ht="27" customHeight="1">
      <c r="A57" s="772"/>
      <c r="B57" s="824">
        <v>40</v>
      </c>
      <c r="C57" s="770" t="s">
        <v>1092</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2196</v>
      </c>
      <c r="P57" s="882" t="s">
        <v>757</v>
      </c>
      <c r="Q57" s="882" t="s">
        <v>757</v>
      </c>
      <c r="R57" s="882" t="s">
        <v>757</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2197</v>
      </c>
      <c r="V57" s="770" t="s">
        <v>2197</v>
      </c>
      <c r="W57" s="770" t="s">
        <v>2197</v>
      </c>
      <c r="X57" s="770"/>
      <c r="Y57" s="924"/>
      <c r="Z57" s="773" t="s">
        <v>759</v>
      </c>
      <c r="AA57" s="773" t="s">
        <v>759</v>
      </c>
      <c r="AB57" s="773" t="s">
        <v>759</v>
      </c>
      <c r="AC57" s="773" t="s">
        <v>759</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879</v>
      </c>
      <c r="P58" s="882" t="s">
        <v>793</v>
      </c>
      <c r="Q58" s="882" t="s">
        <v>793</v>
      </c>
      <c r="R58" s="882" t="s">
        <v>793</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2198</v>
      </c>
      <c r="V58" s="770" t="s">
        <v>2198</v>
      </c>
      <c r="W58" s="770" t="s">
        <v>2198</v>
      </c>
      <c r="X58" s="770"/>
      <c r="Y58" s="924"/>
      <c r="Z58" s="773"/>
      <c r="AA58" s="776"/>
      <c r="AB58" s="773"/>
      <c r="AC58" s="773"/>
      <c r="AD58" s="773"/>
    </row>
    <row r="59" spans="1:30" ht="36" customHeight="1">
      <c r="A59" s="772"/>
      <c r="B59" s="824">
        <v>42</v>
      </c>
      <c r="C59" s="770">
        <v>3</v>
      </c>
      <c r="D59" s="892" t="s">
        <v>2186</v>
      </c>
      <c r="E59" s="770" t="s">
        <v>2186</v>
      </c>
      <c r="F59" s="770" t="s">
        <v>2186</v>
      </c>
      <c r="G59" s="770"/>
      <c r="H59" s="816"/>
      <c r="I59" s="928">
        <f t="shared" si="7"/>
        <v>0</v>
      </c>
      <c r="J59" s="928">
        <f t="shared" si="8"/>
        <v>0</v>
      </c>
      <c r="K59" s="928">
        <f t="shared" si="9"/>
        <v>0</v>
      </c>
      <c r="L59" s="771" t="str">
        <f t="shared" si="10"/>
        <v/>
      </c>
      <c r="M59" s="771" t="str">
        <f t="shared" si="11"/>
        <v/>
      </c>
      <c r="N59" s="771" t="str">
        <f t="shared" si="12"/>
        <v/>
      </c>
      <c r="O59" s="882"/>
      <c r="P59" s="882" t="s">
        <v>110</v>
      </c>
      <c r="Q59" s="882" t="s">
        <v>110</v>
      </c>
      <c r="R59" s="882" t="s">
        <v>110</v>
      </c>
      <c r="S59" s="882"/>
      <c r="T59" s="770"/>
      <c r="U59" s="770" t="s">
        <v>2199</v>
      </c>
      <c r="V59" s="770" t="s">
        <v>2200</v>
      </c>
      <c r="W59" s="770" t="s">
        <v>2201</v>
      </c>
      <c r="X59" s="770"/>
      <c r="Y59" s="924"/>
      <c r="Z59" s="773"/>
      <c r="AA59" s="776"/>
      <c r="AB59" s="773"/>
      <c r="AC59" s="773"/>
      <c r="AD59" s="773"/>
    </row>
    <row r="60" spans="1:30" ht="81" customHeight="1">
      <c r="A60" s="772"/>
      <c r="B60" s="824">
        <v>43</v>
      </c>
      <c r="C60" s="770" t="s">
        <v>2202</v>
      </c>
      <c r="D60" s="892" t="s">
        <v>2202</v>
      </c>
      <c r="E60" s="770" t="s">
        <v>2202</v>
      </c>
      <c r="F60" s="770" t="s">
        <v>2202</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94</v>
      </c>
      <c r="P60" s="882" t="s">
        <v>94</v>
      </c>
      <c r="Q60" s="882" t="s">
        <v>94</v>
      </c>
      <c r="R60" s="882" t="s">
        <v>94</v>
      </c>
      <c r="S60" s="882"/>
      <c r="T60" s="770" t="s">
        <v>626</v>
      </c>
      <c r="U60" s="770" t="s">
        <v>626</v>
      </c>
      <c r="V60" s="770" t="s">
        <v>626</v>
      </c>
      <c r="W60" s="770" t="s">
        <v>626</v>
      </c>
      <c r="X60" s="770"/>
      <c r="Y60" s="924"/>
      <c r="Z60" s="773" t="s">
        <v>2203</v>
      </c>
      <c r="AA60" s="776" t="s">
        <v>2204</v>
      </c>
      <c r="AB60" s="773" t="s">
        <v>2205</v>
      </c>
      <c r="AC60" s="773" t="s">
        <v>2204</v>
      </c>
      <c r="AD60" s="773"/>
    </row>
    <row r="61" spans="1:30" ht="9" customHeight="1">
      <c r="A61" s="772"/>
      <c r="B61" s="824">
        <v>44</v>
      </c>
      <c r="C61" s="770"/>
      <c r="D61" s="892" t="s">
        <v>2206</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2207</v>
      </c>
      <c r="V61" s="770"/>
      <c r="W61" s="770"/>
      <c r="X61" s="770"/>
      <c r="Y61" s="924"/>
      <c r="Z61" s="773"/>
      <c r="AA61" s="776"/>
      <c r="AB61" s="773"/>
      <c r="AC61" s="773"/>
      <c r="AD61" s="773"/>
    </row>
    <row r="62" spans="1:30" ht="9" customHeight="1">
      <c r="A62" s="772"/>
      <c r="B62" s="824">
        <v>45</v>
      </c>
      <c r="C62" s="770"/>
      <c r="D62" s="892" t="s">
        <v>2208</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111</v>
      </c>
      <c r="Q62" s="882"/>
      <c r="R62" s="882"/>
      <c r="S62" s="882"/>
      <c r="T62" s="770"/>
      <c r="U62" s="770" t="s">
        <v>2209</v>
      </c>
      <c r="V62" s="770"/>
      <c r="W62" s="770"/>
      <c r="X62" s="770"/>
      <c r="Y62" s="924"/>
      <c r="Z62" s="773"/>
      <c r="AA62" s="776"/>
      <c r="AB62" s="773"/>
      <c r="AC62" s="773"/>
      <c r="AD62" s="773"/>
    </row>
    <row r="63" spans="1:30" ht="18" customHeight="1">
      <c r="A63" s="772"/>
      <c r="B63" s="824">
        <v>46</v>
      </c>
      <c r="C63" s="770"/>
      <c r="D63" s="892" t="s">
        <v>2210</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147</v>
      </c>
      <c r="Q63" s="882"/>
      <c r="R63" s="882"/>
      <c r="S63" s="882"/>
      <c r="T63" s="770"/>
      <c r="U63" s="770" t="s">
        <v>2211</v>
      </c>
      <c r="V63" s="770"/>
      <c r="W63" s="770"/>
      <c r="X63" s="770"/>
      <c r="Y63" s="924"/>
      <c r="Z63" s="773"/>
      <c r="AA63" s="776"/>
      <c r="AB63" s="773"/>
      <c r="AC63" s="773"/>
      <c r="AD63" s="773"/>
    </row>
    <row r="64" spans="1:30" ht="18" customHeight="1">
      <c r="A64" s="772"/>
      <c r="B64" s="824">
        <v>47</v>
      </c>
      <c r="C64" s="770"/>
      <c r="D64" s="892" t="s">
        <v>2212</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148</v>
      </c>
      <c r="Q64" s="882"/>
      <c r="R64" s="882"/>
      <c r="S64" s="882"/>
      <c r="T64" s="770"/>
      <c r="U64" s="770" t="s">
        <v>2213</v>
      </c>
      <c r="V64" s="770"/>
      <c r="W64" s="770"/>
      <c r="X64" s="770"/>
      <c r="Y64" s="924"/>
      <c r="Z64" s="773"/>
      <c r="AA64" s="776" t="s">
        <v>2214</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2127</v>
      </c>
      <c r="Q65" s="882"/>
      <c r="R65" s="882"/>
      <c r="S65" s="882"/>
      <c r="T65" s="770"/>
      <c r="U65" s="770" t="s">
        <v>2215</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2131</v>
      </c>
      <c r="Q66" s="882"/>
      <c r="R66" s="882"/>
      <c r="S66" s="882"/>
      <c r="T66" s="770"/>
      <c r="U66" s="770" t="s">
        <v>2216</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2217</v>
      </c>
      <c r="Q67" s="882"/>
      <c r="R67" s="882"/>
      <c r="S67" s="882"/>
      <c r="T67" s="770"/>
      <c r="U67" s="770" t="s">
        <v>2218</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2219</v>
      </c>
      <c r="Q68" s="882"/>
      <c r="R68" s="882"/>
      <c r="S68" s="882"/>
      <c r="T68" s="770"/>
      <c r="U68" s="770" t="s">
        <v>2220</v>
      </c>
      <c r="V68" s="770"/>
      <c r="W68" s="770"/>
      <c r="X68" s="770"/>
      <c r="Y68" s="924"/>
      <c r="Z68" s="773"/>
      <c r="AA68" s="776"/>
      <c r="AB68" s="773"/>
      <c r="AC68" s="773"/>
      <c r="AD68" s="773"/>
    </row>
    <row r="69" spans="1:30" ht="9" customHeight="1">
      <c r="A69" s="772"/>
      <c r="B69" s="824">
        <v>52</v>
      </c>
      <c r="C69" s="770"/>
      <c r="D69" s="892" t="s">
        <v>2221</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149</v>
      </c>
      <c r="Q69" s="882"/>
      <c r="R69" s="882"/>
      <c r="S69" s="882"/>
      <c r="T69" s="770"/>
      <c r="U69" s="770" t="s">
        <v>2222</v>
      </c>
      <c r="V69" s="770"/>
      <c r="W69" s="770"/>
      <c r="X69" s="770"/>
      <c r="Y69" s="924"/>
      <c r="Z69" s="773"/>
      <c r="AA69" s="776"/>
      <c r="AB69" s="773"/>
      <c r="AC69" s="773"/>
      <c r="AD69" s="773"/>
    </row>
    <row r="70" spans="1:30" ht="27" customHeight="1">
      <c r="A70" s="772"/>
      <c r="B70" s="824">
        <v>53</v>
      </c>
      <c r="C70" s="770"/>
      <c r="D70" s="892"/>
      <c r="E70" s="770" t="s">
        <v>2206</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2223</v>
      </c>
      <c r="W70" s="770"/>
      <c r="X70" s="770"/>
      <c r="Y70" s="924"/>
      <c r="Z70" s="773"/>
      <c r="AA70" s="776"/>
      <c r="AB70" s="773"/>
      <c r="AC70" s="773"/>
      <c r="AD70" s="773"/>
    </row>
    <row r="71" spans="1:30" ht="36" customHeight="1">
      <c r="A71" s="772"/>
      <c r="B71" s="824">
        <v>54</v>
      </c>
      <c r="C71" s="770"/>
      <c r="D71" s="892"/>
      <c r="E71" s="770" t="s">
        <v>2208</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111</v>
      </c>
      <c r="R71" s="882"/>
      <c r="S71" s="882"/>
      <c r="T71" s="770"/>
      <c r="U71" s="770"/>
      <c r="V71" s="770" t="s">
        <v>2224</v>
      </c>
      <c r="W71" s="770"/>
      <c r="X71" s="770"/>
      <c r="Y71" s="924"/>
      <c r="Z71" s="773"/>
      <c r="AA71" s="776"/>
      <c r="AB71" s="773"/>
      <c r="AC71" s="773"/>
      <c r="AD71" s="773"/>
    </row>
    <row r="72" spans="1:30" ht="27" customHeight="1">
      <c r="A72" s="772"/>
      <c r="B72" s="824">
        <v>55</v>
      </c>
      <c r="C72" s="770"/>
      <c r="D72" s="892"/>
      <c r="E72" s="770" t="s">
        <v>2210</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147</v>
      </c>
      <c r="R72" s="882"/>
      <c r="S72" s="882"/>
      <c r="T72" s="770"/>
      <c r="U72" s="770"/>
      <c r="V72" s="770" t="s">
        <v>2225</v>
      </c>
      <c r="W72" s="770"/>
      <c r="X72" s="770"/>
      <c r="Y72" s="924"/>
      <c r="Z72" s="773"/>
      <c r="AA72" s="776"/>
      <c r="AB72" s="773"/>
      <c r="AC72" s="773"/>
      <c r="AD72" s="773"/>
    </row>
    <row r="73" spans="1:30" ht="36" customHeight="1">
      <c r="A73" s="772"/>
      <c r="B73" s="824">
        <v>56</v>
      </c>
      <c r="C73" s="770"/>
      <c r="D73" s="892"/>
      <c r="E73" s="770" t="s">
        <v>2212</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148</v>
      </c>
      <c r="R73" s="882"/>
      <c r="S73" s="882"/>
      <c r="T73" s="770"/>
      <c r="U73" s="770"/>
      <c r="V73" s="770" t="s">
        <v>2226</v>
      </c>
      <c r="W73" s="770"/>
      <c r="X73" s="770"/>
      <c r="Y73" s="924"/>
      <c r="Z73" s="773"/>
      <c r="AA73" s="776"/>
      <c r="AB73" s="773"/>
      <c r="AC73" s="773"/>
      <c r="AD73" s="773"/>
    </row>
    <row r="74" spans="1:30" ht="18" customHeight="1">
      <c r="A74" s="772"/>
      <c r="B74" s="824">
        <v>57</v>
      </c>
      <c r="C74" s="770"/>
      <c r="D74" s="892"/>
      <c r="E74" s="770" t="s">
        <v>2221</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149</v>
      </c>
      <c r="R74" s="882"/>
      <c r="S74" s="882"/>
      <c r="T74" s="770"/>
      <c r="U74" s="770"/>
      <c r="V74" s="770" t="s">
        <v>2227</v>
      </c>
      <c r="W74" s="770"/>
      <c r="X74" s="770"/>
      <c r="Y74" s="924"/>
      <c r="Z74" s="773"/>
      <c r="AA74" s="776"/>
      <c r="AB74" s="773"/>
      <c r="AC74" s="773"/>
      <c r="AD74" s="773"/>
    </row>
    <row r="75" spans="1:30" ht="18" customHeight="1">
      <c r="A75" s="772"/>
      <c r="B75" s="824">
        <v>58</v>
      </c>
      <c r="C75" s="770"/>
      <c r="D75" s="892"/>
      <c r="E75" s="770"/>
      <c r="F75" s="770" t="s">
        <v>2206</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95</v>
      </c>
      <c r="S75" s="882"/>
      <c r="T75" s="770"/>
      <c r="U75" s="770"/>
      <c r="V75" s="770"/>
      <c r="W75" s="770" t="s">
        <v>2228</v>
      </c>
      <c r="X75" s="770"/>
      <c r="Y75" s="924"/>
      <c r="Z75" s="773"/>
      <c r="AA75" s="776"/>
      <c r="AB75" s="773"/>
      <c r="AC75" s="773"/>
      <c r="AD75" s="773"/>
    </row>
    <row r="76" spans="1:30" ht="36" customHeight="1">
      <c r="A76" s="772"/>
      <c r="B76" s="824">
        <v>59</v>
      </c>
      <c r="C76" s="770"/>
      <c r="D76" s="892"/>
      <c r="E76" s="770"/>
      <c r="F76" s="770" t="s">
        <v>2208</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111</v>
      </c>
      <c r="S76" s="882"/>
      <c r="T76" s="770"/>
      <c r="U76" s="770"/>
      <c r="V76" s="770"/>
      <c r="W76" s="770" t="s">
        <v>2229</v>
      </c>
      <c r="X76" s="770"/>
      <c r="Y76" s="924"/>
      <c r="Z76" s="773"/>
      <c r="AA76" s="776"/>
      <c r="AB76" s="773"/>
      <c r="AC76" s="773"/>
      <c r="AD76" s="773"/>
    </row>
    <row r="77" spans="1:30" ht="18" customHeight="1">
      <c r="A77" s="772"/>
      <c r="B77" s="824">
        <v>60</v>
      </c>
      <c r="C77" s="770"/>
      <c r="D77" s="892"/>
      <c r="E77" s="770"/>
      <c r="F77" s="770" t="s">
        <v>2210</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147</v>
      </c>
      <c r="S77" s="882"/>
      <c r="T77" s="770"/>
      <c r="U77" s="770"/>
      <c r="V77" s="770"/>
      <c r="W77" s="770" t="s">
        <v>2230</v>
      </c>
      <c r="X77" s="770"/>
      <c r="Y77" s="924"/>
      <c r="Z77" s="773"/>
      <c r="AA77" s="776"/>
      <c r="AB77" s="773"/>
      <c r="AC77" s="773"/>
      <c r="AD77" s="773"/>
    </row>
    <row r="78" spans="1:30" ht="72" customHeight="1">
      <c r="A78" s="772"/>
      <c r="B78" s="824">
        <v>61</v>
      </c>
      <c r="C78" s="770" t="s">
        <v>2206</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95</v>
      </c>
      <c r="P78" s="882"/>
      <c r="Q78" s="882"/>
      <c r="R78" s="882"/>
      <c r="S78" s="882"/>
      <c r="T78" s="770" t="s">
        <v>631</v>
      </c>
      <c r="U78" s="770"/>
      <c r="V78" s="770"/>
      <c r="W78" s="770"/>
      <c r="X78" s="770"/>
      <c r="Y78" s="924"/>
      <c r="Z78" s="773" t="s">
        <v>2231</v>
      </c>
      <c r="AA78" s="776"/>
      <c r="AB78" s="773"/>
      <c r="AC78" s="773"/>
      <c r="AD78" s="773"/>
    </row>
    <row r="79" spans="1:30" ht="36" customHeight="1">
      <c r="A79" s="772"/>
      <c r="B79" s="824">
        <v>62</v>
      </c>
      <c r="C79" s="770" t="s">
        <v>2208</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111</v>
      </c>
      <c r="P79" s="882"/>
      <c r="Q79" s="882"/>
      <c r="R79" s="882"/>
      <c r="S79" s="882"/>
      <c r="T79" s="770" t="s">
        <v>2232</v>
      </c>
      <c r="U79" s="770"/>
      <c r="V79" s="770"/>
      <c r="W79" s="770"/>
      <c r="X79" s="770"/>
      <c r="Y79" s="924"/>
      <c r="Z79" s="773" t="s">
        <v>2233</v>
      </c>
      <c r="AA79" s="776"/>
      <c r="AB79" s="773"/>
      <c r="AC79" s="773"/>
      <c r="AD79" s="773"/>
    </row>
    <row r="80" spans="1:30" ht="45" customHeight="1">
      <c r="A80" s="772"/>
      <c r="B80" s="824">
        <v>63</v>
      </c>
      <c r="C80" s="770" t="s">
        <v>2210</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147</v>
      </c>
      <c r="P80" s="882"/>
      <c r="Q80" s="882"/>
      <c r="R80" s="882"/>
      <c r="S80" s="882"/>
      <c r="T80" s="770" t="s">
        <v>2234</v>
      </c>
      <c r="U80" s="770"/>
      <c r="V80" s="770"/>
      <c r="W80" s="770"/>
      <c r="X80" s="770"/>
      <c r="Y80" s="924"/>
      <c r="Z80" s="773" t="s">
        <v>2235</v>
      </c>
      <c r="AA80" s="776"/>
      <c r="AB80" s="773"/>
      <c r="AC80" s="773"/>
      <c r="AD80" s="773"/>
    </row>
    <row r="81" spans="1:30" ht="36" customHeight="1">
      <c r="A81" s="772"/>
      <c r="B81" s="824">
        <v>64</v>
      </c>
      <c r="C81" s="770" t="s">
        <v>2212</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2118</v>
      </c>
      <c r="P81" s="882"/>
      <c r="Q81" s="882"/>
      <c r="R81" s="882"/>
      <c r="S81" s="882"/>
      <c r="T81" s="770" t="s">
        <v>2236</v>
      </c>
      <c r="U81" s="770"/>
      <c r="V81" s="770"/>
      <c r="W81" s="770"/>
      <c r="X81" s="770"/>
      <c r="Y81" s="924"/>
      <c r="Z81" s="773" t="s">
        <v>2237</v>
      </c>
      <c r="AA81" s="776"/>
      <c r="AB81" s="773"/>
      <c r="AC81" s="773"/>
      <c r="AD81" s="773"/>
    </row>
    <row r="82" spans="1:30" ht="90" customHeight="1">
      <c r="A82" s="772"/>
      <c r="B82" s="824">
        <v>65</v>
      </c>
      <c r="C82" s="770" t="s">
        <v>2221</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148</v>
      </c>
      <c r="P82" s="882"/>
      <c r="Q82" s="882"/>
      <c r="R82" s="882"/>
      <c r="S82" s="882"/>
      <c r="T82" s="770" t="s">
        <v>2238</v>
      </c>
      <c r="U82" s="770"/>
      <c r="V82" s="770"/>
      <c r="W82" s="770"/>
      <c r="X82" s="770"/>
      <c r="Y82" s="924"/>
      <c r="Z82" s="773" t="s">
        <v>2239</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2127</v>
      </c>
      <c r="P83" s="882"/>
      <c r="Q83" s="882"/>
      <c r="R83" s="882"/>
      <c r="S83" s="882"/>
      <c r="T83" s="770" t="s">
        <v>2240</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2241</v>
      </c>
      <c r="P84" s="882"/>
      <c r="Q84" s="882"/>
      <c r="R84" s="882"/>
      <c r="S84" s="882"/>
      <c r="T84" s="770" t="s">
        <v>2242</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2131</v>
      </c>
      <c r="P85" s="882"/>
      <c r="Q85" s="882"/>
      <c r="R85" s="882"/>
      <c r="S85" s="882"/>
      <c r="T85" s="770" t="s">
        <v>2243</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2244</v>
      </c>
      <c r="P86" s="882"/>
      <c r="Q86" s="882"/>
      <c r="R86" s="882"/>
      <c r="S86" s="882"/>
      <c r="T86" s="770" t="s">
        <v>2245</v>
      </c>
      <c r="U86" s="770"/>
      <c r="V86" s="770"/>
      <c r="W86" s="770"/>
      <c r="X86" s="770"/>
      <c r="Y86" s="924"/>
      <c r="Z86" s="773"/>
      <c r="AA86" s="776"/>
      <c r="AB86" s="773"/>
      <c r="AC86" s="773"/>
      <c r="AD86" s="773"/>
    </row>
    <row r="87" spans="1:30" ht="36" customHeight="1">
      <c r="A87" s="772"/>
      <c r="B87" s="824">
        <v>70</v>
      </c>
      <c r="C87" s="770" t="s">
        <v>2246</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149</v>
      </c>
      <c r="P87" s="882"/>
      <c r="Q87" s="882"/>
      <c r="R87" s="882"/>
      <c r="S87" s="882"/>
      <c r="T87" s="770" t="s">
        <v>2247</v>
      </c>
      <c r="U87" s="770"/>
      <c r="V87" s="770"/>
      <c r="W87" s="770"/>
      <c r="X87" s="770"/>
      <c r="Y87" s="924"/>
      <c r="Z87" s="773"/>
      <c r="AA87" s="776"/>
      <c r="AB87" s="773"/>
      <c r="AC87" s="773"/>
      <c r="AD87" s="773"/>
    </row>
    <row r="88" spans="1:30" ht="18" customHeight="1">
      <c r="A88" s="772"/>
      <c r="B88" s="824">
        <v>71</v>
      </c>
      <c r="C88" s="770" t="s">
        <v>2248</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150</v>
      </c>
      <c r="P88" s="882"/>
      <c r="Q88" s="882"/>
      <c r="R88" s="882"/>
      <c r="S88" s="882"/>
      <c r="T88" s="770" t="s">
        <v>663</v>
      </c>
      <c r="U88" s="770"/>
      <c r="V88" s="770"/>
      <c r="W88" s="770"/>
      <c r="X88" s="770"/>
      <c r="Y88" s="924"/>
      <c r="Z88" s="773"/>
      <c r="AA88" s="776"/>
      <c r="AB88" s="773"/>
      <c r="AC88" s="773"/>
      <c r="AD88" s="773"/>
    </row>
    <row r="89" spans="1:30" ht="18" customHeight="1">
      <c r="A89" s="772"/>
      <c r="B89" s="824">
        <v>72</v>
      </c>
      <c r="C89" s="770" t="s">
        <v>2249</v>
      </c>
      <c r="D89" s="892" t="s">
        <v>2246</v>
      </c>
      <c r="E89" s="770" t="s">
        <v>2246</v>
      </c>
      <c r="F89" s="770" t="s">
        <v>2212</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151</v>
      </c>
      <c r="P89" s="882" t="s">
        <v>150</v>
      </c>
      <c r="Q89" s="882" t="s">
        <v>150</v>
      </c>
      <c r="R89" s="882" t="s">
        <v>148</v>
      </c>
      <c r="S89" s="882"/>
      <c r="T89" s="770" t="s">
        <v>671</v>
      </c>
      <c r="U89" s="770" t="s">
        <v>671</v>
      </c>
      <c r="V89" s="770" t="s">
        <v>671</v>
      </c>
      <c r="W89" s="770" t="s">
        <v>671</v>
      </c>
      <c r="X89" s="770"/>
      <c r="Y89" s="924"/>
      <c r="Z89" s="773"/>
      <c r="AA89" s="776"/>
      <c r="AB89" s="773"/>
      <c r="AC89" s="773"/>
      <c r="AD89" s="773"/>
    </row>
    <row r="90" spans="1:30" ht="27" customHeight="1">
      <c r="A90" s="772"/>
      <c r="B90" s="824">
        <v>73</v>
      </c>
      <c r="C90" s="770" t="s">
        <v>2250</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152</v>
      </c>
      <c r="P90" s="882"/>
      <c r="Q90" s="882"/>
      <c r="R90" s="882"/>
      <c r="S90" s="882"/>
      <c r="T90" s="770" t="s">
        <v>673</v>
      </c>
      <c r="U90" s="770"/>
      <c r="V90" s="770"/>
      <c r="W90" s="770"/>
      <c r="X90" s="770"/>
      <c r="Y90" s="924"/>
      <c r="Z90" s="773"/>
      <c r="AA90" s="776"/>
      <c r="AB90" s="773"/>
      <c r="AC90" s="773"/>
      <c r="AD90" s="773"/>
    </row>
    <row r="91" spans="1:30" ht="18" customHeight="1">
      <c r="A91" s="772"/>
      <c r="B91" s="824">
        <v>74</v>
      </c>
      <c r="C91" s="770"/>
      <c r="D91" s="892" t="s">
        <v>2248</v>
      </c>
      <c r="E91" s="770" t="s">
        <v>2248</v>
      </c>
      <c r="F91" s="770"/>
      <c r="G91" s="770"/>
      <c r="H91" s="816"/>
      <c r="I91" s="928">
        <f t="shared" si="13"/>
        <v>0</v>
      </c>
      <c r="J91" s="928">
        <f t="shared" si="14"/>
        <v>0</v>
      </c>
      <c r="K91" s="928">
        <f t="shared" si="15"/>
        <v>0</v>
      </c>
      <c r="L91" s="771" t="str">
        <f t="shared" si="16"/>
        <v/>
      </c>
      <c r="M91" s="771" t="str">
        <f t="shared" si="17"/>
        <v/>
      </c>
      <c r="N91" s="771" t="str">
        <f t="shared" si="18"/>
        <v/>
      </c>
      <c r="O91" s="882"/>
      <c r="P91" s="882" t="s">
        <v>151</v>
      </c>
      <c r="Q91" s="882" t="s">
        <v>151</v>
      </c>
      <c r="R91" s="882"/>
      <c r="S91" s="882"/>
      <c r="T91" s="770"/>
      <c r="U91" s="770" t="s">
        <v>2251</v>
      </c>
      <c r="V91" s="770" t="s">
        <v>2251</v>
      </c>
      <c r="W91" s="770"/>
      <c r="X91" s="770"/>
      <c r="Y91" s="924"/>
      <c r="Z91" s="773"/>
      <c r="AA91" s="776"/>
      <c r="AB91" s="773"/>
      <c r="AC91" s="773"/>
      <c r="AD91" s="773"/>
    </row>
    <row r="92" spans="1:30" ht="27" customHeight="1">
      <c r="A92" s="772"/>
      <c r="B92" s="824">
        <v>75</v>
      </c>
      <c r="C92" s="770"/>
      <c r="D92" s="892" t="s">
        <v>2249</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152</v>
      </c>
      <c r="Q92" s="882"/>
      <c r="R92" s="882"/>
      <c r="S92" s="882"/>
      <c r="T92" s="770"/>
      <c r="U92" s="770" t="s">
        <v>2252</v>
      </c>
      <c r="V92" s="770"/>
      <c r="W92" s="770"/>
      <c r="X92" s="770"/>
      <c r="Y92" s="924"/>
      <c r="Z92" s="773"/>
      <c r="AA92" s="776" t="s">
        <v>2253</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2159</v>
      </c>
      <c r="Q93" s="882"/>
      <c r="R93" s="882"/>
      <c r="S93" s="882"/>
      <c r="T93" s="770"/>
      <c r="U93" s="770" t="s">
        <v>2254</v>
      </c>
      <c r="V93" s="770"/>
      <c r="W93" s="770"/>
      <c r="X93" s="770"/>
      <c r="Y93" s="924"/>
      <c r="Z93" s="773"/>
      <c r="AA93" s="776" t="s">
        <v>2255</v>
      </c>
      <c r="AB93" s="773"/>
      <c r="AC93" s="773"/>
      <c r="AD93" s="773"/>
    </row>
    <row r="94" spans="1:30" ht="45" customHeight="1">
      <c r="A94" s="772"/>
      <c r="B94" s="824">
        <v>77</v>
      </c>
      <c r="C94" s="770"/>
      <c r="D94" s="892" t="s">
        <v>2250</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1054</v>
      </c>
      <c r="Q94" s="882"/>
      <c r="R94" s="882"/>
      <c r="S94" s="882"/>
      <c r="T94" s="770"/>
      <c r="U94" s="770" t="s">
        <v>2256</v>
      </c>
      <c r="V94" s="770"/>
      <c r="W94" s="770"/>
      <c r="X94" s="770"/>
      <c r="Y94" s="924"/>
      <c r="Z94" s="773"/>
      <c r="AA94" s="776" t="s">
        <v>2257</v>
      </c>
      <c r="AB94" s="773"/>
      <c r="AC94" s="773"/>
      <c r="AD94" s="773"/>
    </row>
    <row r="95" spans="1:30" ht="99" customHeight="1">
      <c r="A95" s="772"/>
      <c r="B95" s="824">
        <v>78</v>
      </c>
      <c r="C95" s="770" t="s">
        <v>2258</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1054</v>
      </c>
      <c r="P95" s="882"/>
      <c r="Q95" s="882"/>
      <c r="R95" s="882"/>
      <c r="S95" s="882"/>
      <c r="T95" s="770" t="s">
        <v>2259</v>
      </c>
      <c r="U95" s="770"/>
      <c r="V95" s="770"/>
      <c r="W95" s="770"/>
      <c r="X95" s="770"/>
      <c r="Y95" s="924"/>
      <c r="Z95" s="773"/>
      <c r="AA95" s="776"/>
      <c r="AB95" s="773"/>
      <c r="AC95" s="773"/>
      <c r="AD95" s="773"/>
    </row>
    <row r="96" spans="1:30" ht="99" customHeight="1">
      <c r="A96" s="772"/>
      <c r="B96" s="824">
        <v>79</v>
      </c>
      <c r="C96" s="770" t="s">
        <v>1218</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1056</v>
      </c>
      <c r="P96" s="882"/>
      <c r="Q96" s="882"/>
      <c r="R96" s="882"/>
      <c r="S96" s="882"/>
      <c r="T96" s="770" t="s">
        <v>2260</v>
      </c>
      <c r="U96" s="770"/>
      <c r="V96" s="770"/>
      <c r="W96" s="770"/>
      <c r="X96" s="770"/>
      <c r="Y96" s="924"/>
      <c r="Z96" s="773" t="s">
        <v>2261</v>
      </c>
      <c r="AA96" s="776"/>
      <c r="AB96" s="773"/>
      <c r="AC96" s="773"/>
      <c r="AD96" s="773"/>
    </row>
    <row r="97" spans="1:30" ht="63" customHeight="1">
      <c r="A97" s="772"/>
      <c r="B97" s="824">
        <v>80</v>
      </c>
      <c r="C97" s="770" t="s">
        <v>2262</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1059</v>
      </c>
      <c r="P97" s="882"/>
      <c r="Q97" s="882"/>
      <c r="R97" s="882"/>
      <c r="S97" s="882"/>
      <c r="T97" s="770" t="s">
        <v>2263</v>
      </c>
      <c r="U97" s="770"/>
      <c r="V97" s="770"/>
      <c r="W97" s="770"/>
      <c r="X97" s="770"/>
      <c r="Y97" s="924"/>
      <c r="Z97" s="773" t="s">
        <v>2264</v>
      </c>
      <c r="AA97" s="776"/>
      <c r="AB97" s="773"/>
      <c r="AC97" s="773"/>
      <c r="AD97" s="773"/>
    </row>
    <row r="98" spans="1:30" ht="63" customHeight="1">
      <c r="A98" s="772"/>
      <c r="B98" s="824">
        <v>81</v>
      </c>
      <c r="C98" s="770" t="s">
        <v>2265</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1061</v>
      </c>
      <c r="P98" s="882"/>
      <c r="Q98" s="882"/>
      <c r="R98" s="882"/>
      <c r="S98" s="882"/>
      <c r="T98" s="770" t="s">
        <v>2266</v>
      </c>
      <c r="U98" s="770"/>
      <c r="V98" s="770"/>
      <c r="W98" s="770"/>
      <c r="X98" s="770"/>
      <c r="Y98" s="924"/>
      <c r="Z98" s="773" t="s">
        <v>2264</v>
      </c>
      <c r="AA98" s="776"/>
      <c r="AB98" s="773"/>
      <c r="AC98" s="773"/>
      <c r="AD98" s="773"/>
    </row>
    <row r="99" spans="1:30" ht="90" customHeight="1">
      <c r="A99" s="772"/>
      <c r="B99" s="824">
        <v>82</v>
      </c>
      <c r="C99" s="770" t="s">
        <v>2267</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1070</v>
      </c>
      <c r="P99" s="882"/>
      <c r="Q99" s="882"/>
      <c r="R99" s="882"/>
      <c r="S99" s="882"/>
      <c r="T99" s="770" t="s">
        <v>2268</v>
      </c>
      <c r="U99" s="770"/>
      <c r="V99" s="770"/>
      <c r="W99" s="770"/>
      <c r="X99" s="770"/>
      <c r="Y99" s="924"/>
      <c r="Z99" s="773" t="s">
        <v>628</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2269</v>
      </c>
      <c r="P100" s="882"/>
      <c r="Q100" s="882"/>
      <c r="R100" s="882"/>
      <c r="S100" s="882"/>
      <c r="T100" s="770" t="s">
        <v>2270</v>
      </c>
      <c r="U100" s="770"/>
      <c r="V100" s="770"/>
      <c r="W100" s="770"/>
      <c r="X100" s="770"/>
      <c r="Y100" s="924"/>
      <c r="Z100" s="773" t="s">
        <v>628</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2271</v>
      </c>
      <c r="P101" s="882"/>
      <c r="Q101" s="882"/>
      <c r="R101" s="882"/>
      <c r="S101" s="882"/>
      <c r="T101" s="770" t="s">
        <v>2272</v>
      </c>
      <c r="U101" s="770"/>
      <c r="V101" s="770"/>
      <c r="W101" s="770"/>
      <c r="X101" s="770"/>
      <c r="Y101" s="924"/>
      <c r="Z101" s="773" t="s">
        <v>628</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1717</v>
      </c>
      <c r="B148" s="772"/>
      <c r="C148" s="770" t="s">
        <v>2273</v>
      </c>
      <c r="D148" s="770" t="s">
        <v>1619</v>
      </c>
      <c r="E148" s="770" t="s">
        <v>1719</v>
      </c>
      <c r="F148" s="770" t="s">
        <v>2274</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2275</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2276</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1721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1724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1729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56" hidden="1"/>
    <col min="2" max="2" width="11" style="2056" hidden="1" customWidth="1"/>
    <col min="3" max="3" width="10.5703125" style="2056" hidden="1"/>
    <col min="4" max="4" width="11.85546875" style="2056" hidden="1" customWidth="1"/>
    <col min="5" max="5" width="12.28515625" style="2056" hidden="1" customWidth="1"/>
    <col min="6" max="8" width="12.28515625" style="2029" hidden="1" customWidth="1"/>
    <col min="9" max="9" width="3" style="2109" customWidth="1"/>
    <col min="10" max="11" width="3" style="2059" customWidth="1"/>
    <col min="12" max="12" width="12" style="2106" customWidth="1"/>
    <col min="13" max="13" width="31" style="2062" customWidth="1"/>
    <col min="14" max="14" width="1" style="2062" customWidth="1"/>
    <col min="15" max="18" width="24" style="2062" customWidth="1"/>
    <col min="19" max="19" width="11" style="2062" customWidth="1"/>
    <col min="20" max="20" width="3.7109375" style="2062" customWidth="1"/>
    <col min="21" max="21" width="11" style="2062" customWidth="1"/>
    <col min="22" max="22" width="8.5703125" style="2062" customWidth="1"/>
    <col min="23" max="23" width="4" style="2062" customWidth="1"/>
    <col min="24" max="24" width="115" style="2062" customWidth="1"/>
    <col min="25" max="29" width="10" style="2034" customWidth="1"/>
    <col min="30" max="30" width="10.5703125" style="2062"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2"/>
      <c r="K4" s="312"/>
      <c r="L4" s="1193"/>
      <c r="M4" s="299"/>
      <c r="N4" s="299"/>
      <c r="O4" s="445"/>
      <c r="P4" s="445"/>
      <c r="Q4" s="445"/>
      <c r="R4" s="445"/>
      <c r="S4" s="445"/>
      <c r="T4" s="445"/>
      <c r="U4" s="445"/>
      <c r="V4" s="445"/>
      <c r="AD4" s="1073">
        <v>14</v>
      </c>
    </row>
    <row r="5" spans="1:30" ht="67.150000000000006" customHeight="1">
      <c r="J5" s="312"/>
      <c r="K5" s="312"/>
      <c r="L5" s="2743" t="s">
        <v>2277</v>
      </c>
      <c r="M5" s="2743"/>
      <c r="N5" s="2743"/>
      <c r="O5" s="2743"/>
      <c r="P5" s="2743"/>
      <c r="Q5" s="2743"/>
      <c r="R5" s="2743"/>
      <c r="S5" s="2743"/>
      <c r="T5" s="2743"/>
      <c r="U5" s="2743"/>
      <c r="V5" s="1161"/>
      <c r="AD5" s="1073">
        <v>64</v>
      </c>
    </row>
    <row r="6" spans="1:30" ht="14.65" customHeight="1">
      <c r="J6" s="312"/>
      <c r="K6" s="312"/>
      <c r="L6" s="2744" t="str">
        <f>IF(org=0,"Не определено",org)</f>
        <v>ПАО "ТГК-1" филиал "Невский"</v>
      </c>
      <c r="M6" s="2744"/>
      <c r="N6" s="2744"/>
      <c r="O6" s="2744"/>
      <c r="P6" s="2744"/>
      <c r="Q6" s="2744"/>
      <c r="R6" s="2744"/>
      <c r="S6" s="2744"/>
      <c r="T6" s="2744"/>
      <c r="U6" s="2744"/>
      <c r="V6" s="1161"/>
      <c r="AD6" s="1073">
        <v>14</v>
      </c>
    </row>
    <row r="7" spans="1:30" ht="14.65" customHeight="1">
      <c r="J7" s="312"/>
      <c r="K7" s="312"/>
      <c r="L7" s="1193"/>
      <c r="M7" s="299"/>
      <c r="N7" s="299"/>
      <c r="O7" s="259"/>
      <c r="P7" s="259"/>
      <c r="Q7" s="259"/>
      <c r="R7" s="259"/>
      <c r="S7" s="259"/>
      <c r="T7" s="259"/>
      <c r="U7" s="259"/>
      <c r="V7" s="259"/>
      <c r="W7" s="445"/>
      <c r="AD7" s="1073">
        <v>14</v>
      </c>
    </row>
    <row r="8" spans="1:30" s="2098" customFormat="1" ht="48.2" customHeight="1">
      <c r="A8" s="1286"/>
      <c r="B8" s="1286"/>
      <c r="C8" s="1286"/>
      <c r="D8" s="1286"/>
      <c r="E8" s="1286"/>
      <c r="F8" s="1286"/>
      <c r="G8" s="1286"/>
      <c r="H8" s="1286"/>
      <c r="L8" s="1194"/>
      <c r="M8" s="232" t="s">
        <v>43</v>
      </c>
      <c r="N8" s="241"/>
      <c r="O8" s="2449" t="str">
        <f>IF(TITLE_NAME_OR_PR_CHANGE="",IF(TITLE_NAME_OR_PR="","",TITLE_NAME_OR_PR),TITLE_NAME_OR_PR_CHANGE)</f>
        <v/>
      </c>
      <c r="P8" s="2449"/>
      <c r="Q8" s="2449"/>
      <c r="R8" s="2449"/>
      <c r="S8" s="2449"/>
      <c r="T8" s="2449"/>
      <c r="U8" s="2449"/>
      <c r="V8" s="263"/>
      <c r="W8" s="263"/>
      <c r="X8" s="217"/>
      <c r="Y8" s="304"/>
      <c r="Z8" s="304"/>
      <c r="AA8" s="304"/>
      <c r="AB8" s="304"/>
      <c r="AC8" s="304"/>
      <c r="AD8" s="354">
        <v>46</v>
      </c>
    </row>
    <row r="9" spans="1:30" s="2098" customFormat="1" ht="24" customHeight="1">
      <c r="A9" s="1286"/>
      <c r="B9" s="1286"/>
      <c r="C9" s="1286"/>
      <c r="D9" s="1286"/>
      <c r="E9" s="1286"/>
      <c r="F9" s="1286"/>
      <c r="G9" s="1286"/>
      <c r="H9" s="1286"/>
      <c r="L9" s="1194"/>
      <c r="M9" s="232" t="s">
        <v>420</v>
      </c>
      <c r="N9" s="241"/>
      <c r="O9" s="2449" t="str">
        <f>IF(TITLE_DATE_CHANGE_PERIOD="",IF(TITLE_DATE_PR="","",TITLE_DATE_PR),TITLE_DATE_CHANGE_PERIOD)</f>
        <v/>
      </c>
      <c r="P9" s="2449"/>
      <c r="Q9" s="2449"/>
      <c r="R9" s="2449"/>
      <c r="S9" s="2449"/>
      <c r="T9" s="2449"/>
      <c r="U9" s="2449"/>
      <c r="V9" s="263"/>
      <c r="W9" s="263"/>
      <c r="X9" s="217"/>
      <c r="Y9" s="304"/>
      <c r="Z9" s="304"/>
      <c r="AA9" s="304"/>
      <c r="AB9" s="304"/>
      <c r="AC9" s="304"/>
      <c r="AD9" s="354">
        <v>23</v>
      </c>
    </row>
    <row r="10" spans="1:30" s="2098" customFormat="1" ht="24" customHeight="1">
      <c r="A10" s="1286"/>
      <c r="B10" s="1286"/>
      <c r="C10" s="1286"/>
      <c r="D10" s="1286"/>
      <c r="E10" s="1286"/>
      <c r="F10" s="1286"/>
      <c r="G10" s="1286"/>
      <c r="H10" s="1286"/>
      <c r="L10" s="1168"/>
      <c r="M10" s="232" t="s">
        <v>421</v>
      </c>
      <c r="N10" s="241"/>
      <c r="O10" s="2449" t="str">
        <f>IF(TITLE_NUMBER_PR_CHANGE="",IF(TITLE_NUMBER_PR="","",TITLE_NUMBER_PR),TITLE_NUMBER_PR_CHANGE)</f>
        <v/>
      </c>
      <c r="P10" s="2449"/>
      <c r="Q10" s="2449"/>
      <c r="R10" s="2449"/>
      <c r="S10" s="2449"/>
      <c r="T10" s="2449"/>
      <c r="U10" s="2449"/>
      <c r="V10" s="263"/>
      <c r="W10" s="263"/>
      <c r="X10" s="217"/>
      <c r="Y10" s="304"/>
      <c r="Z10" s="304"/>
      <c r="AA10" s="304"/>
      <c r="AB10" s="304"/>
      <c r="AC10" s="304"/>
      <c r="AD10" s="354">
        <v>23</v>
      </c>
    </row>
    <row r="11" spans="1:30" s="2098" customFormat="1" ht="24" customHeight="1">
      <c r="A11" s="1286"/>
      <c r="B11" s="1286"/>
      <c r="C11" s="1286"/>
      <c r="D11" s="1286"/>
      <c r="E11" s="1286"/>
      <c r="F11" s="1286"/>
      <c r="G11" s="1286"/>
      <c r="H11" s="1286"/>
      <c r="L11" s="1168"/>
      <c r="M11" s="232" t="s">
        <v>44</v>
      </c>
      <c r="N11" s="241"/>
      <c r="O11" s="2449" t="str">
        <f>IF(TITLE_IST_PUB_CHANGE="",IF(TITLE_IST_PUB="","",TITLE_IST_PUB),TITLE_IST_PUB_CHANGE)</f>
        <v/>
      </c>
      <c r="P11" s="2449"/>
      <c r="Q11" s="2449"/>
      <c r="R11" s="2449"/>
      <c r="S11" s="2449"/>
      <c r="T11" s="2449"/>
      <c r="U11" s="2449"/>
      <c r="V11" s="263"/>
      <c r="W11" s="263"/>
      <c r="X11" s="217"/>
      <c r="Y11" s="304"/>
      <c r="Z11" s="304"/>
      <c r="AA11" s="304"/>
      <c r="AB11" s="304"/>
      <c r="AC11" s="304"/>
      <c r="AD11" s="354">
        <v>23</v>
      </c>
    </row>
    <row r="12" spans="1:30" s="2098" customFormat="1" ht="11.25" hidden="1" customHeight="1">
      <c r="A12" s="1286"/>
      <c r="B12" s="1286"/>
      <c r="C12" s="1286"/>
      <c r="D12" s="1286"/>
      <c r="E12" s="1286"/>
      <c r="F12" s="1286"/>
      <c r="G12" s="1286"/>
      <c r="H12" s="1286"/>
      <c r="L12" s="2742"/>
      <c r="M12" s="2742"/>
      <c r="N12" s="1205"/>
      <c r="O12" s="263"/>
      <c r="P12" s="263"/>
      <c r="Q12" s="263"/>
      <c r="R12" s="263"/>
      <c r="S12" s="263"/>
      <c r="T12" s="263"/>
      <c r="U12" s="263"/>
      <c r="V12" s="215" t="s">
        <v>424</v>
      </c>
      <c r="Y12" s="304"/>
      <c r="Z12" s="304"/>
      <c r="AA12" s="304"/>
      <c r="AB12" s="304"/>
      <c r="AC12" s="304"/>
      <c r="AD12" s="354">
        <v>0</v>
      </c>
    </row>
    <row r="13" spans="1:30" ht="14.65" customHeight="1">
      <c r="J13" s="312"/>
      <c r="K13" s="312"/>
      <c r="L13" s="1193"/>
      <c r="M13" s="299"/>
      <c r="N13" s="1162"/>
      <c r="O13" s="2468"/>
      <c r="P13" s="2468"/>
      <c r="Q13" s="2468"/>
      <c r="R13" s="2468"/>
      <c r="S13" s="2468"/>
      <c r="T13" s="2468"/>
      <c r="U13" s="2468"/>
      <c r="V13" s="2468"/>
      <c r="AD13" s="1073">
        <v>14</v>
      </c>
    </row>
    <row r="14" spans="1:30" ht="14.65" customHeight="1">
      <c r="J14" s="312"/>
      <c r="K14" s="312"/>
      <c r="L14" s="2328" t="s">
        <v>297</v>
      </c>
      <c r="M14" s="2328"/>
      <c r="N14" s="2328"/>
      <c r="O14" s="2328"/>
      <c r="P14" s="2328"/>
      <c r="Q14" s="2328"/>
      <c r="R14" s="2328"/>
      <c r="S14" s="2328"/>
      <c r="T14" s="2328"/>
      <c r="U14" s="2328"/>
      <c r="V14" s="2328"/>
      <c r="W14" s="2328"/>
      <c r="X14" s="2328" t="s">
        <v>298</v>
      </c>
      <c r="AD14" s="1073">
        <v>14</v>
      </c>
    </row>
    <row r="15" spans="1:30" ht="14.65" customHeight="1">
      <c r="J15" s="312"/>
      <c r="K15" s="312"/>
      <c r="L15" s="2469" t="s">
        <v>90</v>
      </c>
      <c r="M15" s="2417" t="s">
        <v>425</v>
      </c>
      <c r="N15" s="238"/>
      <c r="O15" s="2470" t="s">
        <v>2278</v>
      </c>
      <c r="P15" s="2471"/>
      <c r="Q15" s="2471"/>
      <c r="R15" s="2471"/>
      <c r="S15" s="2471"/>
      <c r="T15" s="2471"/>
      <c r="U15" s="2472"/>
      <c r="V15" s="2473" t="s">
        <v>427</v>
      </c>
      <c r="W15" s="2476" t="s">
        <v>1215</v>
      </c>
      <c r="X15" s="2328"/>
      <c r="AD15" s="1073">
        <v>14</v>
      </c>
    </row>
    <row r="16" spans="1:30" ht="35.65" customHeight="1">
      <c r="J16" s="312"/>
      <c r="K16" s="312"/>
      <c r="L16" s="2469"/>
      <c r="M16" s="2417"/>
      <c r="N16" s="954"/>
      <c r="O16" s="2387" t="s">
        <v>430</v>
      </c>
      <c r="P16" s="2387" t="s">
        <v>431</v>
      </c>
      <c r="Q16" s="2310" t="s">
        <v>432</v>
      </c>
      <c r="R16" s="2309"/>
      <c r="S16" s="2310" t="s">
        <v>446</v>
      </c>
      <c r="T16" s="2315"/>
      <c r="U16" s="2309"/>
      <c r="V16" s="2474"/>
      <c r="W16" s="2477"/>
      <c r="X16" s="2328"/>
      <c r="AD16" s="1073">
        <v>34</v>
      </c>
    </row>
    <row r="17" spans="1:30" ht="35.65" customHeight="1">
      <c r="A17" s="1288" t="s">
        <v>133</v>
      </c>
      <c r="B17" s="1288" t="s">
        <v>134</v>
      </c>
      <c r="C17" s="1288" t="s">
        <v>135</v>
      </c>
      <c r="D17" s="1288" t="s">
        <v>136</v>
      </c>
      <c r="E17" s="1288"/>
      <c r="J17" s="312"/>
      <c r="K17" s="312"/>
      <c r="L17" s="2469"/>
      <c r="M17" s="2417"/>
      <c r="N17" s="239"/>
      <c r="O17" s="2442"/>
      <c r="P17" s="2442"/>
      <c r="Q17" s="1140" t="s">
        <v>441</v>
      </c>
      <c r="R17" s="1140" t="s">
        <v>442</v>
      </c>
      <c r="S17" s="1210" t="s">
        <v>443</v>
      </c>
      <c r="T17" s="2422" t="s">
        <v>444</v>
      </c>
      <c r="U17" s="2436"/>
      <c r="V17" s="2475"/>
      <c r="W17" s="2478"/>
      <c r="X17" s="2328"/>
      <c r="AD17" s="1073">
        <v>34</v>
      </c>
    </row>
    <row r="18" spans="1:30" s="2028" customFormat="1" ht="11.45" customHeight="1">
      <c r="A18" s="1288"/>
      <c r="B18" s="1288"/>
      <c r="C18" s="1288"/>
      <c r="D18" s="1288"/>
      <c r="E18" s="1288"/>
      <c r="F18" s="1280"/>
      <c r="G18" s="1280"/>
      <c r="H18" s="1280"/>
      <c r="I18" s="1164"/>
      <c r="J18" s="1165"/>
      <c r="K18" s="1172">
        <v>1</v>
      </c>
      <c r="L18" s="1195" t="s">
        <v>108</v>
      </c>
      <c r="M18" s="1173" t="s">
        <v>109</v>
      </c>
      <c r="N18" s="1163" t="str">
        <f ca="1">OFFSET(N18,0,-1)</f>
        <v>2</v>
      </c>
      <c r="O18" s="1207">
        <f ca="1">OFFSET(O18,0,-1)+1</f>
        <v>3</v>
      </c>
      <c r="P18" s="1207"/>
      <c r="Q18" s="1207">
        <f ca="1">OFFSET(Q18,0,-1)+1</f>
        <v>1</v>
      </c>
      <c r="R18" s="1207">
        <f ca="1">OFFSET(R18,0,-1)+1</f>
        <v>2</v>
      </c>
      <c r="S18" s="1207">
        <f ca="1">OFFSET(S18,0,-1)+1</f>
        <v>3</v>
      </c>
      <c r="T18" s="2467">
        <f ca="1">OFFSET(T18,0,-1)+1</f>
        <v>4</v>
      </c>
      <c r="U18" s="2467"/>
      <c r="V18" s="1207">
        <f ca="1">OFFSET(V18,0,-2)+1</f>
        <v>5</v>
      </c>
      <c r="W18" s="1163">
        <f ca="1">OFFSET(W18,0,-1)</f>
        <v>5</v>
      </c>
      <c r="X18" s="1207">
        <f ca="1">OFFSET(X18,0,-1)+1</f>
        <v>6</v>
      </c>
      <c r="Y18" s="447"/>
      <c r="Z18" s="447"/>
      <c r="AA18" s="447"/>
      <c r="AB18" s="447"/>
      <c r="AC18" s="447"/>
      <c r="AD18" s="432">
        <v>11</v>
      </c>
    </row>
    <row r="19" spans="1:30" ht="21" customHeight="1">
      <c r="A19" s="1281" t="s">
        <v>167</v>
      </c>
      <c r="B19" s="1281" t="s">
        <v>168</v>
      </c>
      <c r="C19" s="1281" t="s">
        <v>169</v>
      </c>
      <c r="D19" s="1281" t="s">
        <v>170</v>
      </c>
      <c r="E19" s="1281"/>
      <c r="F19" s="1283"/>
      <c r="G19" s="1283"/>
      <c r="H19" s="1283"/>
      <c r="I19" s="297"/>
      <c r="J19" s="296"/>
      <c r="K19" s="291"/>
      <c r="L19" s="1211">
        <f>INDEX(PT_DIFFERENTIATION_NUM_NTAR,MATCH(A19,PT_DIFFERENTIATION_NTAR_ID,0))</f>
        <v>0</v>
      </c>
      <c r="M19" s="235" t="s">
        <v>122</v>
      </c>
      <c r="N19" s="237"/>
      <c r="O19" s="2741" t="str">
        <f>INDEX(PT_DIFFERENTIATION_NTAR,MATCH(A19,PT_DIFFERENTIATION_NTAR_ID,0))</f>
        <v/>
      </c>
      <c r="P19" s="2741"/>
      <c r="Q19" s="2741"/>
      <c r="R19" s="2741"/>
      <c r="S19" s="2741"/>
      <c r="T19" s="2741"/>
      <c r="U19" s="2741"/>
      <c r="V19" s="2741"/>
      <c r="W19" s="2741"/>
      <c r="X19" s="1176" t="s">
        <v>393</v>
      </c>
      <c r="Z19" s="436"/>
      <c r="AA19" s="436" t="str">
        <f t="shared" ref="AA19:AA32" si="0">IF(M19="","",M19)</f>
        <v>Наименование тарифа</v>
      </c>
      <c r="AB19" s="436"/>
      <c r="AC19" s="436"/>
      <c r="AD19" s="1073">
        <v>20</v>
      </c>
    </row>
    <row r="20" spans="1:30" ht="21" customHeight="1">
      <c r="A20" s="1281" t="s">
        <v>167</v>
      </c>
      <c r="B20" s="1281" t="s">
        <v>168</v>
      </c>
      <c r="C20" s="1281" t="s">
        <v>169</v>
      </c>
      <c r="D20" s="1281" t="s">
        <v>170</v>
      </c>
      <c r="E20" s="1281"/>
      <c r="F20" s="1283"/>
      <c r="G20" s="1283"/>
      <c r="H20" s="1283"/>
      <c r="I20" s="1208"/>
      <c r="J20" s="288"/>
      <c r="K20" s="289"/>
      <c r="L20" s="1211" t="str">
        <f>INDEX(PT_DIFFERENTIATION_NUM_TER,MATCH(B19,PT_DIFFERENTIATION_TER_ID,0))</f>
        <v>.</v>
      </c>
      <c r="M20" s="245" t="s">
        <v>394</v>
      </c>
      <c r="N20" s="237"/>
      <c r="O20" s="2741" t="str">
        <f>INDEX(PT_DIFFERENTIATION_TER,MATCH(B19,PT_DIFFERENTIATION_TER_ID,0))</f>
        <v/>
      </c>
      <c r="P20" s="2741"/>
      <c r="Q20" s="2741"/>
      <c r="R20" s="2741"/>
      <c r="S20" s="2741"/>
      <c r="T20" s="2741"/>
      <c r="U20" s="2741"/>
      <c r="V20" s="2741"/>
      <c r="W20" s="2741"/>
      <c r="X20" s="1176" t="s">
        <v>395</v>
      </c>
      <c r="Z20" s="436"/>
      <c r="AA20" s="436" t="str">
        <f t="shared" si="0"/>
        <v>Территория действия тарифа</v>
      </c>
      <c r="AB20" s="436"/>
      <c r="AC20" s="436"/>
      <c r="AD20" s="1073">
        <v>20</v>
      </c>
    </row>
    <row r="21" spans="1:30" ht="24" customHeight="1">
      <c r="A21" s="1281" t="s">
        <v>167</v>
      </c>
      <c r="B21" s="1281" t="s">
        <v>168</v>
      </c>
      <c r="C21" s="1281" t="s">
        <v>169</v>
      </c>
      <c r="D21" s="1281" t="s">
        <v>170</v>
      </c>
      <c r="E21" s="1281"/>
      <c r="F21" s="1283"/>
      <c r="G21" s="1283"/>
      <c r="H21" s="1283"/>
      <c r="I21" s="290"/>
      <c r="J21" s="288"/>
      <c r="K21" s="289"/>
      <c r="L21" s="1211" t="str">
        <f>INDEX(PT_DIFFERENTIATION_NUM_CS,MATCH(C19,PT_DIFFERENTIATION_CS_ID,0))</f>
        <v>..</v>
      </c>
      <c r="M21" s="246" t="s">
        <v>396</v>
      </c>
      <c r="N21" s="237"/>
      <c r="O21" s="2741" t="str">
        <f>INDEX(PT_DIFFERENTIATION_CS,MATCH(C19,PT_DIFFERENTIATION_CS_ID,0))</f>
        <v/>
      </c>
      <c r="P21" s="2741"/>
      <c r="Q21" s="2741"/>
      <c r="R21" s="2741"/>
      <c r="S21" s="2741"/>
      <c r="T21" s="2741"/>
      <c r="U21" s="2741"/>
      <c r="V21" s="2741"/>
      <c r="W21" s="2741"/>
      <c r="X21" s="1176" t="s">
        <v>397</v>
      </c>
      <c r="Z21" s="436"/>
      <c r="AA21" s="436" t="str">
        <f t="shared" si="0"/>
        <v xml:space="preserve">Наименование системы теплоснабжения </v>
      </c>
      <c r="AB21" s="436"/>
      <c r="AC21" s="436"/>
      <c r="AD21" s="1073">
        <v>23</v>
      </c>
    </row>
    <row r="22" spans="1:30" ht="21" customHeight="1">
      <c r="A22" s="1281" t="s">
        <v>167</v>
      </c>
      <c r="B22" s="1281" t="s">
        <v>168</v>
      </c>
      <c r="C22" s="1281" t="s">
        <v>169</v>
      </c>
      <c r="D22" s="1281" t="s">
        <v>170</v>
      </c>
      <c r="E22" s="1281"/>
      <c r="F22" s="1283"/>
      <c r="G22" s="1283"/>
      <c r="H22" s="1283"/>
      <c r="I22" s="290"/>
      <c r="J22" s="288"/>
      <c r="K22" s="289"/>
      <c r="L22" s="1211" t="str">
        <f>INDEX(PT_DIFFERENTIATION_NUM_IST_TE,MATCH(D19,PT_DIFFERENTIATION_IST_TE_ID,0))</f>
        <v>...</v>
      </c>
      <c r="M22" s="247" t="s">
        <v>398</v>
      </c>
      <c r="N22" s="237"/>
      <c r="O22" s="2741" t="str">
        <f>INDEX(PT_DIFFERENTIATION_IST_TE,MATCH(D19,PT_DIFFERENTIATION_IST_TE_ID,0))</f>
        <v/>
      </c>
      <c r="P22" s="2741"/>
      <c r="Q22" s="2741"/>
      <c r="R22" s="2741"/>
      <c r="S22" s="2741"/>
      <c r="T22" s="2741"/>
      <c r="U22" s="2741"/>
      <c r="V22" s="2741"/>
      <c r="W22" s="2741"/>
      <c r="X22" s="1176" t="s">
        <v>399</v>
      </c>
      <c r="Z22" s="436"/>
      <c r="AA22" s="436" t="str">
        <f t="shared" si="0"/>
        <v xml:space="preserve">Источник тепловой энергии  </v>
      </c>
      <c r="AB22" s="436"/>
      <c r="AC22" s="436"/>
      <c r="AD22" s="1073">
        <v>20</v>
      </c>
    </row>
    <row r="23" spans="1:30" ht="96.75" customHeight="1">
      <c r="A23" s="1281" t="s">
        <v>167</v>
      </c>
      <c r="B23" s="1281" t="s">
        <v>168</v>
      </c>
      <c r="C23" s="1281" t="s">
        <v>169</v>
      </c>
      <c r="D23" s="1281" t="s">
        <v>170</v>
      </c>
      <c r="E23" s="1281"/>
      <c r="F23" s="2434" t="str">
        <f>L22&amp;".1"</f>
        <v>....1</v>
      </c>
      <c r="I23" s="2460">
        <v>1</v>
      </c>
      <c r="J23" s="1209"/>
      <c r="K23" s="292"/>
      <c r="L23" s="1211" t="str">
        <f>$F$23</f>
        <v>....1</v>
      </c>
      <c r="M23" s="222" t="s">
        <v>401</v>
      </c>
      <c r="N23" s="237"/>
      <c r="O23" s="2490"/>
      <c r="P23" s="2490"/>
      <c r="Q23" s="2490"/>
      <c r="R23" s="2490"/>
      <c r="S23" s="2490"/>
      <c r="T23" s="2490"/>
      <c r="U23" s="2490"/>
      <c r="V23" s="2490"/>
      <c r="W23" s="2490"/>
      <c r="X23" s="1176" t="s">
        <v>402</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167</v>
      </c>
      <c r="B24" s="1281" t="s">
        <v>168</v>
      </c>
      <c r="C24" s="1281" t="s">
        <v>169</v>
      </c>
      <c r="D24" s="1281" t="s">
        <v>170</v>
      </c>
      <c r="E24" s="1281"/>
      <c r="F24" s="2434"/>
      <c r="G24" s="2434" t="str">
        <f>F23&amp;".1"</f>
        <v>....1.1</v>
      </c>
      <c r="I24" s="2460"/>
      <c r="J24" s="2460">
        <v>1</v>
      </c>
      <c r="K24" s="293"/>
      <c r="L24" s="1211" t="str">
        <f>$G$24</f>
        <v>....1.1</v>
      </c>
      <c r="M24" s="223" t="s">
        <v>404</v>
      </c>
      <c r="N24" s="237"/>
      <c r="O24" s="2444"/>
      <c r="P24" s="2445"/>
      <c r="Q24" s="2445"/>
      <c r="R24" s="2445"/>
      <c r="S24" s="2445"/>
      <c r="T24" s="2445"/>
      <c r="U24" s="2445"/>
      <c r="V24" s="2445"/>
      <c r="W24" s="2446"/>
      <c r="X24" s="1176" t="s">
        <v>405</v>
      </c>
      <c r="Z24" s="436"/>
      <c r="AA24" s="436" t="str">
        <f t="shared" si="0"/>
        <v>Группа потребителей</v>
      </c>
      <c r="AB24" s="436"/>
      <c r="AC24" s="436"/>
      <c r="AD24" s="1073">
        <v>82</v>
      </c>
    </row>
    <row r="25" spans="1:30" ht="11.45" customHeight="1">
      <c r="A25" s="1281" t="s">
        <v>167</v>
      </c>
      <c r="B25" s="1281" t="s">
        <v>168</v>
      </c>
      <c r="C25" s="1281" t="s">
        <v>169</v>
      </c>
      <c r="D25" s="1281" t="s">
        <v>170</v>
      </c>
      <c r="E25" s="1281"/>
      <c r="F25" s="2434"/>
      <c r="G25" s="2434"/>
      <c r="H25" s="2434" t="str">
        <f>G24&amp;".1"</f>
        <v>....1.1.1</v>
      </c>
      <c r="I25" s="2460"/>
      <c r="J25" s="2460"/>
      <c r="K25" s="293">
        <v>1</v>
      </c>
      <c r="L25" s="1211" t="str">
        <f>$H$25</f>
        <v>....1.1.1</v>
      </c>
      <c r="M25" s="1265"/>
      <c r="N25" s="237"/>
      <c r="O25" s="687"/>
      <c r="P25" s="262"/>
      <c r="Q25" s="687"/>
      <c r="R25" s="1175"/>
      <c r="S25" s="2461"/>
      <c r="T25" s="2338" t="s">
        <v>67</v>
      </c>
      <c r="U25" s="2461"/>
      <c r="V25" s="2338" t="s">
        <v>19</v>
      </c>
      <c r="W25" s="262"/>
      <c r="X25" s="2479" t="s">
        <v>407</v>
      </c>
      <c r="Y25" s="447" t="e">
        <f ca="1">STRCHECKDATE(O26:W26)</f>
        <v>#NAME?</v>
      </c>
      <c r="Z25" s="436"/>
      <c r="AA25" s="436" t="str">
        <f t="shared" si="0"/>
        <v/>
      </c>
      <c r="AB25" s="436"/>
      <c r="AC25" s="436"/>
      <c r="AD25" s="1073">
        <v>11</v>
      </c>
    </row>
    <row r="26" spans="1:30" ht="11.45" customHeight="1">
      <c r="A26" s="1281" t="s">
        <v>167</v>
      </c>
      <c r="B26" s="1281" t="s">
        <v>168</v>
      </c>
      <c r="C26" s="1281" t="s">
        <v>169</v>
      </c>
      <c r="D26" s="1281" t="s">
        <v>170</v>
      </c>
      <c r="E26" s="1281"/>
      <c r="F26" s="2434"/>
      <c r="G26" s="2434"/>
      <c r="H26" s="2434"/>
      <c r="I26" s="2460"/>
      <c r="J26" s="2460"/>
      <c r="K26" s="293"/>
      <c r="L26" s="1212"/>
      <c r="M26" s="237"/>
      <c r="N26" s="237"/>
      <c r="O26" s="262"/>
      <c r="P26" s="262"/>
      <c r="Q26" s="262"/>
      <c r="R26" s="265" t="str">
        <f>S25&amp;"-"&amp;U25</f>
        <v>-</v>
      </c>
      <c r="S26" s="2462"/>
      <c r="T26" s="2338"/>
      <c r="U26" s="2462"/>
      <c r="V26" s="2338"/>
      <c r="W26" s="262"/>
      <c r="X26" s="2480"/>
      <c r="Z26" s="436"/>
      <c r="AA26" s="436" t="str">
        <f t="shared" si="0"/>
        <v/>
      </c>
      <c r="AB26" s="436"/>
      <c r="AC26" s="436"/>
      <c r="AD26" s="1073">
        <v>11</v>
      </c>
    </row>
    <row r="27" spans="1:30" ht="15.75" customHeight="1">
      <c r="A27" s="1281" t="s">
        <v>167</v>
      </c>
      <c r="B27" s="1281" t="s">
        <v>168</v>
      </c>
      <c r="C27" s="1281" t="s">
        <v>169</v>
      </c>
      <c r="D27" s="1281" t="s">
        <v>170</v>
      </c>
      <c r="E27" s="1281"/>
      <c r="F27" s="2434"/>
      <c r="G27" s="2434"/>
      <c r="I27" s="2460"/>
      <c r="J27" s="2460"/>
      <c r="K27" s="292"/>
      <c r="L27" s="1196"/>
      <c r="M27" s="225" t="s">
        <v>408</v>
      </c>
      <c r="N27" s="303"/>
      <c r="O27" s="303"/>
      <c r="P27" s="303"/>
      <c r="Q27" s="303"/>
      <c r="R27" s="303"/>
      <c r="S27" s="303"/>
      <c r="T27" s="303"/>
      <c r="U27" s="303"/>
      <c r="V27" s="303"/>
      <c r="W27" s="261"/>
      <c r="X27" s="2481"/>
      <c r="Z27" s="436"/>
      <c r="AA27" s="436" t="str">
        <f t="shared" si="0"/>
        <v>Добавить вид теплоносителя (параметры теплоносителя)</v>
      </c>
      <c r="AB27" s="436"/>
      <c r="AC27" s="436"/>
      <c r="AD27" s="1073">
        <v>15</v>
      </c>
    </row>
    <row r="28" spans="1:30" ht="15.75" customHeight="1">
      <c r="A28" s="1281" t="s">
        <v>167</v>
      </c>
      <c r="B28" s="1281" t="s">
        <v>168</v>
      </c>
      <c r="C28" s="1281" t="s">
        <v>169</v>
      </c>
      <c r="D28" s="1281" t="s">
        <v>170</v>
      </c>
      <c r="E28" s="1281"/>
      <c r="F28" s="2434"/>
      <c r="I28" s="2460"/>
      <c r="J28" s="1209"/>
      <c r="K28" s="292"/>
      <c r="L28" s="1196"/>
      <c r="M28" s="224" t="s">
        <v>409</v>
      </c>
      <c r="N28" s="303"/>
      <c r="O28" s="303"/>
      <c r="P28" s="303"/>
      <c r="Q28" s="303"/>
      <c r="R28" s="303"/>
      <c r="S28" s="303"/>
      <c r="T28" s="303"/>
      <c r="U28" s="303"/>
      <c r="V28" s="302"/>
      <c r="W28" s="303"/>
      <c r="X28" s="240"/>
      <c r="Z28" s="436"/>
      <c r="AA28" s="436" t="str">
        <f t="shared" si="0"/>
        <v>Добавить группу потребителей</v>
      </c>
      <c r="AB28" s="436"/>
      <c r="AC28" s="436"/>
      <c r="AD28" s="1073">
        <v>15</v>
      </c>
    </row>
    <row r="29" spans="1:30" ht="14.65" customHeight="1">
      <c r="A29" s="1281" t="s">
        <v>167</v>
      </c>
      <c r="B29" s="1281" t="s">
        <v>168</v>
      </c>
      <c r="C29" s="1281" t="s">
        <v>169</v>
      </c>
      <c r="D29" s="1281" t="s">
        <v>170</v>
      </c>
      <c r="E29" s="1281"/>
      <c r="F29" s="1283"/>
      <c r="G29" s="1283"/>
      <c r="H29" s="473"/>
      <c r="I29" s="296"/>
      <c r="J29" s="311"/>
      <c r="K29" s="291"/>
      <c r="L29" s="1196"/>
      <c r="M29" s="301" t="s">
        <v>410</v>
      </c>
      <c r="N29" s="303"/>
      <c r="O29" s="303"/>
      <c r="P29" s="303"/>
      <c r="Q29" s="303"/>
      <c r="R29" s="303"/>
      <c r="S29" s="303"/>
      <c r="T29" s="303"/>
      <c r="U29" s="303"/>
      <c r="V29" s="302"/>
      <c r="W29" s="303"/>
      <c r="X29" s="240"/>
      <c r="Z29" s="436"/>
      <c r="AA29" s="436" t="str">
        <f t="shared" si="0"/>
        <v>Добавить схему подключения</v>
      </c>
      <c r="AB29" s="436"/>
      <c r="AC29" s="436"/>
      <c r="AD29" s="1073">
        <v>14</v>
      </c>
    </row>
    <row r="30" spans="1:30" ht="14.65" customHeight="1">
      <c r="A30" s="1281" t="s">
        <v>167</v>
      </c>
      <c r="B30" s="1281" t="s">
        <v>168</v>
      </c>
      <c r="C30" s="1281" t="s">
        <v>169</v>
      </c>
      <c r="D30" s="1281"/>
      <c r="E30" s="1281" t="s">
        <v>583</v>
      </c>
      <c r="F30" s="1283"/>
      <c r="G30" s="1283"/>
      <c r="H30" s="473"/>
      <c r="I30" s="296"/>
      <c r="J30" s="311"/>
      <c r="K30" s="291"/>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167</v>
      </c>
      <c r="B31" s="1281" t="s">
        <v>168</v>
      </c>
      <c r="C31" s="1281"/>
      <c r="D31" s="1281"/>
      <c r="E31" s="1281" t="s">
        <v>2279</v>
      </c>
      <c r="F31" s="1435"/>
      <c r="G31" s="1435"/>
      <c r="H31" s="473"/>
      <c r="I31" s="294"/>
      <c r="J31" s="311"/>
      <c r="K31" s="295"/>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2280</v>
      </c>
      <c r="B32" s="1281"/>
      <c r="C32" s="1281"/>
      <c r="D32" s="1281"/>
      <c r="E32" s="1281" t="s">
        <v>103</v>
      </c>
      <c r="F32" s="1435"/>
      <c r="G32" s="1435"/>
      <c r="H32" s="473"/>
      <c r="I32" s="296"/>
      <c r="J32" s="311"/>
      <c r="K32" s="291"/>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114" customFormat="1" ht="11.45" customHeight="1">
      <c r="A33" s="1281"/>
      <c r="B33" s="1281"/>
      <c r="C33" s="1281"/>
      <c r="D33" s="1281"/>
      <c r="E33" s="1281" t="s">
        <v>445</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09">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801</v>
      </c>
      <c r="M35" s="2455" t="s">
        <v>2281</v>
      </c>
      <c r="N35" s="2455"/>
      <c r="O35" s="2455"/>
      <c r="P35" s="2455"/>
      <c r="Q35" s="2455"/>
      <c r="R35" s="2455"/>
      <c r="S35" s="2455"/>
      <c r="T35" s="2455"/>
      <c r="U35" s="2455"/>
      <c r="V35" s="2455"/>
      <c r="W35" s="2455"/>
      <c r="X35" s="2455"/>
      <c r="AD35" s="1073">
        <v>27</v>
      </c>
    </row>
    <row r="36" spans="1:30" ht="109.15" customHeight="1">
      <c r="H36" s="473"/>
      <c r="I36" s="1221"/>
      <c r="M36" s="2455" t="s">
        <v>2282</v>
      </c>
      <c r="N36" s="2455"/>
      <c r="O36" s="2455"/>
      <c r="P36" s="2455"/>
      <c r="Q36" s="2455"/>
      <c r="R36" s="2455"/>
      <c r="S36" s="2455"/>
      <c r="T36" s="2455"/>
      <c r="U36" s="2455"/>
      <c r="V36" s="2455"/>
      <c r="W36" s="2455"/>
      <c r="X36" s="2455"/>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84</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74" hidden="1" customWidth="1"/>
    <col min="2" max="2" width="15" style="2016" hidden="1" customWidth="1"/>
    <col min="3" max="3" width="3" style="2014" customWidth="1"/>
    <col min="4" max="4" width="6" style="2019" customWidth="1"/>
    <col min="5" max="5" width="52" style="2014" customWidth="1"/>
    <col min="6" max="6" width="48" style="2014" customWidth="1"/>
    <col min="7" max="7" width="121" style="2014" customWidth="1"/>
    <col min="8" max="8" width="8" style="2014" customWidth="1"/>
    <col min="9" max="9" width="64" style="2014" customWidth="1"/>
    <col min="10" max="10" width="9.140625" style="2014" hidden="1"/>
  </cols>
  <sheetData>
    <row r="1" spans="1:10" ht="11.25" hidden="1" customHeight="1">
      <c r="A1" s="1604" t="s">
        <v>296</v>
      </c>
      <c r="J1" s="391" t="s">
        <v>14</v>
      </c>
    </row>
    <row r="2" spans="1:10" ht="11.25" hidden="1" customHeight="1">
      <c r="J2" s="391">
        <v>0</v>
      </c>
    </row>
    <row r="3" spans="1:10" s="2015" customFormat="1" ht="11.45" customHeight="1">
      <c r="A3" s="1604"/>
      <c r="B3" s="437"/>
      <c r="D3" s="414"/>
      <c r="J3" s="413">
        <v>11</v>
      </c>
    </row>
    <row r="4" spans="1:10" ht="27.4" customHeight="1">
      <c r="D4" s="23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79"/>
      <c r="F4" s="2380"/>
      <c r="I4" s="651"/>
      <c r="J4" s="391">
        <v>26</v>
      </c>
    </row>
    <row r="5" spans="1:10" ht="18" customHeight="1">
      <c r="D5" s="2409" t="str">
        <f>IF(org=0,"Не определено",org)</f>
        <v>ПАО "ТГК-1" филиал "Невский"</v>
      </c>
      <c r="E5" s="2409"/>
      <c r="F5" s="2409"/>
      <c r="I5" s="651"/>
      <c r="J5" s="391">
        <v>17</v>
      </c>
    </row>
    <row r="6" spans="1:10" s="2015" customFormat="1" ht="11.45" customHeight="1">
      <c r="A6" s="1604"/>
      <c r="B6" s="437"/>
      <c r="D6" s="650"/>
      <c r="E6" s="650"/>
      <c r="F6" s="688"/>
      <c r="G6" s="650"/>
      <c r="J6" s="413">
        <v>11</v>
      </c>
    </row>
    <row r="7" spans="1:10" ht="11.25" hidden="1" customHeight="1">
      <c r="A7" s="393"/>
      <c r="B7" s="438"/>
      <c r="C7" s="393"/>
      <c r="D7" s="399"/>
      <c r="E7" s="2415"/>
      <c r="F7" s="2415"/>
      <c r="J7" s="391">
        <v>0</v>
      </c>
    </row>
    <row r="8" spans="1:10" ht="11.45" customHeight="1">
      <c r="A8" s="393"/>
      <c r="B8" s="438"/>
      <c r="C8" s="393"/>
      <c r="D8" s="2412" t="s">
        <v>297</v>
      </c>
      <c r="E8" s="2413"/>
      <c r="F8" s="2413"/>
      <c r="G8" s="2416" t="s">
        <v>298</v>
      </c>
      <c r="J8" s="391">
        <v>11</v>
      </c>
    </row>
    <row r="9" spans="1:10" ht="11.45" customHeight="1">
      <c r="A9" s="393"/>
      <c r="B9" s="438"/>
      <c r="C9" s="393"/>
      <c r="D9" s="408" t="s">
        <v>90</v>
      </c>
      <c r="E9" s="382" t="s">
        <v>299</v>
      </c>
      <c r="F9" s="382" t="s">
        <v>300</v>
      </c>
      <c r="G9" s="2417"/>
      <c r="J9" s="391">
        <v>11</v>
      </c>
    </row>
    <row r="10" spans="1:10" ht="12" hidden="1" customHeight="1">
      <c r="A10" s="393"/>
      <c r="B10" s="438"/>
      <c r="C10" s="393"/>
      <c r="D10" s="400"/>
      <c r="E10" s="400"/>
      <c r="F10" s="400"/>
      <c r="G10" s="400"/>
      <c r="J10" s="391">
        <v>0</v>
      </c>
    </row>
    <row r="11" spans="1:10" ht="22.5" hidden="1" customHeight="1">
      <c r="A11" s="393"/>
      <c r="B11" s="438"/>
      <c r="C11" s="393"/>
      <c r="D11" s="932" t="s">
        <v>108</v>
      </c>
      <c r="E11" s="935" t="s">
        <v>301</v>
      </c>
      <c r="F11" s="934" t="str">
        <f>IF(region_name="","",region_name)</f>
        <v>г.Санкт-Петербург</v>
      </c>
      <c r="G11" s="935" t="s">
        <v>302</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303</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304</v>
      </c>
      <c r="E14" s="933" t="s">
        <v>305</v>
      </c>
      <c r="F14" s="934" t="str">
        <f>IF(inn="","",inn)</f>
        <v>7841312071</v>
      </c>
      <c r="G14" s="935" t="s">
        <v>306</v>
      </c>
      <c r="H14" s="411"/>
      <c r="J14" s="391">
        <v>0</v>
      </c>
    </row>
    <row r="15" spans="1:10" ht="22.5" hidden="1" customHeight="1">
      <c r="A15" s="393"/>
      <c r="B15" s="438"/>
      <c r="C15" s="393"/>
      <c r="D15" s="932" t="s">
        <v>307</v>
      </c>
      <c r="E15" s="933" t="s">
        <v>308</v>
      </c>
      <c r="F15" s="934" t="str">
        <f>IF(kpp="","",kpp)</f>
        <v>781301001</v>
      </c>
      <c r="G15" s="935" t="s">
        <v>309</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49"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10" t="s">
        <v>310</v>
      </c>
      <c r="B19" s="438"/>
      <c r="C19" s="2421"/>
      <c r="D19" s="381" t="str">
        <f>A19</f>
        <v>5.1</v>
      </c>
      <c r="E19" s="378" t="s">
        <v>311</v>
      </c>
      <c r="F19" s="379" t="s">
        <v>303</v>
      </c>
      <c r="G19" s="380" t="s">
        <v>312</v>
      </c>
      <c r="H19" s="411"/>
      <c r="I19" s="778"/>
      <c r="J19" s="391">
        <v>0</v>
      </c>
    </row>
    <row r="20" spans="1:10" ht="24" hidden="1" customHeight="1">
      <c r="A20" s="2410"/>
      <c r="B20" s="438"/>
      <c r="C20" s="2421"/>
      <c r="D20" s="376" t="str">
        <f>D19&amp;".1"</f>
        <v>5.1.1</v>
      </c>
      <c r="E20" s="375" t="s">
        <v>313</v>
      </c>
      <c r="F20" s="806" t="s">
        <v>22</v>
      </c>
      <c r="G20" s="410"/>
      <c r="H20" s="411"/>
      <c r="I20" s="778"/>
      <c r="J20" s="391">
        <v>0</v>
      </c>
    </row>
    <row r="21" spans="1:10" ht="22.5" hidden="1" customHeight="1">
      <c r="A21" s="2410"/>
      <c r="B21" s="438"/>
      <c r="C21" s="2421"/>
      <c r="D21" s="376" t="str">
        <f>D19&amp;".2"</f>
        <v>5.1.2</v>
      </c>
      <c r="E21" s="375" t="s">
        <v>314</v>
      </c>
      <c r="F21" s="1650" t="s">
        <v>22</v>
      </c>
      <c r="G21" s="380" t="s">
        <v>315</v>
      </c>
      <c r="H21" s="411"/>
      <c r="I21" s="778"/>
      <c r="J21" s="391">
        <v>0</v>
      </c>
    </row>
    <row r="22" spans="1:10" ht="22.5" hidden="1" customHeight="1">
      <c r="A22" s="2410"/>
      <c r="B22" s="438"/>
      <c r="C22" s="2421"/>
      <c r="D22" s="376" t="str">
        <f>D19&amp;".3"</f>
        <v>5.1.3</v>
      </c>
      <c r="E22" s="375" t="s">
        <v>316</v>
      </c>
      <c r="F22" s="806" t="s">
        <v>22</v>
      </c>
      <c r="G22" s="410"/>
      <c r="H22" s="411"/>
      <c r="I22" s="778"/>
      <c r="J22" s="391">
        <v>0</v>
      </c>
    </row>
    <row r="23" spans="1:10" ht="22.5" hidden="1" customHeight="1">
      <c r="A23" s="2410"/>
      <c r="B23" s="438"/>
      <c r="C23" s="2421"/>
      <c r="D23" s="376" t="str">
        <f>D19&amp;".4"</f>
        <v>5.1.4</v>
      </c>
      <c r="E23" s="375" t="s">
        <v>317</v>
      </c>
      <c r="F23" s="806" t="s">
        <v>22</v>
      </c>
      <c r="G23" s="380" t="s">
        <v>318</v>
      </c>
      <c r="H23" s="411"/>
      <c r="I23" s="778"/>
      <c r="J23" s="391">
        <v>0</v>
      </c>
    </row>
    <row r="24" spans="1:10" ht="22.5" hidden="1" customHeight="1">
      <c r="A24" s="1890"/>
      <c r="B24" s="438"/>
      <c r="C24" s="428"/>
      <c r="D24" s="403"/>
      <c r="E24" s="1086" t="s">
        <v>319</v>
      </c>
      <c r="F24" s="404"/>
      <c r="G24" s="405"/>
      <c r="H24" s="411"/>
      <c r="I24" s="778"/>
      <c r="J24" s="391">
        <v>0</v>
      </c>
    </row>
    <row r="25" spans="1:10" s="2016" customFormat="1" ht="24.75" hidden="1" customHeight="1">
      <c r="A25" s="393"/>
      <c r="B25" s="438"/>
      <c r="C25" s="438"/>
      <c r="D25" s="929" t="s">
        <v>92</v>
      </c>
      <c r="E25" s="931" t="s">
        <v>320</v>
      </c>
      <c r="F25" s="936" t="s">
        <v>303</v>
      </c>
      <c r="G25" s="931"/>
      <c r="J25" s="437">
        <v>0</v>
      </c>
    </row>
    <row r="26" spans="1:10" s="2016" customFormat="1" ht="11.25" hidden="1" customHeight="1">
      <c r="A26" s="393"/>
      <c r="B26" s="438"/>
      <c r="C26" s="438"/>
      <c r="D26" s="929" t="s">
        <v>321</v>
      </c>
      <c r="E26" s="930" t="s">
        <v>322</v>
      </c>
      <c r="F26" s="936" t="s">
        <v>303</v>
      </c>
      <c r="G26" s="931"/>
      <c r="J26" s="437">
        <v>0</v>
      </c>
    </row>
    <row r="27" spans="1:10" s="2016" customFormat="1" ht="11.25" hidden="1" customHeight="1">
      <c r="A27" s="393"/>
      <c r="B27" s="438"/>
      <c r="C27" s="438"/>
      <c r="D27" s="929" t="s">
        <v>323</v>
      </c>
      <c r="E27" s="937" t="s">
        <v>324</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6" customFormat="1" ht="11.25" hidden="1" customHeight="1">
      <c r="A28" s="393"/>
      <c r="B28" s="438"/>
      <c r="C28" s="438"/>
      <c r="D28" s="929" t="s">
        <v>325</v>
      </c>
      <c r="E28" s="937" t="s">
        <v>326</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6" customFormat="1" ht="11.25" hidden="1" customHeight="1">
      <c r="A29" s="393"/>
      <c r="B29" s="438"/>
      <c r="C29" s="438"/>
      <c r="D29" s="929" t="s">
        <v>327</v>
      </c>
      <c r="E29" s="937" t="s">
        <v>328</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6" customFormat="1" ht="11.25" hidden="1" customHeight="1">
      <c r="A30" s="393"/>
      <c r="B30" s="438"/>
      <c r="C30" s="438"/>
      <c r="D30" s="929" t="s">
        <v>329</v>
      </c>
      <c r="E30" s="930" t="s">
        <v>330</v>
      </c>
      <c r="F30" s="938"/>
      <c r="G30" s="931"/>
      <c r="J30" s="437">
        <v>0</v>
      </c>
    </row>
    <row r="31" spans="1:10" s="2016" customFormat="1" ht="11.25" hidden="1" customHeight="1">
      <c r="A31" s="393"/>
      <c r="B31" s="438"/>
      <c r="C31" s="438"/>
      <c r="D31" s="929" t="s">
        <v>331</v>
      </c>
      <c r="E31" s="930" t="s">
        <v>332</v>
      </c>
      <c r="F31" s="938"/>
      <c r="G31" s="931"/>
      <c r="J31" s="437">
        <v>0</v>
      </c>
    </row>
    <row r="32" spans="1:10" s="2016" customFormat="1" ht="11.25" hidden="1" customHeight="1">
      <c r="A32" s="393"/>
      <c r="B32" s="438"/>
      <c r="C32" s="438"/>
      <c r="D32" s="929" t="s">
        <v>333</v>
      </c>
      <c r="E32" s="930" t="s">
        <v>334</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303</v>
      </c>
      <c r="G39" s="241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3"/>
      <c r="F40" s="806"/>
      <c r="G40" s="2419"/>
      <c r="H40" s="411"/>
      <c r="J40" s="391">
        <v>0</v>
      </c>
    </row>
    <row r="41" spans="1:10" ht="23.25" customHeight="1">
      <c r="A41" s="393"/>
      <c r="B41" s="393"/>
      <c r="C41" s="1606"/>
      <c r="D41" s="376" t="str">
        <f>D39&amp;".1"</f>
        <v>9.1</v>
      </c>
      <c r="E41" s="786"/>
      <c r="F41" s="787"/>
      <c r="G41" s="2419"/>
      <c r="H41" s="411"/>
      <c r="J41" s="391">
        <v>22</v>
      </c>
    </row>
    <row r="42" spans="1:10" ht="15.75" customHeight="1">
      <c r="A42" s="393"/>
      <c r="B42" s="438"/>
      <c r="C42" s="393"/>
      <c r="D42" s="403"/>
      <c r="E42" s="351" t="s">
        <v>336</v>
      </c>
      <c r="F42" s="405"/>
      <c r="G42" s="242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337</v>
      </c>
      <c r="H44" s="411"/>
      <c r="J44" s="391">
        <v>22</v>
      </c>
    </row>
    <row r="45" spans="1:10" ht="23.25" customHeight="1">
      <c r="A45" s="393"/>
      <c r="B45" s="438"/>
      <c r="C45" s="393"/>
      <c r="D45" s="376">
        <f>D44+1</f>
        <v>12</v>
      </c>
      <c r="E45" s="374" t="s">
        <v>338</v>
      </c>
      <c r="F45" s="379" t="s">
        <v>303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2"/>
      <c r="G46" s="373" t="s">
        <v>339</v>
      </c>
      <c r="H46" s="411"/>
      <c r="J46" s="391">
        <v>23</v>
      </c>
    </row>
    <row r="47" spans="1:10" ht="24" customHeight="1">
      <c r="A47" s="2410"/>
      <c r="B47" s="438"/>
      <c r="C47" s="428"/>
      <c r="D47" s="376" t="str">
        <f>D45&amp;".2"</f>
        <v>12.2</v>
      </c>
      <c r="E47" s="378" t="s">
        <v>340</v>
      </c>
      <c r="F47" s="426"/>
      <c r="G47" s="373" t="s">
        <v>341</v>
      </c>
      <c r="H47" s="411"/>
      <c r="J47" s="391">
        <v>23</v>
      </c>
    </row>
    <row r="48" spans="1:10" ht="24" customHeight="1">
      <c r="A48" s="2410"/>
      <c r="B48" s="438"/>
      <c r="C48" s="428"/>
      <c r="D48" s="376" t="str">
        <f>D45&amp;".3"</f>
        <v>12.3</v>
      </c>
      <c r="E48" s="378" t="s">
        <v>342</v>
      </c>
      <c r="F48" s="426"/>
      <c r="G48" s="373" t="s">
        <v>343</v>
      </c>
      <c r="H48" s="411"/>
      <c r="J48" s="391">
        <v>23</v>
      </c>
    </row>
    <row r="49" spans="1:10" ht="24" customHeight="1">
      <c r="A49" s="2410"/>
      <c r="B49" s="438"/>
      <c r="C49" s="428"/>
      <c r="D49" s="376" t="str">
        <f>IF(TEMPLATE_SPHERE="TKO",D45&amp;".0",D45&amp;".4")</f>
        <v>12.4</v>
      </c>
      <c r="E49" s="372" t="s">
        <v>344</v>
      </c>
      <c r="F49" s="1603"/>
      <c r="G49" s="1679" t="s">
        <v>345</v>
      </c>
      <c r="H49" s="411"/>
      <c r="J49" s="391">
        <v>23</v>
      </c>
    </row>
    <row r="50" spans="1:10" ht="24" customHeight="1">
      <c r="A50" s="393"/>
      <c r="B50" s="438"/>
      <c r="C50" s="393"/>
      <c r="D50" s="403"/>
      <c r="E50" s="351" t="s">
        <v>346</v>
      </c>
      <c r="F50" s="404"/>
      <c r="G50" s="1679" t="s">
        <v>347</v>
      </c>
      <c r="H50" s="412"/>
      <c r="J50" s="391">
        <v>23</v>
      </c>
    </row>
    <row r="51" spans="1:10" ht="24" customHeight="1">
      <c r="A51" s="784"/>
      <c r="B51" s="438"/>
      <c r="C51" s="428"/>
      <c r="D51" s="376">
        <f>D45+1</f>
        <v>13</v>
      </c>
      <c r="E51" s="464" t="s">
        <v>348</v>
      </c>
      <c r="F51" s="426"/>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7" customFormat="1" ht="31.5" customHeight="1">
      <c r="A53" s="1605"/>
      <c r="B53" s="439"/>
      <c r="C53" s="2411"/>
      <c r="D53" s="241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14"/>
      <c r="F53" s="2414"/>
      <c r="G53" s="2414"/>
      <c r="H53" s="390"/>
      <c r="I53" s="390"/>
      <c r="J53" s="396">
        <v>30</v>
      </c>
    </row>
    <row r="54" spans="1:10" s="2017" customFormat="1" ht="42" customHeight="1">
      <c r="A54" s="393"/>
      <c r="B54" s="438"/>
      <c r="C54" s="2411"/>
      <c r="D54" s="241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14"/>
      <c r="F54" s="2414"/>
      <c r="G54" s="241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14" customWidth="1"/>
    <col min="2" max="2" width="8.7109375" style="2114" customWidth="1"/>
    <col min="3" max="3" width="18.140625" style="2114" customWidth="1"/>
    <col min="4" max="4" width="12.5703125" style="2114" customWidth="1"/>
  </cols>
  <sheetData>
    <row r="1" spans="1:5" ht="11.25" customHeight="1">
      <c r="A1" s="1990" t="s">
        <v>2283</v>
      </c>
      <c r="B1" s="1991" t="s">
        <v>2284</v>
      </c>
      <c r="C1" s="2745" t="s">
        <v>2285</v>
      </c>
      <c r="D1" s="2746"/>
      <c r="E1" s="766" t="s">
        <v>2286</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1717</v>
      </c>
      <c r="C4" s="689"/>
      <c r="D4" s="698"/>
      <c r="E4" s="766"/>
    </row>
    <row r="5" spans="1:5" ht="11.25" customHeight="1">
      <c r="A5" s="1996"/>
      <c r="B5" s="700" t="s">
        <v>1711</v>
      </c>
      <c r="C5" s="1997" t="s">
        <v>2050</v>
      </c>
      <c r="D5" s="1998" t="s">
        <v>2287</v>
      </c>
      <c r="E5" s="766"/>
    </row>
    <row r="6" spans="1:5" s="2114" customFormat="1" ht="11.25" customHeight="1">
      <c r="A6" s="1999"/>
      <c r="B6" s="700" t="s">
        <v>1721</v>
      </c>
      <c r="C6" s="689"/>
      <c r="D6" s="698"/>
      <c r="E6" s="766"/>
    </row>
    <row r="7" spans="1:5" ht="11.25" customHeight="1">
      <c r="A7" s="2000"/>
      <c r="B7" s="700" t="s">
        <v>1729</v>
      </c>
      <c r="C7" s="689"/>
      <c r="D7" s="698"/>
      <c r="E7" s="766"/>
    </row>
    <row r="8" spans="1:5" ht="11.25" customHeight="1">
      <c r="A8" s="691"/>
      <c r="B8" s="700" t="s">
        <v>1724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11"/>
  <sheetViews>
    <sheetView showGridLines="0" workbookViewId="0"/>
  </sheetViews>
  <sheetFormatPr defaultColWidth="9.140625" defaultRowHeight="11.25" customHeight="1"/>
  <cols>
    <col min="1" max="2" width="9.140625" style="2114"/>
    <col min="3" max="3" width="20.7109375" style="2114" customWidth="1"/>
    <col min="4" max="4" width="25.140625" style="2114" customWidth="1"/>
    <col min="5" max="9" width="9.140625" style="2114"/>
  </cols>
  <sheetData>
    <row r="1" spans="1:9" ht="11.25" customHeight="1">
      <c r="A1" s="8" t="s">
        <v>2288</v>
      </c>
      <c r="B1" s="8" t="s">
        <v>2289</v>
      </c>
      <c r="C1" s="8" t="s">
        <v>2290</v>
      </c>
      <c r="D1" s="8" t="s">
        <v>2291</v>
      </c>
      <c r="E1" s="8" t="s">
        <v>2292</v>
      </c>
      <c r="F1" s="8" t="s">
        <v>2293</v>
      </c>
      <c r="G1" s="8" t="s">
        <v>2294</v>
      </c>
      <c r="H1" s="8" t="s">
        <v>2295</v>
      </c>
      <c r="I1" s="8" t="s">
        <v>2296</v>
      </c>
    </row>
    <row r="2" spans="1:9" ht="11.25" customHeight="1">
      <c r="A2" s="2114" t="s">
        <v>2297</v>
      </c>
      <c r="B2" s="2114" t="s">
        <v>16</v>
      </c>
      <c r="C2" s="2114" t="s">
        <v>2298</v>
      </c>
      <c r="D2" s="2114" t="s">
        <v>2299</v>
      </c>
      <c r="E2" s="2114" t="s">
        <v>2300</v>
      </c>
      <c r="F2" s="2114" t="s">
        <v>2301</v>
      </c>
      <c r="G2" s="2114" t="s">
        <v>22</v>
      </c>
      <c r="H2" s="2114" t="s">
        <v>22</v>
      </c>
      <c r="I2" s="2114" t="s">
        <v>805</v>
      </c>
    </row>
    <row r="3" spans="1:9" ht="11.25" customHeight="1">
      <c r="A3" s="2114" t="s">
        <v>2297</v>
      </c>
      <c r="B3" s="2114" t="s">
        <v>16</v>
      </c>
      <c r="C3" s="2114" t="s">
        <v>2302</v>
      </c>
      <c r="D3" s="2114" t="s">
        <v>2303</v>
      </c>
      <c r="E3" s="2114" t="s">
        <v>2304</v>
      </c>
      <c r="F3" s="2114" t="s">
        <v>2305</v>
      </c>
      <c r="G3" s="2114" t="s">
        <v>22</v>
      </c>
      <c r="H3" s="2114" t="s">
        <v>22</v>
      </c>
      <c r="I3" s="2114" t="s">
        <v>805</v>
      </c>
    </row>
    <row r="4" spans="1:9" ht="11.25" customHeight="1">
      <c r="A4" s="2114" t="s">
        <v>2297</v>
      </c>
      <c r="B4" s="2114" t="s">
        <v>16</v>
      </c>
      <c r="C4" s="2114" t="s">
        <v>2306</v>
      </c>
      <c r="D4" s="2114" t="s">
        <v>2307</v>
      </c>
      <c r="E4" s="2114" t="s">
        <v>2308</v>
      </c>
      <c r="F4" s="2114" t="s">
        <v>2309</v>
      </c>
      <c r="G4" s="2114" t="s">
        <v>22</v>
      </c>
      <c r="H4" s="2114" t="s">
        <v>22</v>
      </c>
      <c r="I4" s="2114" t="s">
        <v>805</v>
      </c>
    </row>
    <row r="5" spans="1:9" ht="11.25" customHeight="1">
      <c r="A5" s="2114" t="s">
        <v>2297</v>
      </c>
      <c r="B5" s="2114" t="s">
        <v>16</v>
      </c>
      <c r="C5" s="2114" t="s">
        <v>2310</v>
      </c>
      <c r="D5" s="2114" t="s">
        <v>2311</v>
      </c>
      <c r="E5" s="2114" t="s">
        <v>2312</v>
      </c>
      <c r="F5" s="2114" t="s">
        <v>52</v>
      </c>
      <c r="G5" s="2114" t="s">
        <v>22</v>
      </c>
      <c r="H5" s="2114" t="s">
        <v>22</v>
      </c>
      <c r="I5" s="2114" t="s">
        <v>805</v>
      </c>
    </row>
    <row r="6" spans="1:9" ht="11.25" customHeight="1">
      <c r="A6" s="2114" t="s">
        <v>2297</v>
      </c>
      <c r="B6" s="2114" t="s">
        <v>16</v>
      </c>
      <c r="C6" s="2114" t="s">
        <v>2313</v>
      </c>
      <c r="D6" s="2114" t="s">
        <v>2314</v>
      </c>
      <c r="E6" s="2114" t="s">
        <v>2315</v>
      </c>
      <c r="F6" s="2114" t="s">
        <v>2316</v>
      </c>
      <c r="G6" s="2114" t="s">
        <v>22</v>
      </c>
      <c r="H6" s="2114" t="s">
        <v>22</v>
      </c>
      <c r="I6" s="2114" t="s">
        <v>805</v>
      </c>
    </row>
    <row r="7" spans="1:9" ht="11.25" customHeight="1">
      <c r="A7" s="2114" t="s">
        <v>2297</v>
      </c>
      <c r="B7" s="2114" t="s">
        <v>16</v>
      </c>
      <c r="C7" s="2114" t="s">
        <v>2317</v>
      </c>
      <c r="D7" s="2114" t="s">
        <v>2318</v>
      </c>
      <c r="E7" s="2114" t="s">
        <v>2319</v>
      </c>
      <c r="F7" s="2114" t="s">
        <v>2320</v>
      </c>
      <c r="G7" s="2114" t="s">
        <v>22</v>
      </c>
      <c r="H7" s="2114" t="s">
        <v>22</v>
      </c>
      <c r="I7" s="2114" t="s">
        <v>805</v>
      </c>
    </row>
    <row r="8" spans="1:9" ht="11.25" customHeight="1">
      <c r="A8" s="2114" t="s">
        <v>2297</v>
      </c>
      <c r="B8" s="2114" t="s">
        <v>16</v>
      </c>
      <c r="C8" s="2114" t="s">
        <v>2321</v>
      </c>
      <c r="D8" s="2114" t="s">
        <v>2322</v>
      </c>
      <c r="E8" s="2114" t="s">
        <v>2323</v>
      </c>
      <c r="F8" s="2114" t="s">
        <v>2324</v>
      </c>
      <c r="G8" s="2114" t="s">
        <v>22</v>
      </c>
      <c r="H8" s="2114" t="s">
        <v>22</v>
      </c>
      <c r="I8" s="2114" t="s">
        <v>805</v>
      </c>
    </row>
    <row r="9" spans="1:9" ht="11.25" customHeight="1">
      <c r="A9" s="2114" t="s">
        <v>2297</v>
      </c>
      <c r="B9" s="2114" t="s">
        <v>16</v>
      </c>
      <c r="C9" s="2114" t="s">
        <v>2325</v>
      </c>
      <c r="D9" s="2114" t="s">
        <v>2326</v>
      </c>
      <c r="E9" s="2114" t="s">
        <v>2327</v>
      </c>
      <c r="F9" s="2114" t="s">
        <v>2328</v>
      </c>
      <c r="G9" s="2114" t="s">
        <v>22</v>
      </c>
      <c r="H9" s="2114" t="s">
        <v>22</v>
      </c>
      <c r="I9" s="2114" t="s">
        <v>805</v>
      </c>
    </row>
    <row r="10" spans="1:9" ht="11.25" customHeight="1">
      <c r="A10" s="2114" t="s">
        <v>2297</v>
      </c>
      <c r="B10" s="2114" t="s">
        <v>16</v>
      </c>
      <c r="C10" s="2114" t="s">
        <v>2329</v>
      </c>
      <c r="D10" s="2114" t="s">
        <v>2330</v>
      </c>
      <c r="E10" s="2114" t="s">
        <v>2331</v>
      </c>
      <c r="F10" s="2114" t="s">
        <v>2301</v>
      </c>
      <c r="G10" s="2114" t="s">
        <v>22</v>
      </c>
      <c r="H10" s="2114" t="s">
        <v>22</v>
      </c>
      <c r="I10" s="2114" t="s">
        <v>805</v>
      </c>
    </row>
    <row r="11" spans="1:9" ht="11.25" customHeight="1">
      <c r="A11" s="2114" t="s">
        <v>2297</v>
      </c>
      <c r="B11" s="2114" t="s">
        <v>16</v>
      </c>
      <c r="C11" s="2114" t="s">
        <v>2332</v>
      </c>
      <c r="D11" s="2114" t="s">
        <v>2333</v>
      </c>
      <c r="E11" s="2114" t="s">
        <v>2334</v>
      </c>
      <c r="F11" s="2114" t="s">
        <v>2335</v>
      </c>
      <c r="G11" s="2114" t="s">
        <v>2336</v>
      </c>
      <c r="H11" s="2114" t="s">
        <v>22</v>
      </c>
      <c r="I11" s="2114" t="s">
        <v>805</v>
      </c>
    </row>
    <row r="12" spans="1:9" ht="11.25" customHeight="1">
      <c r="A12" s="2114" t="s">
        <v>2297</v>
      </c>
      <c r="B12" s="2114" t="s">
        <v>16</v>
      </c>
      <c r="C12" s="2114" t="s">
        <v>2337</v>
      </c>
      <c r="D12" s="2114" t="s">
        <v>2333</v>
      </c>
      <c r="E12" s="2114" t="s">
        <v>2334</v>
      </c>
      <c r="F12" s="2114" t="s">
        <v>2338</v>
      </c>
      <c r="G12" s="2114" t="s">
        <v>22</v>
      </c>
      <c r="H12" s="2114" t="s">
        <v>22</v>
      </c>
      <c r="I12" s="2114" t="s">
        <v>805</v>
      </c>
    </row>
    <row r="13" spans="1:9" ht="11.25" customHeight="1">
      <c r="A13" s="2114" t="s">
        <v>2297</v>
      </c>
      <c r="B13" s="2114" t="s">
        <v>16</v>
      </c>
      <c r="C13" s="2114" t="s">
        <v>2339</v>
      </c>
      <c r="D13" s="2114" t="s">
        <v>2340</v>
      </c>
      <c r="E13" s="2114" t="s">
        <v>2341</v>
      </c>
      <c r="F13" s="2114" t="s">
        <v>2316</v>
      </c>
      <c r="G13" s="2114" t="s">
        <v>22</v>
      </c>
      <c r="H13" s="2114" t="s">
        <v>22</v>
      </c>
      <c r="I13" s="2114" t="s">
        <v>805</v>
      </c>
    </row>
    <row r="14" spans="1:9" ht="11.25" customHeight="1">
      <c r="A14" s="2114" t="s">
        <v>2297</v>
      </c>
      <c r="B14" s="2114" t="s">
        <v>16</v>
      </c>
      <c r="C14" s="2114" t="s">
        <v>2342</v>
      </c>
      <c r="D14" s="2114" t="s">
        <v>2343</v>
      </c>
      <c r="E14" s="2114" t="s">
        <v>2344</v>
      </c>
      <c r="F14" s="2114" t="s">
        <v>2320</v>
      </c>
      <c r="G14" s="2114" t="s">
        <v>22</v>
      </c>
      <c r="H14" s="2114" t="s">
        <v>2345</v>
      </c>
      <c r="I14" s="2114" t="s">
        <v>805</v>
      </c>
    </row>
    <row r="15" spans="1:9" ht="11.25" customHeight="1">
      <c r="A15" s="2114" t="s">
        <v>2297</v>
      </c>
      <c r="B15" s="2114" t="s">
        <v>16</v>
      </c>
      <c r="C15" s="2114" t="s">
        <v>2346</v>
      </c>
      <c r="D15" s="2114" t="s">
        <v>2347</v>
      </c>
      <c r="E15" s="2114" t="s">
        <v>2348</v>
      </c>
      <c r="F15" s="2114" t="s">
        <v>2320</v>
      </c>
      <c r="G15" s="2114" t="s">
        <v>2349</v>
      </c>
      <c r="H15" s="2114" t="s">
        <v>22</v>
      </c>
      <c r="I15" s="2114" t="s">
        <v>805</v>
      </c>
    </row>
    <row r="16" spans="1:9" ht="11.25" customHeight="1">
      <c r="A16" s="2114" t="s">
        <v>2297</v>
      </c>
      <c r="B16" s="2114" t="s">
        <v>16</v>
      </c>
      <c r="C16" s="2114" t="s">
        <v>2350</v>
      </c>
      <c r="D16" s="2114" t="s">
        <v>2351</v>
      </c>
      <c r="E16" s="2114" t="s">
        <v>2352</v>
      </c>
      <c r="F16" s="2114" t="s">
        <v>52</v>
      </c>
      <c r="G16" s="2114" t="s">
        <v>22</v>
      </c>
      <c r="H16" s="2114" t="s">
        <v>22</v>
      </c>
      <c r="I16" s="2114" t="s">
        <v>805</v>
      </c>
    </row>
    <row r="17" spans="1:9" ht="11.25" customHeight="1">
      <c r="A17" s="2114" t="s">
        <v>2297</v>
      </c>
      <c r="B17" s="2114" t="s">
        <v>16</v>
      </c>
      <c r="C17" s="2114" t="s">
        <v>2353</v>
      </c>
      <c r="D17" s="2114" t="s">
        <v>2354</v>
      </c>
      <c r="E17" s="2114" t="s">
        <v>2355</v>
      </c>
      <c r="F17" s="2114" t="s">
        <v>2324</v>
      </c>
      <c r="G17" s="2114" t="s">
        <v>22</v>
      </c>
      <c r="H17" s="2114" t="s">
        <v>22</v>
      </c>
      <c r="I17" s="2114" t="s">
        <v>805</v>
      </c>
    </row>
    <row r="18" spans="1:9" ht="11.25" customHeight="1">
      <c r="A18" s="2114" t="s">
        <v>2297</v>
      </c>
      <c r="B18" s="2114" t="s">
        <v>16</v>
      </c>
      <c r="C18" s="2114" t="s">
        <v>2356</v>
      </c>
      <c r="D18" s="2114" t="s">
        <v>2357</v>
      </c>
      <c r="E18" s="2114" t="s">
        <v>2358</v>
      </c>
      <c r="F18" s="2114" t="s">
        <v>2324</v>
      </c>
      <c r="G18" s="2114" t="s">
        <v>2359</v>
      </c>
      <c r="H18" s="2114" t="s">
        <v>22</v>
      </c>
      <c r="I18" s="2114" t="s">
        <v>805</v>
      </c>
    </row>
    <row r="19" spans="1:9" ht="11.25" customHeight="1">
      <c r="A19" s="2114" t="s">
        <v>2297</v>
      </c>
      <c r="B19" s="2114" t="s">
        <v>16</v>
      </c>
      <c r="C19" s="2114" t="s">
        <v>2360</v>
      </c>
      <c r="D19" s="2114" t="s">
        <v>2361</v>
      </c>
      <c r="E19" s="2114" t="s">
        <v>2362</v>
      </c>
      <c r="F19" s="2114" t="s">
        <v>2309</v>
      </c>
      <c r="G19" s="2114" t="s">
        <v>22</v>
      </c>
      <c r="H19" s="2114" t="s">
        <v>22</v>
      </c>
      <c r="I19" s="2114" t="s">
        <v>805</v>
      </c>
    </row>
    <row r="20" spans="1:9" ht="11.25" customHeight="1">
      <c r="A20" s="2114" t="s">
        <v>2297</v>
      </c>
      <c r="B20" s="2114" t="s">
        <v>16</v>
      </c>
      <c r="C20" s="2114" t="s">
        <v>2363</v>
      </c>
      <c r="D20" s="2114" t="s">
        <v>2364</v>
      </c>
      <c r="E20" s="2114" t="s">
        <v>2365</v>
      </c>
      <c r="F20" s="2114" t="s">
        <v>2366</v>
      </c>
      <c r="G20" s="2114" t="s">
        <v>22</v>
      </c>
      <c r="H20" s="2114" t="s">
        <v>22</v>
      </c>
      <c r="I20" s="2114" t="s">
        <v>805</v>
      </c>
    </row>
    <row r="21" spans="1:9" ht="11.25" customHeight="1">
      <c r="A21" s="2114" t="s">
        <v>2297</v>
      </c>
      <c r="B21" s="2114" t="s">
        <v>16</v>
      </c>
      <c r="C21" s="2114" t="s">
        <v>2367</v>
      </c>
      <c r="D21" s="2114" t="s">
        <v>2368</v>
      </c>
      <c r="E21" s="2114" t="s">
        <v>2369</v>
      </c>
      <c r="F21" s="2114" t="s">
        <v>2370</v>
      </c>
      <c r="G21" s="2114" t="s">
        <v>22</v>
      </c>
      <c r="H21" s="2114" t="s">
        <v>22</v>
      </c>
      <c r="I21" s="2114" t="s">
        <v>805</v>
      </c>
    </row>
    <row r="22" spans="1:9" ht="11.25" customHeight="1">
      <c r="A22" s="2114" t="s">
        <v>2297</v>
      </c>
      <c r="B22" s="2114" t="s">
        <v>16</v>
      </c>
      <c r="C22" s="2114" t="s">
        <v>2371</v>
      </c>
      <c r="D22" s="2114" t="s">
        <v>2372</v>
      </c>
      <c r="E22" s="2114" t="s">
        <v>2373</v>
      </c>
      <c r="F22" s="2114" t="s">
        <v>52</v>
      </c>
      <c r="G22" s="2114" t="s">
        <v>22</v>
      </c>
      <c r="H22" s="2114" t="s">
        <v>22</v>
      </c>
      <c r="I22" s="2114" t="s">
        <v>805</v>
      </c>
    </row>
    <row r="23" spans="1:9" ht="11.25" customHeight="1">
      <c r="A23" s="2114" t="s">
        <v>2297</v>
      </c>
      <c r="B23" s="2114" t="s">
        <v>16</v>
      </c>
      <c r="C23" s="2114" t="s">
        <v>2374</v>
      </c>
      <c r="D23" s="2114" t="s">
        <v>2375</v>
      </c>
      <c r="E23" s="2114" t="s">
        <v>2376</v>
      </c>
      <c r="F23" s="2114" t="s">
        <v>2377</v>
      </c>
      <c r="G23" s="2114" t="s">
        <v>22</v>
      </c>
      <c r="H23" s="2114" t="s">
        <v>22</v>
      </c>
      <c r="I23" s="2114" t="s">
        <v>805</v>
      </c>
    </row>
    <row r="24" spans="1:9" ht="11.25" customHeight="1">
      <c r="A24" s="2114" t="s">
        <v>2297</v>
      </c>
      <c r="B24" s="2114" t="s">
        <v>16</v>
      </c>
      <c r="C24" s="2114" t="s">
        <v>2378</v>
      </c>
      <c r="D24" s="2114" t="s">
        <v>2379</v>
      </c>
      <c r="E24" s="2114" t="s">
        <v>2380</v>
      </c>
      <c r="F24" s="2114" t="s">
        <v>2377</v>
      </c>
      <c r="G24" s="2114" t="s">
        <v>22</v>
      </c>
      <c r="H24" s="2114" t="s">
        <v>22</v>
      </c>
      <c r="I24" s="2114" t="s">
        <v>805</v>
      </c>
    </row>
    <row r="25" spans="1:9" ht="11.25" customHeight="1">
      <c r="A25" s="2114" t="s">
        <v>2297</v>
      </c>
      <c r="B25" s="2114" t="s">
        <v>16</v>
      </c>
      <c r="C25" s="2114" t="s">
        <v>2381</v>
      </c>
      <c r="D25" s="2114" t="s">
        <v>2382</v>
      </c>
      <c r="E25" s="2114" t="s">
        <v>2383</v>
      </c>
      <c r="F25" s="2114" t="s">
        <v>2384</v>
      </c>
      <c r="G25" s="2114" t="s">
        <v>22</v>
      </c>
      <c r="H25" s="2114" t="s">
        <v>22</v>
      </c>
      <c r="I25" s="2114" t="s">
        <v>805</v>
      </c>
    </row>
    <row r="26" spans="1:9" ht="11.25" customHeight="1">
      <c r="A26" s="2114" t="s">
        <v>2297</v>
      </c>
      <c r="B26" s="2114" t="s">
        <v>16</v>
      </c>
      <c r="C26" s="2114" t="s">
        <v>2385</v>
      </c>
      <c r="D26" s="2114" t="s">
        <v>2386</v>
      </c>
      <c r="E26" s="2114" t="s">
        <v>2387</v>
      </c>
      <c r="F26" s="2114" t="s">
        <v>2388</v>
      </c>
      <c r="G26" s="2114" t="s">
        <v>22</v>
      </c>
      <c r="H26" s="2114" t="s">
        <v>22</v>
      </c>
      <c r="I26" s="2114" t="s">
        <v>805</v>
      </c>
    </row>
    <row r="27" spans="1:9" ht="11.25" customHeight="1">
      <c r="A27" s="2114" t="s">
        <v>2297</v>
      </c>
      <c r="B27" s="2114" t="s">
        <v>16</v>
      </c>
      <c r="C27" s="2114" t="s">
        <v>2389</v>
      </c>
      <c r="D27" s="2114" t="s">
        <v>2390</v>
      </c>
      <c r="E27" s="2114" t="s">
        <v>2391</v>
      </c>
      <c r="F27" s="2114" t="s">
        <v>2309</v>
      </c>
      <c r="G27" s="2114" t="s">
        <v>22</v>
      </c>
      <c r="H27" s="2114" t="s">
        <v>22</v>
      </c>
      <c r="I27" s="2114" t="s">
        <v>805</v>
      </c>
    </row>
    <row r="28" spans="1:9" ht="11.25" customHeight="1">
      <c r="A28" s="2114" t="s">
        <v>2297</v>
      </c>
      <c r="B28" s="2114" t="s">
        <v>16</v>
      </c>
      <c r="C28" s="2114" t="s">
        <v>2392</v>
      </c>
      <c r="D28" s="2114" t="s">
        <v>2393</v>
      </c>
      <c r="E28" s="2114" t="s">
        <v>2394</v>
      </c>
      <c r="F28" s="2114" t="s">
        <v>52</v>
      </c>
      <c r="G28" s="2114" t="s">
        <v>22</v>
      </c>
      <c r="H28" s="2114" t="s">
        <v>22</v>
      </c>
      <c r="I28" s="2114" t="s">
        <v>805</v>
      </c>
    </row>
    <row r="29" spans="1:9" ht="11.25" customHeight="1">
      <c r="A29" s="2114" t="s">
        <v>2297</v>
      </c>
      <c r="B29" s="2114" t="s">
        <v>16</v>
      </c>
      <c r="C29" s="2114" t="s">
        <v>2395</v>
      </c>
      <c r="D29" s="2114" t="s">
        <v>2396</v>
      </c>
      <c r="E29" s="2114" t="s">
        <v>2397</v>
      </c>
      <c r="F29" s="2114" t="s">
        <v>2309</v>
      </c>
      <c r="G29" s="2114" t="s">
        <v>22</v>
      </c>
      <c r="H29" s="2114" t="s">
        <v>22</v>
      </c>
      <c r="I29" s="2114" t="s">
        <v>805</v>
      </c>
    </row>
    <row r="30" spans="1:9" ht="11.25" customHeight="1">
      <c r="A30" s="2114" t="s">
        <v>2297</v>
      </c>
      <c r="B30" s="2114" t="s">
        <v>16</v>
      </c>
      <c r="C30" s="2114" t="s">
        <v>2398</v>
      </c>
      <c r="D30" s="2114" t="s">
        <v>2399</v>
      </c>
      <c r="E30" s="2114" t="s">
        <v>2400</v>
      </c>
      <c r="F30" s="2114" t="s">
        <v>2377</v>
      </c>
      <c r="G30" s="2114" t="s">
        <v>2401</v>
      </c>
      <c r="H30" s="2114" t="s">
        <v>22</v>
      </c>
      <c r="I30" s="2114" t="s">
        <v>805</v>
      </c>
    </row>
    <row r="31" spans="1:9" ht="11.25" customHeight="1">
      <c r="A31" s="2114" t="s">
        <v>2297</v>
      </c>
      <c r="B31" s="2114" t="s">
        <v>16</v>
      </c>
      <c r="C31" s="2114" t="s">
        <v>2402</v>
      </c>
      <c r="D31" s="2114" t="s">
        <v>2403</v>
      </c>
      <c r="E31" s="2114" t="s">
        <v>2404</v>
      </c>
      <c r="F31" s="2114" t="s">
        <v>2305</v>
      </c>
      <c r="G31" s="2114" t="s">
        <v>22</v>
      </c>
      <c r="H31" s="2114" t="s">
        <v>22</v>
      </c>
      <c r="I31" s="2114" t="s">
        <v>805</v>
      </c>
    </row>
    <row r="32" spans="1:9" ht="11.25" customHeight="1">
      <c r="A32" s="2114" t="s">
        <v>2297</v>
      </c>
      <c r="B32" s="2114" t="s">
        <v>16</v>
      </c>
      <c r="C32" s="2114" t="s">
        <v>2405</v>
      </c>
      <c r="D32" s="2114" t="s">
        <v>2406</v>
      </c>
      <c r="E32" s="2114" t="s">
        <v>2407</v>
      </c>
      <c r="F32" s="2114" t="s">
        <v>2370</v>
      </c>
      <c r="G32" s="2114" t="s">
        <v>22</v>
      </c>
      <c r="H32" s="2114" t="s">
        <v>22</v>
      </c>
      <c r="I32" s="2114" t="s">
        <v>805</v>
      </c>
    </row>
    <row r="33" spans="1:9" ht="11.25" customHeight="1">
      <c r="A33" s="2114" t="s">
        <v>2297</v>
      </c>
      <c r="B33" s="2114" t="s">
        <v>16</v>
      </c>
      <c r="C33" s="2114" t="s">
        <v>2408</v>
      </c>
      <c r="D33" s="2114" t="s">
        <v>2409</v>
      </c>
      <c r="E33" s="2114" t="s">
        <v>2410</v>
      </c>
      <c r="F33" s="2114" t="s">
        <v>2411</v>
      </c>
      <c r="G33" s="2114" t="s">
        <v>22</v>
      </c>
      <c r="H33" s="2114" t="s">
        <v>22</v>
      </c>
      <c r="I33" s="2114" t="s">
        <v>805</v>
      </c>
    </row>
    <row r="34" spans="1:9" ht="11.25" customHeight="1">
      <c r="A34" s="2114" t="s">
        <v>2297</v>
      </c>
      <c r="B34" s="2114" t="s">
        <v>16</v>
      </c>
      <c r="C34" s="2114" t="s">
        <v>2412</v>
      </c>
      <c r="D34" s="2114" t="s">
        <v>2413</v>
      </c>
      <c r="E34" s="2114" t="s">
        <v>2414</v>
      </c>
      <c r="F34" s="2114" t="s">
        <v>2415</v>
      </c>
      <c r="G34" s="2114" t="s">
        <v>22</v>
      </c>
      <c r="H34" s="2114" t="s">
        <v>22</v>
      </c>
      <c r="I34" s="2114" t="s">
        <v>805</v>
      </c>
    </row>
    <row r="35" spans="1:9" ht="11.25" customHeight="1">
      <c r="A35" s="2114" t="s">
        <v>2297</v>
      </c>
      <c r="B35" s="2114" t="s">
        <v>16</v>
      </c>
      <c r="C35" s="2114" t="s">
        <v>2416</v>
      </c>
      <c r="D35" s="2114" t="s">
        <v>2417</v>
      </c>
      <c r="E35" s="2114" t="s">
        <v>2418</v>
      </c>
      <c r="F35" s="2114" t="s">
        <v>2324</v>
      </c>
      <c r="G35" s="2114" t="s">
        <v>22</v>
      </c>
      <c r="H35" s="2114" t="s">
        <v>22</v>
      </c>
      <c r="I35" s="2114" t="s">
        <v>805</v>
      </c>
    </row>
    <row r="36" spans="1:9" ht="11.25" customHeight="1">
      <c r="A36" s="2114" t="s">
        <v>2297</v>
      </c>
      <c r="B36" s="2114" t="s">
        <v>16</v>
      </c>
      <c r="C36" s="2114" t="s">
        <v>2419</v>
      </c>
      <c r="D36" s="2114" t="s">
        <v>2420</v>
      </c>
      <c r="E36" s="2114" t="s">
        <v>2421</v>
      </c>
      <c r="F36" s="2114" t="s">
        <v>2377</v>
      </c>
      <c r="G36" s="2114" t="s">
        <v>22</v>
      </c>
      <c r="H36" s="2114" t="s">
        <v>22</v>
      </c>
      <c r="I36" s="2114" t="s">
        <v>805</v>
      </c>
    </row>
    <row r="37" spans="1:9" ht="11.25" customHeight="1">
      <c r="A37" s="2114" t="s">
        <v>2297</v>
      </c>
      <c r="B37" s="2114" t="s">
        <v>16</v>
      </c>
      <c r="C37" s="2114" t="s">
        <v>2422</v>
      </c>
      <c r="D37" s="2114" t="s">
        <v>2423</v>
      </c>
      <c r="E37" s="2114" t="s">
        <v>2424</v>
      </c>
      <c r="F37" s="2114" t="s">
        <v>2366</v>
      </c>
      <c r="G37" s="2114" t="s">
        <v>22</v>
      </c>
      <c r="H37" s="2114" t="s">
        <v>22</v>
      </c>
      <c r="I37" s="2114" t="s">
        <v>805</v>
      </c>
    </row>
    <row r="38" spans="1:9" ht="11.25" customHeight="1">
      <c r="A38" s="2114" t="s">
        <v>2297</v>
      </c>
      <c r="B38" s="2114" t="s">
        <v>16</v>
      </c>
      <c r="C38" s="2114" t="s">
        <v>2425</v>
      </c>
      <c r="D38" s="2114" t="s">
        <v>2426</v>
      </c>
      <c r="E38" s="2114" t="s">
        <v>2427</v>
      </c>
      <c r="F38" s="2114" t="s">
        <v>2309</v>
      </c>
      <c r="G38" s="2114" t="s">
        <v>2428</v>
      </c>
      <c r="H38" s="2114" t="s">
        <v>22</v>
      </c>
      <c r="I38" s="2114" t="s">
        <v>805</v>
      </c>
    </row>
    <row r="39" spans="1:9" ht="11.25" customHeight="1">
      <c r="A39" s="2114" t="s">
        <v>2297</v>
      </c>
      <c r="B39" s="2114" t="s">
        <v>16</v>
      </c>
      <c r="C39" s="2114" t="s">
        <v>2429</v>
      </c>
      <c r="D39" s="2114" t="s">
        <v>2430</v>
      </c>
      <c r="E39" s="2114" t="s">
        <v>2431</v>
      </c>
      <c r="F39" s="2114" t="s">
        <v>2316</v>
      </c>
      <c r="G39" s="2114" t="s">
        <v>22</v>
      </c>
      <c r="H39" s="2114" t="s">
        <v>22</v>
      </c>
      <c r="I39" s="2114" t="s">
        <v>805</v>
      </c>
    </row>
    <row r="40" spans="1:9" ht="11.25" customHeight="1">
      <c r="A40" s="2114" t="s">
        <v>2297</v>
      </c>
      <c r="B40" s="2114" t="s">
        <v>16</v>
      </c>
      <c r="C40" s="2114" t="s">
        <v>2432</v>
      </c>
      <c r="D40" s="2114" t="s">
        <v>2433</v>
      </c>
      <c r="E40" s="2114" t="s">
        <v>2434</v>
      </c>
      <c r="F40" s="2114" t="s">
        <v>2435</v>
      </c>
      <c r="G40" s="2114" t="s">
        <v>2436</v>
      </c>
      <c r="H40" s="2114" t="s">
        <v>22</v>
      </c>
      <c r="I40" s="2114" t="s">
        <v>805</v>
      </c>
    </row>
    <row r="41" spans="1:9" ht="11.25" customHeight="1">
      <c r="A41" s="2114" t="s">
        <v>2297</v>
      </c>
      <c r="B41" s="2114" t="s">
        <v>16</v>
      </c>
      <c r="C41" s="2114" t="s">
        <v>2437</v>
      </c>
      <c r="D41" s="2114" t="s">
        <v>2438</v>
      </c>
      <c r="E41" s="2114" t="s">
        <v>2439</v>
      </c>
      <c r="F41" s="2114" t="s">
        <v>52</v>
      </c>
      <c r="G41" s="2114" t="s">
        <v>22</v>
      </c>
      <c r="H41" s="2114" t="s">
        <v>22</v>
      </c>
      <c r="I41" s="2114" t="s">
        <v>805</v>
      </c>
    </row>
    <row r="42" spans="1:9" ht="11.25" customHeight="1">
      <c r="A42" s="2114" t="s">
        <v>2297</v>
      </c>
      <c r="B42" s="2114" t="s">
        <v>16</v>
      </c>
      <c r="C42" s="2114" t="s">
        <v>2440</v>
      </c>
      <c r="D42" s="2114" t="s">
        <v>2441</v>
      </c>
      <c r="E42" s="2114" t="s">
        <v>2442</v>
      </c>
      <c r="F42" s="2114" t="s">
        <v>2316</v>
      </c>
      <c r="G42" s="2114" t="s">
        <v>22</v>
      </c>
      <c r="H42" s="2114" t="s">
        <v>22</v>
      </c>
      <c r="I42" s="2114" t="s">
        <v>805</v>
      </c>
    </row>
    <row r="43" spans="1:9" ht="11.25" customHeight="1">
      <c r="A43" s="2114" t="s">
        <v>2297</v>
      </c>
      <c r="B43" s="2114" t="s">
        <v>16</v>
      </c>
      <c r="C43" s="2114" t="s">
        <v>2443</v>
      </c>
      <c r="D43" s="2114" t="s">
        <v>2444</v>
      </c>
      <c r="E43" s="2114" t="s">
        <v>2445</v>
      </c>
      <c r="F43" s="2114" t="s">
        <v>2446</v>
      </c>
      <c r="G43" s="2114" t="s">
        <v>22</v>
      </c>
      <c r="H43" s="2114" t="s">
        <v>22</v>
      </c>
      <c r="I43" s="2114" t="s">
        <v>805</v>
      </c>
    </row>
    <row r="44" spans="1:9" ht="11.25" customHeight="1">
      <c r="A44" s="2114" t="s">
        <v>2297</v>
      </c>
      <c r="B44" s="2114" t="s">
        <v>16</v>
      </c>
      <c r="C44" s="2114" t="s">
        <v>2447</v>
      </c>
      <c r="D44" s="2114" t="s">
        <v>2448</v>
      </c>
      <c r="E44" s="2114" t="s">
        <v>2449</v>
      </c>
      <c r="F44" s="2114" t="s">
        <v>2309</v>
      </c>
      <c r="G44" s="2114" t="s">
        <v>22</v>
      </c>
      <c r="H44" s="2114" t="s">
        <v>22</v>
      </c>
      <c r="I44" s="2114" t="s">
        <v>805</v>
      </c>
    </row>
    <row r="45" spans="1:9" ht="11.25" customHeight="1">
      <c r="A45" s="2114" t="s">
        <v>2297</v>
      </c>
      <c r="B45" s="2114" t="s">
        <v>16</v>
      </c>
      <c r="C45" s="2114" t="s">
        <v>2450</v>
      </c>
      <c r="D45" s="2114" t="s">
        <v>2451</v>
      </c>
      <c r="E45" s="2114" t="s">
        <v>2452</v>
      </c>
      <c r="F45" s="2114" t="s">
        <v>2324</v>
      </c>
      <c r="G45" s="2114" t="s">
        <v>22</v>
      </c>
      <c r="H45" s="2114" t="s">
        <v>22</v>
      </c>
      <c r="I45" s="2114" t="s">
        <v>805</v>
      </c>
    </row>
    <row r="46" spans="1:9" ht="11.25" customHeight="1">
      <c r="A46" s="2114" t="s">
        <v>2297</v>
      </c>
      <c r="B46" s="2114" t="s">
        <v>16</v>
      </c>
      <c r="C46" s="2114" t="s">
        <v>2453</v>
      </c>
      <c r="D46" s="2114" t="s">
        <v>2454</v>
      </c>
      <c r="E46" s="2114" t="s">
        <v>2334</v>
      </c>
      <c r="F46" s="2114" t="s">
        <v>2455</v>
      </c>
      <c r="G46" s="2114" t="s">
        <v>2456</v>
      </c>
      <c r="H46" s="2114" t="s">
        <v>22</v>
      </c>
      <c r="I46" s="2114" t="s">
        <v>805</v>
      </c>
    </row>
    <row r="47" spans="1:9" ht="11.25" customHeight="1">
      <c r="A47" s="2114" t="s">
        <v>2297</v>
      </c>
      <c r="B47" s="2114" t="s">
        <v>16</v>
      </c>
      <c r="C47" s="2114" t="s">
        <v>2457</v>
      </c>
      <c r="D47" s="2114" t="s">
        <v>2458</v>
      </c>
      <c r="E47" s="2114" t="s">
        <v>2459</v>
      </c>
      <c r="F47" s="2114" t="s">
        <v>2316</v>
      </c>
      <c r="G47" s="2114" t="s">
        <v>22</v>
      </c>
      <c r="H47" s="2114" t="s">
        <v>22</v>
      </c>
      <c r="I47" s="2114" t="s">
        <v>805</v>
      </c>
    </row>
    <row r="48" spans="1:9" ht="11.25" customHeight="1">
      <c r="A48" s="2114" t="s">
        <v>2297</v>
      </c>
      <c r="B48" s="2114" t="s">
        <v>16</v>
      </c>
      <c r="C48" s="2114" t="s">
        <v>2460</v>
      </c>
      <c r="D48" s="2114" t="s">
        <v>2461</v>
      </c>
      <c r="E48" s="2114" t="s">
        <v>2462</v>
      </c>
      <c r="F48" s="2114" t="s">
        <v>2463</v>
      </c>
      <c r="G48" s="2114" t="s">
        <v>22</v>
      </c>
      <c r="H48" s="2114" t="s">
        <v>22</v>
      </c>
      <c r="I48" s="2114" t="s">
        <v>805</v>
      </c>
    </row>
    <row r="49" spans="1:9" ht="11.25" customHeight="1">
      <c r="A49" s="2114" t="s">
        <v>2297</v>
      </c>
      <c r="B49" s="2114" t="s">
        <v>16</v>
      </c>
      <c r="C49" s="2114" t="s">
        <v>2464</v>
      </c>
      <c r="D49" s="2114" t="s">
        <v>2465</v>
      </c>
      <c r="E49" s="2114" t="s">
        <v>2466</v>
      </c>
      <c r="F49" s="2114" t="s">
        <v>2435</v>
      </c>
      <c r="G49" s="2114" t="s">
        <v>22</v>
      </c>
      <c r="H49" s="2114" t="s">
        <v>2436</v>
      </c>
      <c r="I49" s="2114" t="s">
        <v>805</v>
      </c>
    </row>
    <row r="50" spans="1:9" ht="11.25" customHeight="1">
      <c r="A50" s="2114" t="s">
        <v>2297</v>
      </c>
      <c r="B50" s="2114" t="s">
        <v>16</v>
      </c>
      <c r="C50" s="2114" t="s">
        <v>2467</v>
      </c>
      <c r="D50" s="2114" t="s">
        <v>2468</v>
      </c>
      <c r="E50" s="2114" t="s">
        <v>2469</v>
      </c>
      <c r="F50" s="2114" t="s">
        <v>2470</v>
      </c>
      <c r="G50" s="2114" t="s">
        <v>22</v>
      </c>
      <c r="H50" s="2114" t="s">
        <v>22</v>
      </c>
      <c r="I50" s="2114" t="s">
        <v>805</v>
      </c>
    </row>
    <row r="51" spans="1:9" ht="11.25" customHeight="1">
      <c r="A51" s="2114" t="s">
        <v>2297</v>
      </c>
      <c r="B51" s="2114" t="s">
        <v>16</v>
      </c>
      <c r="C51" s="2114" t="s">
        <v>2471</v>
      </c>
      <c r="D51" s="2114" t="s">
        <v>2472</v>
      </c>
      <c r="E51" s="2114" t="s">
        <v>2473</v>
      </c>
      <c r="F51" s="2114" t="s">
        <v>2470</v>
      </c>
      <c r="G51" s="2114" t="s">
        <v>22</v>
      </c>
      <c r="H51" s="2114" t="s">
        <v>22</v>
      </c>
      <c r="I51" s="2114" t="s">
        <v>805</v>
      </c>
    </row>
    <row r="52" spans="1:9" ht="11.25" customHeight="1">
      <c r="A52" s="2114" t="s">
        <v>2297</v>
      </c>
      <c r="B52" s="2114" t="s">
        <v>16</v>
      </c>
      <c r="C52" s="2114" t="s">
        <v>2474</v>
      </c>
      <c r="D52" s="2114" t="s">
        <v>2475</v>
      </c>
      <c r="E52" s="2114" t="s">
        <v>2476</v>
      </c>
      <c r="F52" s="2114" t="s">
        <v>2320</v>
      </c>
      <c r="G52" s="2114" t="s">
        <v>22</v>
      </c>
      <c r="H52" s="2114" t="s">
        <v>22</v>
      </c>
      <c r="I52" s="2114" t="s">
        <v>805</v>
      </c>
    </row>
    <row r="53" spans="1:9" ht="11.25" customHeight="1">
      <c r="A53" s="2114" t="s">
        <v>2297</v>
      </c>
      <c r="B53" s="2114" t="s">
        <v>16</v>
      </c>
      <c r="C53" s="2114" t="s">
        <v>2477</v>
      </c>
      <c r="D53" s="2114" t="s">
        <v>2478</v>
      </c>
      <c r="E53" s="2114" t="s">
        <v>2479</v>
      </c>
      <c r="F53" s="2114" t="s">
        <v>2470</v>
      </c>
      <c r="G53" s="2114" t="s">
        <v>22</v>
      </c>
      <c r="H53" s="2114" t="s">
        <v>22</v>
      </c>
      <c r="I53" s="2114" t="s">
        <v>805</v>
      </c>
    </row>
    <row r="54" spans="1:9" ht="11.25" customHeight="1">
      <c r="A54" s="2114" t="s">
        <v>2297</v>
      </c>
      <c r="B54" s="2114" t="s">
        <v>16</v>
      </c>
      <c r="C54" s="2114" t="s">
        <v>2480</v>
      </c>
      <c r="D54" s="2114" t="s">
        <v>2481</v>
      </c>
      <c r="E54" s="2114" t="s">
        <v>2482</v>
      </c>
      <c r="F54" s="2114" t="s">
        <v>2370</v>
      </c>
      <c r="G54" s="2114" t="s">
        <v>22</v>
      </c>
      <c r="H54" s="2114" t="s">
        <v>22</v>
      </c>
      <c r="I54" s="2114" t="s">
        <v>805</v>
      </c>
    </row>
    <row r="55" spans="1:9" ht="11.25" customHeight="1">
      <c r="A55" s="2114" t="s">
        <v>2297</v>
      </c>
      <c r="B55" s="2114" t="s">
        <v>16</v>
      </c>
      <c r="C55" s="2114" t="s">
        <v>2483</v>
      </c>
      <c r="D55" s="2114" t="s">
        <v>2484</v>
      </c>
      <c r="E55" s="2114" t="s">
        <v>2485</v>
      </c>
      <c r="F55" s="2114" t="s">
        <v>2309</v>
      </c>
      <c r="G55" s="2114" t="s">
        <v>22</v>
      </c>
      <c r="H55" s="2114" t="s">
        <v>22</v>
      </c>
      <c r="I55" s="2114" t="s">
        <v>805</v>
      </c>
    </row>
    <row r="56" spans="1:9" ht="11.25" customHeight="1">
      <c r="A56" s="2114" t="s">
        <v>2297</v>
      </c>
      <c r="B56" s="2114" t="s">
        <v>16</v>
      </c>
      <c r="C56" s="2114" t="s">
        <v>2486</v>
      </c>
      <c r="D56" s="2114" t="s">
        <v>2487</v>
      </c>
      <c r="E56" s="2114" t="s">
        <v>2488</v>
      </c>
      <c r="F56" s="2114" t="s">
        <v>2489</v>
      </c>
      <c r="G56" s="2114" t="s">
        <v>22</v>
      </c>
      <c r="H56" s="2114" t="s">
        <v>22</v>
      </c>
      <c r="I56" s="2114" t="s">
        <v>805</v>
      </c>
    </row>
    <row r="57" spans="1:9" ht="11.25" customHeight="1">
      <c r="A57" s="2114" t="s">
        <v>2297</v>
      </c>
      <c r="B57" s="2114" t="s">
        <v>16</v>
      </c>
      <c r="C57" s="2114" t="s">
        <v>2490</v>
      </c>
      <c r="D57" s="2114" t="s">
        <v>2491</v>
      </c>
      <c r="E57" s="2114" t="s">
        <v>2492</v>
      </c>
      <c r="F57" s="2114" t="s">
        <v>2493</v>
      </c>
      <c r="G57" s="2114" t="s">
        <v>22</v>
      </c>
      <c r="H57" s="2114" t="s">
        <v>22</v>
      </c>
      <c r="I57" s="2114" t="s">
        <v>805</v>
      </c>
    </row>
    <row r="58" spans="1:9" ht="11.25" customHeight="1">
      <c r="A58" s="2114" t="s">
        <v>2297</v>
      </c>
      <c r="B58" s="2114" t="s">
        <v>16</v>
      </c>
      <c r="C58" s="2114" t="s">
        <v>2494</v>
      </c>
      <c r="D58" s="2114" t="s">
        <v>2495</v>
      </c>
      <c r="E58" s="2114" t="s">
        <v>2496</v>
      </c>
      <c r="F58" s="2114" t="s">
        <v>2388</v>
      </c>
      <c r="G58" s="2114" t="s">
        <v>22</v>
      </c>
      <c r="H58" s="2114" t="s">
        <v>22</v>
      </c>
      <c r="I58" s="2114" t="s">
        <v>805</v>
      </c>
    </row>
    <row r="59" spans="1:9" ht="11.25" customHeight="1">
      <c r="A59" s="2114" t="s">
        <v>2297</v>
      </c>
      <c r="B59" s="2114" t="s">
        <v>16</v>
      </c>
      <c r="C59" s="2114" t="s">
        <v>2497</v>
      </c>
      <c r="D59" s="2114" t="s">
        <v>2498</v>
      </c>
      <c r="E59" s="2114" t="s">
        <v>2499</v>
      </c>
      <c r="F59" s="2114" t="s">
        <v>2500</v>
      </c>
      <c r="G59" s="2114" t="s">
        <v>22</v>
      </c>
      <c r="H59" s="2114" t="s">
        <v>22</v>
      </c>
      <c r="I59" s="2114" t="s">
        <v>805</v>
      </c>
    </row>
    <row r="60" spans="1:9" ht="11.25" customHeight="1">
      <c r="A60" s="2114" t="s">
        <v>2297</v>
      </c>
      <c r="B60" s="2114" t="s">
        <v>16</v>
      </c>
      <c r="C60" s="2114" t="s">
        <v>22</v>
      </c>
      <c r="D60" s="2114" t="s">
        <v>2501</v>
      </c>
      <c r="E60" s="2114" t="s">
        <v>2502</v>
      </c>
      <c r="F60" s="2114" t="s">
        <v>2388</v>
      </c>
      <c r="G60" s="2114" t="s">
        <v>22</v>
      </c>
      <c r="H60" s="2114" t="s">
        <v>22</v>
      </c>
      <c r="I60" s="2114" t="s">
        <v>805</v>
      </c>
    </row>
    <row r="61" spans="1:9" ht="11.25" customHeight="1">
      <c r="A61" s="2114" t="s">
        <v>2297</v>
      </c>
      <c r="B61" s="2114" t="s">
        <v>16</v>
      </c>
      <c r="C61" s="2114" t="s">
        <v>2503</v>
      </c>
      <c r="D61" s="2114" t="s">
        <v>2504</v>
      </c>
      <c r="E61" s="2114" t="s">
        <v>2505</v>
      </c>
      <c r="F61" s="2114" t="s">
        <v>2506</v>
      </c>
      <c r="G61" s="2114" t="s">
        <v>22</v>
      </c>
      <c r="H61" s="2114" t="s">
        <v>22</v>
      </c>
      <c r="I61" s="2114" t="s">
        <v>805</v>
      </c>
    </row>
    <row r="62" spans="1:9" ht="11.25" customHeight="1">
      <c r="A62" s="2114" t="s">
        <v>2297</v>
      </c>
      <c r="B62" s="2114" t="s">
        <v>16</v>
      </c>
      <c r="C62" s="2114" t="s">
        <v>2507</v>
      </c>
      <c r="D62" s="2114" t="s">
        <v>2508</v>
      </c>
      <c r="E62" s="2114" t="s">
        <v>2509</v>
      </c>
      <c r="F62" s="2114" t="s">
        <v>2510</v>
      </c>
      <c r="G62" s="2114" t="s">
        <v>22</v>
      </c>
      <c r="H62" s="2114" t="s">
        <v>22</v>
      </c>
      <c r="I62" s="2114" t="s">
        <v>805</v>
      </c>
    </row>
    <row r="63" spans="1:9" ht="11.25" customHeight="1">
      <c r="A63" s="2114" t="s">
        <v>2297</v>
      </c>
      <c r="B63" s="2114" t="s">
        <v>16</v>
      </c>
      <c r="C63" s="2114" t="s">
        <v>2511</v>
      </c>
      <c r="D63" s="2114" t="s">
        <v>2512</v>
      </c>
      <c r="E63" s="2114" t="s">
        <v>2513</v>
      </c>
      <c r="F63" s="2114" t="s">
        <v>2377</v>
      </c>
      <c r="G63" s="2114" t="s">
        <v>22</v>
      </c>
      <c r="H63" s="2114" t="s">
        <v>22</v>
      </c>
      <c r="I63" s="2114" t="s">
        <v>805</v>
      </c>
    </row>
    <row r="64" spans="1:9" ht="11.25" customHeight="1">
      <c r="A64" s="2114" t="s">
        <v>2297</v>
      </c>
      <c r="B64" s="2114" t="s">
        <v>16</v>
      </c>
      <c r="C64" s="2114" t="s">
        <v>2514</v>
      </c>
      <c r="D64" s="2114" t="s">
        <v>2515</v>
      </c>
      <c r="E64" s="2114" t="s">
        <v>2516</v>
      </c>
      <c r="F64" s="2114" t="s">
        <v>2377</v>
      </c>
      <c r="G64" s="2114" t="s">
        <v>22</v>
      </c>
      <c r="H64" s="2114" t="s">
        <v>22</v>
      </c>
      <c r="I64" s="2114" t="s">
        <v>805</v>
      </c>
    </row>
    <row r="65" spans="1:9" ht="11.25" customHeight="1">
      <c r="A65" s="2114" t="s">
        <v>2297</v>
      </c>
      <c r="B65" s="2114" t="s">
        <v>16</v>
      </c>
      <c r="C65" s="2114" t="s">
        <v>2517</v>
      </c>
      <c r="D65" s="2114" t="s">
        <v>2518</v>
      </c>
      <c r="E65" s="2114" t="s">
        <v>2519</v>
      </c>
      <c r="F65" s="2114" t="s">
        <v>2324</v>
      </c>
      <c r="G65" s="2114" t="s">
        <v>22</v>
      </c>
      <c r="H65" s="2114" t="s">
        <v>22</v>
      </c>
      <c r="I65" s="2114" t="s">
        <v>805</v>
      </c>
    </row>
    <row r="66" spans="1:9" ht="11.25" customHeight="1">
      <c r="A66" s="2114" t="s">
        <v>2297</v>
      </c>
      <c r="B66" s="2114" t="s">
        <v>16</v>
      </c>
      <c r="C66" s="2114" t="s">
        <v>2520</v>
      </c>
      <c r="D66" s="2114" t="s">
        <v>2521</v>
      </c>
      <c r="E66" s="2114" t="s">
        <v>2522</v>
      </c>
      <c r="F66" s="2114" t="s">
        <v>2523</v>
      </c>
      <c r="G66" s="2114" t="s">
        <v>22</v>
      </c>
      <c r="H66" s="2114" t="s">
        <v>22</v>
      </c>
      <c r="I66" s="2114" t="s">
        <v>805</v>
      </c>
    </row>
    <row r="67" spans="1:9" ht="11.25" customHeight="1">
      <c r="A67" s="2114" t="s">
        <v>2297</v>
      </c>
      <c r="B67" s="2114" t="s">
        <v>16</v>
      </c>
      <c r="C67" s="2114" t="s">
        <v>2524</v>
      </c>
      <c r="D67" s="2114" t="s">
        <v>2525</v>
      </c>
      <c r="E67" s="2114" t="s">
        <v>2526</v>
      </c>
      <c r="F67" s="2114" t="s">
        <v>2377</v>
      </c>
      <c r="G67" s="2114" t="s">
        <v>22</v>
      </c>
      <c r="H67" s="2114" t="s">
        <v>22</v>
      </c>
      <c r="I67" s="2114" t="s">
        <v>805</v>
      </c>
    </row>
    <row r="68" spans="1:9" ht="11.25" customHeight="1">
      <c r="A68" s="2114" t="s">
        <v>2297</v>
      </c>
      <c r="B68" s="2114" t="s">
        <v>16</v>
      </c>
      <c r="C68" s="2114" t="s">
        <v>2527</v>
      </c>
      <c r="D68" s="2114" t="s">
        <v>2528</v>
      </c>
      <c r="E68" s="2114" t="s">
        <v>2529</v>
      </c>
      <c r="F68" s="2114" t="s">
        <v>2523</v>
      </c>
      <c r="G68" s="2114" t="s">
        <v>22</v>
      </c>
      <c r="H68" s="2114" t="s">
        <v>22</v>
      </c>
      <c r="I68" s="2114" t="s">
        <v>805</v>
      </c>
    </row>
    <row r="69" spans="1:9" ht="11.25" customHeight="1">
      <c r="A69" s="2114" t="s">
        <v>2297</v>
      </c>
      <c r="B69" s="2114" t="s">
        <v>16</v>
      </c>
      <c r="C69" s="2114" t="s">
        <v>2530</v>
      </c>
      <c r="D69" s="2114" t="s">
        <v>2531</v>
      </c>
      <c r="E69" s="2114" t="s">
        <v>2532</v>
      </c>
      <c r="F69" s="2114" t="s">
        <v>2377</v>
      </c>
      <c r="G69" s="2114" t="s">
        <v>22</v>
      </c>
      <c r="H69" s="2114" t="s">
        <v>22</v>
      </c>
      <c r="I69" s="2114" t="s">
        <v>805</v>
      </c>
    </row>
    <row r="70" spans="1:9" ht="11.25" customHeight="1">
      <c r="A70" s="2114" t="s">
        <v>2297</v>
      </c>
      <c r="B70" s="2114" t="s">
        <v>16</v>
      </c>
      <c r="C70" s="2114" t="s">
        <v>2533</v>
      </c>
      <c r="D70" s="2114" t="s">
        <v>2534</v>
      </c>
      <c r="E70" s="2114" t="s">
        <v>2535</v>
      </c>
      <c r="F70" s="2114" t="s">
        <v>2463</v>
      </c>
      <c r="G70" s="2114" t="s">
        <v>22</v>
      </c>
      <c r="H70" s="2114" t="s">
        <v>22</v>
      </c>
      <c r="I70" s="2114" t="s">
        <v>805</v>
      </c>
    </row>
    <row r="71" spans="1:9" ht="11.25" customHeight="1">
      <c r="A71" s="2114" t="s">
        <v>2297</v>
      </c>
      <c r="B71" s="2114" t="s">
        <v>16</v>
      </c>
      <c r="C71" s="2114" t="s">
        <v>2536</v>
      </c>
      <c r="D71" s="2114" t="s">
        <v>2537</v>
      </c>
      <c r="E71" s="2114" t="s">
        <v>2538</v>
      </c>
      <c r="F71" s="2114" t="s">
        <v>2377</v>
      </c>
      <c r="G71" s="2114" t="s">
        <v>22</v>
      </c>
      <c r="H71" s="2114" t="s">
        <v>22</v>
      </c>
      <c r="I71" s="2114" t="s">
        <v>805</v>
      </c>
    </row>
    <row r="72" spans="1:9" ht="11.25" customHeight="1">
      <c r="A72" s="2114" t="s">
        <v>2297</v>
      </c>
      <c r="B72" s="2114" t="s">
        <v>16</v>
      </c>
      <c r="C72" s="2114" t="s">
        <v>2539</v>
      </c>
      <c r="D72" s="2114" t="s">
        <v>2540</v>
      </c>
      <c r="E72" s="2114" t="s">
        <v>2541</v>
      </c>
      <c r="F72" s="2114" t="s">
        <v>2366</v>
      </c>
      <c r="G72" s="2114" t="s">
        <v>22</v>
      </c>
      <c r="H72" s="2114" t="s">
        <v>22</v>
      </c>
      <c r="I72" s="2114" t="s">
        <v>805</v>
      </c>
    </row>
    <row r="73" spans="1:9" ht="11.25" customHeight="1">
      <c r="A73" s="2114" t="s">
        <v>2297</v>
      </c>
      <c r="B73" s="2114" t="s">
        <v>16</v>
      </c>
      <c r="C73" s="2114" t="s">
        <v>2542</v>
      </c>
      <c r="D73" s="2114" t="s">
        <v>2543</v>
      </c>
      <c r="E73" s="2114" t="s">
        <v>2544</v>
      </c>
      <c r="F73" s="2114" t="s">
        <v>2324</v>
      </c>
      <c r="G73" s="2114" t="s">
        <v>22</v>
      </c>
      <c r="H73" s="2114" t="s">
        <v>22</v>
      </c>
      <c r="I73" s="2114" t="s">
        <v>805</v>
      </c>
    </row>
    <row r="74" spans="1:9" ht="11.25" customHeight="1">
      <c r="A74" s="2114" t="s">
        <v>2297</v>
      </c>
      <c r="B74" s="2114" t="s">
        <v>16</v>
      </c>
      <c r="C74" s="2114" t="s">
        <v>2545</v>
      </c>
      <c r="D74" s="2114" t="s">
        <v>2546</v>
      </c>
      <c r="E74" s="2114" t="s">
        <v>2547</v>
      </c>
      <c r="F74" s="2114" t="s">
        <v>2463</v>
      </c>
      <c r="G74" s="2114" t="s">
        <v>22</v>
      </c>
      <c r="H74" s="2114" t="s">
        <v>22</v>
      </c>
      <c r="I74" s="2114" t="s">
        <v>805</v>
      </c>
    </row>
    <row r="75" spans="1:9" ht="11.25" customHeight="1">
      <c r="A75" s="2114" t="s">
        <v>2297</v>
      </c>
      <c r="B75" s="2114" t="s">
        <v>16</v>
      </c>
      <c r="C75" s="2114" t="s">
        <v>2548</v>
      </c>
      <c r="D75" s="2114" t="s">
        <v>2549</v>
      </c>
      <c r="E75" s="2114" t="s">
        <v>2550</v>
      </c>
      <c r="F75" s="2114" t="s">
        <v>2377</v>
      </c>
      <c r="G75" s="2114" t="s">
        <v>22</v>
      </c>
      <c r="H75" s="2114" t="s">
        <v>22</v>
      </c>
      <c r="I75" s="2114" t="s">
        <v>805</v>
      </c>
    </row>
    <row r="76" spans="1:9" ht="11.25" customHeight="1">
      <c r="A76" s="2114" t="s">
        <v>2297</v>
      </c>
      <c r="B76" s="2114" t="s">
        <v>16</v>
      </c>
      <c r="C76" s="2114" t="s">
        <v>2551</v>
      </c>
      <c r="D76" s="2114" t="s">
        <v>2552</v>
      </c>
      <c r="E76" s="2114" t="s">
        <v>2553</v>
      </c>
      <c r="F76" s="2114" t="s">
        <v>52</v>
      </c>
      <c r="G76" s="2114" t="s">
        <v>22</v>
      </c>
      <c r="H76" s="2114" t="s">
        <v>22</v>
      </c>
      <c r="I76" s="2114" t="s">
        <v>805</v>
      </c>
    </row>
    <row r="77" spans="1:9" ht="11.25" customHeight="1">
      <c r="A77" s="2114" t="s">
        <v>2297</v>
      </c>
      <c r="B77" s="2114" t="s">
        <v>16</v>
      </c>
      <c r="C77" s="2114" t="s">
        <v>2554</v>
      </c>
      <c r="D77" s="2114" t="s">
        <v>2555</v>
      </c>
      <c r="E77" s="2114" t="s">
        <v>2556</v>
      </c>
      <c r="F77" s="2114" t="s">
        <v>2320</v>
      </c>
      <c r="G77" s="2114" t="s">
        <v>22</v>
      </c>
      <c r="H77" s="2114" t="s">
        <v>22</v>
      </c>
      <c r="I77" s="2114" t="s">
        <v>805</v>
      </c>
    </row>
    <row r="78" spans="1:9" ht="11.25" customHeight="1">
      <c r="A78" s="2114" t="s">
        <v>2297</v>
      </c>
      <c r="B78" s="2114" t="s">
        <v>16</v>
      </c>
      <c r="C78" s="2114" t="s">
        <v>2557</v>
      </c>
      <c r="D78" s="2114" t="s">
        <v>2558</v>
      </c>
      <c r="E78" s="2114" t="s">
        <v>2559</v>
      </c>
      <c r="F78" s="2114" t="s">
        <v>2560</v>
      </c>
      <c r="G78" s="2114" t="s">
        <v>2561</v>
      </c>
      <c r="H78" s="2114" t="s">
        <v>22</v>
      </c>
      <c r="I78" s="2114" t="s">
        <v>805</v>
      </c>
    </row>
    <row r="79" spans="1:9" ht="11.25" customHeight="1">
      <c r="A79" s="2114" t="s">
        <v>2297</v>
      </c>
      <c r="B79" s="2114" t="s">
        <v>16</v>
      </c>
      <c r="C79" s="2114" t="s">
        <v>2562</v>
      </c>
      <c r="D79" s="2114" t="s">
        <v>2563</v>
      </c>
      <c r="E79" s="2114" t="s">
        <v>2564</v>
      </c>
      <c r="F79" s="2114" t="s">
        <v>2309</v>
      </c>
      <c r="G79" s="2114" t="s">
        <v>22</v>
      </c>
      <c r="H79" s="2114" t="s">
        <v>22</v>
      </c>
      <c r="I79" s="2114" t="s">
        <v>805</v>
      </c>
    </row>
    <row r="80" spans="1:9" ht="11.25" customHeight="1">
      <c r="A80" s="2114" t="s">
        <v>2297</v>
      </c>
      <c r="B80" s="2114" t="s">
        <v>16</v>
      </c>
      <c r="C80" s="2114" t="s">
        <v>2565</v>
      </c>
      <c r="D80" s="2114" t="s">
        <v>2566</v>
      </c>
      <c r="E80" s="2114" t="s">
        <v>2567</v>
      </c>
      <c r="F80" s="2114" t="s">
        <v>2377</v>
      </c>
      <c r="G80" s="2114" t="s">
        <v>2568</v>
      </c>
      <c r="H80" s="2114" t="s">
        <v>22</v>
      </c>
      <c r="I80" s="2114" t="s">
        <v>805</v>
      </c>
    </row>
    <row r="81" spans="1:9" ht="11.25" customHeight="1">
      <c r="A81" s="2114" t="s">
        <v>2297</v>
      </c>
      <c r="B81" s="2114" t="s">
        <v>16</v>
      </c>
      <c r="C81" s="2114" t="s">
        <v>2569</v>
      </c>
      <c r="D81" s="2114" t="s">
        <v>2570</v>
      </c>
      <c r="E81" s="2114" t="s">
        <v>2571</v>
      </c>
      <c r="F81" s="2114" t="s">
        <v>2523</v>
      </c>
      <c r="G81" s="2114" t="s">
        <v>22</v>
      </c>
      <c r="H81" s="2114" t="s">
        <v>22</v>
      </c>
      <c r="I81" s="2114" t="s">
        <v>805</v>
      </c>
    </row>
    <row r="82" spans="1:9" ht="11.25" customHeight="1">
      <c r="A82" s="2114" t="s">
        <v>2297</v>
      </c>
      <c r="B82" s="2114" t="s">
        <v>16</v>
      </c>
      <c r="C82" s="2114" t="s">
        <v>2572</v>
      </c>
      <c r="D82" s="2114" t="s">
        <v>2573</v>
      </c>
      <c r="E82" s="2114" t="s">
        <v>2574</v>
      </c>
      <c r="F82" s="2114" t="s">
        <v>2523</v>
      </c>
      <c r="G82" s="2114" t="s">
        <v>22</v>
      </c>
      <c r="H82" s="2114" t="s">
        <v>22</v>
      </c>
      <c r="I82" s="2114" t="s">
        <v>805</v>
      </c>
    </row>
    <row r="83" spans="1:9" ht="11.25" customHeight="1">
      <c r="A83" s="2114" t="s">
        <v>2297</v>
      </c>
      <c r="B83" s="2114" t="s">
        <v>16</v>
      </c>
      <c r="C83" s="2114" t="s">
        <v>2575</v>
      </c>
      <c r="D83" s="2114" t="s">
        <v>2576</v>
      </c>
      <c r="E83" s="2114" t="s">
        <v>2577</v>
      </c>
      <c r="F83" s="2114" t="s">
        <v>2523</v>
      </c>
      <c r="G83" s="2114" t="s">
        <v>22</v>
      </c>
      <c r="H83" s="2114" t="s">
        <v>22</v>
      </c>
      <c r="I83" s="2114" t="s">
        <v>805</v>
      </c>
    </row>
    <row r="84" spans="1:9" ht="11.25" customHeight="1">
      <c r="A84" s="2114" t="s">
        <v>2297</v>
      </c>
      <c r="B84" s="2114" t="s">
        <v>16</v>
      </c>
      <c r="C84" s="2114" t="s">
        <v>2578</v>
      </c>
      <c r="D84" s="2114" t="s">
        <v>2579</v>
      </c>
      <c r="E84" s="2114" t="s">
        <v>2580</v>
      </c>
      <c r="F84" s="2114" t="s">
        <v>2463</v>
      </c>
      <c r="G84" s="2114" t="s">
        <v>2581</v>
      </c>
      <c r="H84" s="2114" t="s">
        <v>22</v>
      </c>
      <c r="I84" s="2114" t="s">
        <v>805</v>
      </c>
    </row>
    <row r="85" spans="1:9" ht="11.25" customHeight="1">
      <c r="A85" s="2114" t="s">
        <v>2297</v>
      </c>
      <c r="B85" s="2114" t="s">
        <v>16</v>
      </c>
      <c r="C85" s="2114" t="s">
        <v>2582</v>
      </c>
      <c r="D85" s="2114" t="s">
        <v>2583</v>
      </c>
      <c r="E85" s="2114" t="s">
        <v>2584</v>
      </c>
      <c r="F85" s="2114" t="s">
        <v>2366</v>
      </c>
      <c r="G85" s="2114" t="s">
        <v>22</v>
      </c>
      <c r="H85" s="2114" t="s">
        <v>22</v>
      </c>
      <c r="I85" s="2114" t="s">
        <v>805</v>
      </c>
    </row>
    <row r="86" spans="1:9" ht="11.25" customHeight="1">
      <c r="A86" s="2114" t="s">
        <v>2297</v>
      </c>
      <c r="B86" s="2114" t="s">
        <v>16</v>
      </c>
      <c r="C86" s="2114" t="s">
        <v>2585</v>
      </c>
      <c r="D86" s="2114" t="s">
        <v>2586</v>
      </c>
      <c r="E86" s="2114" t="s">
        <v>2587</v>
      </c>
      <c r="F86" s="2114" t="s">
        <v>2470</v>
      </c>
      <c r="G86" s="2114" t="s">
        <v>22</v>
      </c>
      <c r="H86" s="2114" t="s">
        <v>22</v>
      </c>
      <c r="I86" s="2114" t="s">
        <v>805</v>
      </c>
    </row>
    <row r="87" spans="1:9" ht="11.25" customHeight="1">
      <c r="A87" s="2114" t="s">
        <v>2297</v>
      </c>
      <c r="B87" s="2114" t="s">
        <v>16</v>
      </c>
      <c r="C87" s="2114" t="s">
        <v>2588</v>
      </c>
      <c r="D87" s="2114" t="s">
        <v>2589</v>
      </c>
      <c r="E87" s="2114" t="s">
        <v>2590</v>
      </c>
      <c r="F87" s="2114" t="s">
        <v>2435</v>
      </c>
      <c r="G87" s="2114" t="s">
        <v>22</v>
      </c>
      <c r="H87" s="2114" t="s">
        <v>22</v>
      </c>
      <c r="I87" s="2114" t="s">
        <v>805</v>
      </c>
    </row>
    <row r="88" spans="1:9" ht="11.25" customHeight="1">
      <c r="A88" s="2114" t="s">
        <v>2297</v>
      </c>
      <c r="B88" s="2114" t="s">
        <v>16</v>
      </c>
      <c r="C88" s="2114" t="s">
        <v>2591</v>
      </c>
      <c r="D88" s="2114" t="s">
        <v>2592</v>
      </c>
      <c r="E88" s="2114" t="s">
        <v>2593</v>
      </c>
      <c r="F88" s="2114" t="s">
        <v>2316</v>
      </c>
      <c r="G88" s="2114" t="s">
        <v>22</v>
      </c>
      <c r="H88" s="2114" t="s">
        <v>22</v>
      </c>
      <c r="I88" s="2114" t="s">
        <v>805</v>
      </c>
    </row>
    <row r="89" spans="1:9" ht="11.25" customHeight="1">
      <c r="A89" s="2114" t="s">
        <v>2297</v>
      </c>
      <c r="B89" s="2114" t="s">
        <v>16</v>
      </c>
      <c r="C89" s="2114" t="s">
        <v>2594</v>
      </c>
      <c r="D89" s="2114" t="s">
        <v>2595</v>
      </c>
      <c r="E89" s="2114" t="s">
        <v>2596</v>
      </c>
      <c r="F89" s="2114" t="s">
        <v>2470</v>
      </c>
      <c r="G89" s="2114" t="s">
        <v>22</v>
      </c>
      <c r="H89" s="2114" t="s">
        <v>22</v>
      </c>
      <c r="I89" s="2114" t="s">
        <v>805</v>
      </c>
    </row>
    <row r="90" spans="1:9" ht="11.25" customHeight="1">
      <c r="A90" s="2114" t="s">
        <v>2297</v>
      </c>
      <c r="B90" s="2114" t="s">
        <v>16</v>
      </c>
      <c r="C90" s="2114" t="s">
        <v>2597</v>
      </c>
      <c r="D90" s="2114" t="s">
        <v>2598</v>
      </c>
      <c r="E90" s="2114" t="s">
        <v>2599</v>
      </c>
      <c r="F90" s="2114" t="s">
        <v>2470</v>
      </c>
      <c r="G90" s="2114" t="s">
        <v>22</v>
      </c>
      <c r="H90" s="2114" t="s">
        <v>22</v>
      </c>
      <c r="I90" s="2114" t="s">
        <v>805</v>
      </c>
    </row>
    <row r="91" spans="1:9" ht="11.25" customHeight="1">
      <c r="A91" s="2114" t="s">
        <v>2297</v>
      </c>
      <c r="B91" s="2114" t="s">
        <v>16</v>
      </c>
      <c r="C91" s="2114" t="s">
        <v>2600</v>
      </c>
      <c r="D91" s="2114" t="s">
        <v>2601</v>
      </c>
      <c r="E91" s="2114" t="s">
        <v>2602</v>
      </c>
      <c r="F91" s="2114" t="s">
        <v>52</v>
      </c>
      <c r="G91" s="2114" t="s">
        <v>22</v>
      </c>
      <c r="H91" s="2114" t="s">
        <v>22</v>
      </c>
      <c r="I91" s="2114" t="s">
        <v>805</v>
      </c>
    </row>
    <row r="92" spans="1:9" ht="11.25" customHeight="1">
      <c r="A92" s="2114" t="s">
        <v>2297</v>
      </c>
      <c r="B92" s="2114" t="s">
        <v>16</v>
      </c>
      <c r="C92" s="2114" t="s">
        <v>2603</v>
      </c>
      <c r="D92" s="2114" t="s">
        <v>2604</v>
      </c>
      <c r="E92" s="2114" t="s">
        <v>2605</v>
      </c>
      <c r="F92" s="2114" t="s">
        <v>2606</v>
      </c>
      <c r="G92" s="2114" t="s">
        <v>22</v>
      </c>
      <c r="H92" s="2114" t="s">
        <v>22</v>
      </c>
      <c r="I92" s="2114" t="s">
        <v>805</v>
      </c>
    </row>
    <row r="93" spans="1:9" ht="11.25" customHeight="1">
      <c r="A93" s="2114" t="s">
        <v>2297</v>
      </c>
      <c r="B93" s="2114" t="s">
        <v>16</v>
      </c>
      <c r="C93" s="2114" t="s">
        <v>2607</v>
      </c>
      <c r="D93" s="2114" t="s">
        <v>2608</v>
      </c>
      <c r="E93" s="2114" t="s">
        <v>2609</v>
      </c>
      <c r="F93" s="2114" t="s">
        <v>2610</v>
      </c>
      <c r="G93" s="2114" t="s">
        <v>22</v>
      </c>
      <c r="H93" s="2114" t="s">
        <v>22</v>
      </c>
      <c r="I93" s="2114" t="s">
        <v>805</v>
      </c>
    </row>
    <row r="94" spans="1:9" ht="11.25" customHeight="1">
      <c r="A94" s="2114" t="s">
        <v>2297</v>
      </c>
      <c r="B94" s="2114" t="s">
        <v>16</v>
      </c>
      <c r="C94" s="2114" t="s">
        <v>2611</v>
      </c>
      <c r="D94" s="2114" t="s">
        <v>2612</v>
      </c>
      <c r="E94" s="2114" t="s">
        <v>2613</v>
      </c>
      <c r="F94" s="2114" t="s">
        <v>2328</v>
      </c>
      <c r="G94" s="2114" t="s">
        <v>22</v>
      </c>
      <c r="H94" s="2114" t="s">
        <v>22</v>
      </c>
      <c r="I94" s="2114" t="s">
        <v>805</v>
      </c>
    </row>
    <row r="95" spans="1:9" ht="11.25" customHeight="1">
      <c r="A95" s="2114" t="s">
        <v>2297</v>
      </c>
      <c r="B95" s="2114" t="s">
        <v>16</v>
      </c>
      <c r="C95" s="2114" t="s">
        <v>2614</v>
      </c>
      <c r="D95" s="2114" t="s">
        <v>2615</v>
      </c>
      <c r="E95" s="2114" t="s">
        <v>2616</v>
      </c>
      <c r="F95" s="2114" t="s">
        <v>2470</v>
      </c>
      <c r="G95" s="2114" t="s">
        <v>22</v>
      </c>
      <c r="H95" s="2114" t="s">
        <v>22</v>
      </c>
      <c r="I95" s="2114" t="s">
        <v>805</v>
      </c>
    </row>
    <row r="96" spans="1:9" ht="11.25" customHeight="1">
      <c r="A96" s="2114" t="s">
        <v>2297</v>
      </c>
      <c r="B96" s="2114" t="s">
        <v>16</v>
      </c>
      <c r="C96" s="2114" t="s">
        <v>2617</v>
      </c>
      <c r="D96" s="2114" t="s">
        <v>2618</v>
      </c>
      <c r="E96" s="2114" t="s">
        <v>2619</v>
      </c>
      <c r="F96" s="2114" t="s">
        <v>2316</v>
      </c>
      <c r="G96" s="2114" t="s">
        <v>22</v>
      </c>
      <c r="H96" s="2114" t="s">
        <v>22</v>
      </c>
      <c r="I96" s="2114" t="s">
        <v>805</v>
      </c>
    </row>
    <row r="97" spans="1:9" ht="11.25" customHeight="1">
      <c r="A97" s="2114" t="s">
        <v>2297</v>
      </c>
      <c r="B97" s="2114" t="s">
        <v>16</v>
      </c>
      <c r="C97" s="2114" t="s">
        <v>2620</v>
      </c>
      <c r="D97" s="2114" t="s">
        <v>2621</v>
      </c>
      <c r="E97" s="2114" t="s">
        <v>2622</v>
      </c>
      <c r="F97" s="2114" t="s">
        <v>2489</v>
      </c>
      <c r="G97" s="2114" t="s">
        <v>22</v>
      </c>
      <c r="H97" s="2114" t="s">
        <v>22</v>
      </c>
      <c r="I97" s="2114" t="s">
        <v>805</v>
      </c>
    </row>
    <row r="98" spans="1:9" ht="11.25" customHeight="1">
      <c r="A98" s="2114" t="s">
        <v>2297</v>
      </c>
      <c r="B98" s="2114" t="s">
        <v>16</v>
      </c>
      <c r="C98" s="2114" t="s">
        <v>2623</v>
      </c>
      <c r="D98" s="2114" t="s">
        <v>2624</v>
      </c>
      <c r="E98" s="2114" t="s">
        <v>2625</v>
      </c>
      <c r="F98" s="2114" t="s">
        <v>2626</v>
      </c>
      <c r="G98" s="2114" t="s">
        <v>2627</v>
      </c>
      <c r="H98" s="2114" t="s">
        <v>22</v>
      </c>
      <c r="I98" s="2114" t="s">
        <v>805</v>
      </c>
    </row>
    <row r="99" spans="1:9" ht="11.25" customHeight="1">
      <c r="A99" s="2114" t="s">
        <v>2297</v>
      </c>
      <c r="B99" s="2114" t="s">
        <v>16</v>
      </c>
      <c r="C99" s="2114" t="s">
        <v>2628</v>
      </c>
      <c r="D99" s="2114" t="s">
        <v>2624</v>
      </c>
      <c r="E99" s="2114" t="s">
        <v>2625</v>
      </c>
      <c r="F99" s="2114" t="s">
        <v>2629</v>
      </c>
      <c r="G99" s="2114" t="s">
        <v>22</v>
      </c>
      <c r="H99" s="2114" t="s">
        <v>22</v>
      </c>
      <c r="I99" s="2114" t="s">
        <v>805</v>
      </c>
    </row>
    <row r="100" spans="1:9" ht="11.25" customHeight="1">
      <c r="A100" s="2114" t="s">
        <v>2297</v>
      </c>
      <c r="B100" s="2114" t="s">
        <v>16</v>
      </c>
      <c r="C100" s="2114" t="s">
        <v>2630</v>
      </c>
      <c r="D100" s="2114" t="s">
        <v>2631</v>
      </c>
      <c r="E100" s="2114" t="s">
        <v>2632</v>
      </c>
      <c r="F100" s="2114" t="s">
        <v>2633</v>
      </c>
      <c r="G100" s="2114" t="s">
        <v>2634</v>
      </c>
      <c r="H100" s="2114" t="s">
        <v>22</v>
      </c>
      <c r="I100" s="2114" t="s">
        <v>805</v>
      </c>
    </row>
    <row r="101" spans="1:9" ht="11.25" customHeight="1">
      <c r="A101" s="2114" t="s">
        <v>2297</v>
      </c>
      <c r="B101" s="2114" t="s">
        <v>16</v>
      </c>
      <c r="C101" s="2114" t="s">
        <v>2635</v>
      </c>
      <c r="D101" s="2114" t="s">
        <v>2636</v>
      </c>
      <c r="E101" s="2114" t="s">
        <v>2637</v>
      </c>
      <c r="F101" s="2114" t="s">
        <v>2366</v>
      </c>
      <c r="G101" s="2114" t="s">
        <v>22</v>
      </c>
      <c r="H101" s="2114" t="s">
        <v>22</v>
      </c>
      <c r="I101" s="2114" t="s">
        <v>805</v>
      </c>
    </row>
    <row r="102" spans="1:9" ht="11.25" customHeight="1">
      <c r="A102" s="2114" t="s">
        <v>2297</v>
      </c>
      <c r="B102" s="2114" t="s">
        <v>16</v>
      </c>
      <c r="C102" s="2114" t="s">
        <v>2638</v>
      </c>
      <c r="D102" s="2114" t="s">
        <v>2639</v>
      </c>
      <c r="E102" s="2114" t="s">
        <v>2640</v>
      </c>
      <c r="F102" s="2114" t="s">
        <v>2309</v>
      </c>
      <c r="G102" s="2114" t="s">
        <v>22</v>
      </c>
      <c r="H102" s="2114" t="s">
        <v>22</v>
      </c>
      <c r="I102" s="2114" t="s">
        <v>805</v>
      </c>
    </row>
    <row r="103" spans="1:9" ht="11.25" customHeight="1">
      <c r="A103" s="2114" t="s">
        <v>2297</v>
      </c>
      <c r="B103" s="2114" t="s">
        <v>16</v>
      </c>
      <c r="C103" s="2114" t="s">
        <v>2641</v>
      </c>
      <c r="D103" s="2114" t="s">
        <v>2642</v>
      </c>
      <c r="E103" s="2114" t="s">
        <v>2643</v>
      </c>
      <c r="F103" s="2114" t="s">
        <v>2301</v>
      </c>
      <c r="G103" s="2114" t="s">
        <v>22</v>
      </c>
      <c r="H103" s="2114" t="s">
        <v>22</v>
      </c>
      <c r="I103" s="2114" t="s">
        <v>805</v>
      </c>
    </row>
    <row r="104" spans="1:9" ht="11.25" customHeight="1">
      <c r="A104" s="2114" t="s">
        <v>2297</v>
      </c>
      <c r="B104" s="2114" t="s">
        <v>16</v>
      </c>
      <c r="C104" s="2114" t="s">
        <v>2644</v>
      </c>
      <c r="D104" s="2114" t="s">
        <v>2645</v>
      </c>
      <c r="E104" s="2114" t="s">
        <v>2646</v>
      </c>
      <c r="F104" s="2114" t="s">
        <v>2320</v>
      </c>
      <c r="G104" s="2114" t="s">
        <v>22</v>
      </c>
      <c r="H104" s="2114" t="s">
        <v>22</v>
      </c>
      <c r="I104" s="2114" t="s">
        <v>805</v>
      </c>
    </row>
    <row r="105" spans="1:9" ht="11.25" customHeight="1">
      <c r="A105" s="2114" t="s">
        <v>2297</v>
      </c>
      <c r="B105" s="2114" t="s">
        <v>16</v>
      </c>
      <c r="C105" s="2114" t="s">
        <v>2647</v>
      </c>
      <c r="D105" s="2114" t="s">
        <v>2648</v>
      </c>
      <c r="E105" s="2114" t="s">
        <v>2649</v>
      </c>
      <c r="F105" s="2114" t="s">
        <v>2324</v>
      </c>
      <c r="G105" s="2114" t="s">
        <v>2650</v>
      </c>
      <c r="H105" s="2114" t="s">
        <v>22</v>
      </c>
      <c r="I105" s="2114" t="s">
        <v>805</v>
      </c>
    </row>
    <row r="106" spans="1:9" ht="11.25" customHeight="1">
      <c r="A106" s="2114" t="s">
        <v>2297</v>
      </c>
      <c r="B106" s="2114" t="s">
        <v>16</v>
      </c>
      <c r="C106" s="2114" t="s">
        <v>2651</v>
      </c>
      <c r="D106" s="2114" t="s">
        <v>2652</v>
      </c>
      <c r="E106" s="2114" t="s">
        <v>2653</v>
      </c>
      <c r="F106" s="2114" t="s">
        <v>52</v>
      </c>
      <c r="G106" s="2114" t="s">
        <v>22</v>
      </c>
      <c r="H106" s="2114" t="s">
        <v>22</v>
      </c>
      <c r="I106" s="2114" t="s">
        <v>805</v>
      </c>
    </row>
    <row r="107" spans="1:9" ht="11.25" customHeight="1">
      <c r="A107" s="2114" t="s">
        <v>2297</v>
      </c>
      <c r="B107" s="2114" t="s">
        <v>16</v>
      </c>
      <c r="C107" s="2114" t="s">
        <v>2654</v>
      </c>
      <c r="D107" s="2114" t="s">
        <v>2655</v>
      </c>
      <c r="E107" s="2114" t="s">
        <v>2656</v>
      </c>
      <c r="F107" s="2114" t="s">
        <v>2657</v>
      </c>
      <c r="G107" s="2114" t="s">
        <v>22</v>
      </c>
      <c r="H107" s="2114" t="s">
        <v>22</v>
      </c>
      <c r="I107" s="2114" t="s">
        <v>805</v>
      </c>
    </row>
    <row r="108" spans="1:9" ht="11.25" customHeight="1">
      <c r="A108" s="2114" t="s">
        <v>2297</v>
      </c>
      <c r="B108" s="2114" t="s">
        <v>16</v>
      </c>
      <c r="C108" s="2114" t="s">
        <v>2658</v>
      </c>
      <c r="D108" s="2114" t="s">
        <v>2659</v>
      </c>
      <c r="E108" s="2114" t="s">
        <v>2660</v>
      </c>
      <c r="F108" s="2114" t="s">
        <v>2388</v>
      </c>
      <c r="G108" s="2114" t="s">
        <v>22</v>
      </c>
      <c r="H108" s="2114" t="s">
        <v>22</v>
      </c>
      <c r="I108" s="2114" t="s">
        <v>805</v>
      </c>
    </row>
    <row r="109" spans="1:9" ht="11.25" customHeight="1">
      <c r="A109" s="2114" t="s">
        <v>2297</v>
      </c>
      <c r="B109" s="2114" t="s">
        <v>16</v>
      </c>
      <c r="C109" s="2114" t="s">
        <v>2661</v>
      </c>
      <c r="D109" s="2114" t="s">
        <v>2662</v>
      </c>
      <c r="E109" s="2114" t="s">
        <v>2663</v>
      </c>
      <c r="F109" s="2114" t="s">
        <v>2320</v>
      </c>
      <c r="G109" s="2114" t="s">
        <v>2664</v>
      </c>
      <c r="H109" s="2114" t="s">
        <v>22</v>
      </c>
      <c r="I109" s="2114" t="s">
        <v>805</v>
      </c>
    </row>
    <row r="110" spans="1:9" ht="11.25" customHeight="1">
      <c r="A110" s="2114" t="s">
        <v>2297</v>
      </c>
      <c r="B110" s="2114" t="s">
        <v>16</v>
      </c>
      <c r="C110" s="2114" t="s">
        <v>2665</v>
      </c>
      <c r="D110" s="2114" t="s">
        <v>2666</v>
      </c>
      <c r="E110" s="2114" t="s">
        <v>2667</v>
      </c>
      <c r="F110" s="2114" t="s">
        <v>2668</v>
      </c>
      <c r="G110" s="2114" t="s">
        <v>2669</v>
      </c>
      <c r="H110" s="2114" t="s">
        <v>22</v>
      </c>
      <c r="I110" s="2114" t="s">
        <v>805</v>
      </c>
    </row>
    <row r="111" spans="1:9" ht="11.25" customHeight="1">
      <c r="A111" s="2114" t="s">
        <v>2297</v>
      </c>
      <c r="B111" s="2114" t="s">
        <v>16</v>
      </c>
      <c r="C111" s="2114" t="s">
        <v>2670</v>
      </c>
      <c r="D111" s="2114" t="s">
        <v>2671</v>
      </c>
      <c r="E111" s="2114" t="s">
        <v>2672</v>
      </c>
      <c r="F111" s="2114" t="s">
        <v>2523</v>
      </c>
      <c r="G111" s="2114" t="s">
        <v>2673</v>
      </c>
      <c r="H111" s="2114" t="s">
        <v>22</v>
      </c>
      <c r="I111" s="2114" t="s">
        <v>805</v>
      </c>
    </row>
    <row r="112" spans="1:9" ht="11.25" customHeight="1">
      <c r="A112" s="2114" t="s">
        <v>2297</v>
      </c>
      <c r="B112" s="2114" t="s">
        <v>16</v>
      </c>
      <c r="C112" s="2114" t="s">
        <v>2674</v>
      </c>
      <c r="D112" s="2114" t="s">
        <v>2675</v>
      </c>
      <c r="E112" s="2114" t="s">
        <v>2676</v>
      </c>
      <c r="F112" s="2114" t="s">
        <v>2677</v>
      </c>
      <c r="G112" s="2114" t="s">
        <v>22</v>
      </c>
      <c r="H112" s="2114" t="s">
        <v>22</v>
      </c>
      <c r="I112" s="2114" t="s">
        <v>805</v>
      </c>
    </row>
    <row r="113" spans="1:9" ht="11.25" customHeight="1">
      <c r="A113" s="2114" t="s">
        <v>2297</v>
      </c>
      <c r="B113" s="2114" t="s">
        <v>16</v>
      </c>
      <c r="C113" s="2114" t="s">
        <v>2678</v>
      </c>
      <c r="D113" s="2114" t="s">
        <v>2679</v>
      </c>
      <c r="E113" s="2114" t="s">
        <v>2680</v>
      </c>
      <c r="F113" s="2114" t="s">
        <v>2316</v>
      </c>
      <c r="G113" s="2114" t="s">
        <v>22</v>
      </c>
      <c r="H113" s="2114" t="s">
        <v>22</v>
      </c>
      <c r="I113" s="2114" t="s">
        <v>805</v>
      </c>
    </row>
    <row r="114" spans="1:9" ht="11.25" customHeight="1">
      <c r="A114" s="2114" t="s">
        <v>2297</v>
      </c>
      <c r="B114" s="2114" t="s">
        <v>16</v>
      </c>
      <c r="C114" s="2114" t="s">
        <v>2681</v>
      </c>
      <c r="D114" s="2114" t="s">
        <v>2682</v>
      </c>
      <c r="E114" s="2114" t="s">
        <v>2683</v>
      </c>
      <c r="F114" s="2114" t="s">
        <v>2316</v>
      </c>
      <c r="G114" s="2114" t="s">
        <v>22</v>
      </c>
      <c r="H114" s="2114" t="s">
        <v>22</v>
      </c>
      <c r="I114" s="2114" t="s">
        <v>805</v>
      </c>
    </row>
    <row r="115" spans="1:9" ht="11.25" customHeight="1">
      <c r="A115" s="2114" t="s">
        <v>2297</v>
      </c>
      <c r="B115" s="2114" t="s">
        <v>16</v>
      </c>
      <c r="C115" s="2114" t="s">
        <v>2684</v>
      </c>
      <c r="D115" s="2114" t="s">
        <v>2685</v>
      </c>
      <c r="E115" s="2114" t="s">
        <v>2686</v>
      </c>
      <c r="F115" s="2114" t="s">
        <v>2320</v>
      </c>
      <c r="G115" s="2114" t="s">
        <v>22</v>
      </c>
      <c r="H115" s="2114" t="s">
        <v>22</v>
      </c>
      <c r="I115" s="2114" t="s">
        <v>805</v>
      </c>
    </row>
    <row r="116" spans="1:9" ht="11.25" customHeight="1">
      <c r="A116" s="2114" t="s">
        <v>2297</v>
      </c>
      <c r="B116" s="2114" t="s">
        <v>16</v>
      </c>
      <c r="C116" s="2114" t="s">
        <v>2687</v>
      </c>
      <c r="D116" s="2114" t="s">
        <v>2688</v>
      </c>
      <c r="E116" s="2114" t="s">
        <v>2689</v>
      </c>
      <c r="F116" s="2114" t="s">
        <v>2493</v>
      </c>
      <c r="G116" s="2114" t="s">
        <v>22</v>
      </c>
      <c r="H116" s="2114" t="s">
        <v>22</v>
      </c>
      <c r="I116" s="2114" t="s">
        <v>805</v>
      </c>
    </row>
    <row r="117" spans="1:9" ht="11.25" customHeight="1">
      <c r="A117" s="2114" t="s">
        <v>2297</v>
      </c>
      <c r="B117" s="2114" t="s">
        <v>16</v>
      </c>
      <c r="C117" s="2114" t="s">
        <v>2690</v>
      </c>
      <c r="D117" s="2114" t="s">
        <v>2691</v>
      </c>
      <c r="E117" s="2114" t="s">
        <v>2692</v>
      </c>
      <c r="F117" s="2114" t="s">
        <v>2316</v>
      </c>
      <c r="G117" s="2114" t="s">
        <v>22</v>
      </c>
      <c r="H117" s="2114" t="s">
        <v>22</v>
      </c>
      <c r="I117" s="2114" t="s">
        <v>805</v>
      </c>
    </row>
    <row r="118" spans="1:9" ht="11.25" customHeight="1">
      <c r="A118" s="2114" t="s">
        <v>2297</v>
      </c>
      <c r="B118" s="2114" t="s">
        <v>16</v>
      </c>
      <c r="C118" s="2114" t="s">
        <v>2693</v>
      </c>
      <c r="D118" s="2114" t="s">
        <v>2694</v>
      </c>
      <c r="E118" s="2114" t="s">
        <v>2695</v>
      </c>
      <c r="F118" s="2114" t="s">
        <v>2328</v>
      </c>
      <c r="G118" s="2114" t="s">
        <v>2696</v>
      </c>
      <c r="H118" s="2114" t="s">
        <v>22</v>
      </c>
      <c r="I118" s="2114" t="s">
        <v>805</v>
      </c>
    </row>
    <row r="119" spans="1:9" ht="11.25" customHeight="1">
      <c r="A119" s="2114" t="s">
        <v>2297</v>
      </c>
      <c r="B119" s="2114" t="s">
        <v>16</v>
      </c>
      <c r="C119" s="2114" t="s">
        <v>2697</v>
      </c>
      <c r="D119" s="2114" t="s">
        <v>2698</v>
      </c>
      <c r="E119" s="2114" t="s">
        <v>2699</v>
      </c>
      <c r="F119" s="2114" t="s">
        <v>2316</v>
      </c>
      <c r="G119" s="2114" t="s">
        <v>22</v>
      </c>
      <c r="H119" s="2114" t="s">
        <v>22</v>
      </c>
      <c r="I119" s="2114" t="s">
        <v>805</v>
      </c>
    </row>
    <row r="120" spans="1:9" ht="11.25" customHeight="1">
      <c r="A120" s="2114" t="s">
        <v>2297</v>
      </c>
      <c r="B120" s="2114" t="s">
        <v>16</v>
      </c>
      <c r="C120" s="2114" t="s">
        <v>2700</v>
      </c>
      <c r="D120" s="2114" t="s">
        <v>2701</v>
      </c>
      <c r="E120" s="2114" t="s">
        <v>2702</v>
      </c>
      <c r="F120" s="2114" t="s">
        <v>2470</v>
      </c>
      <c r="G120" s="2114" t="s">
        <v>2703</v>
      </c>
      <c r="H120" s="2114" t="s">
        <v>22</v>
      </c>
      <c r="I120" s="2114" t="s">
        <v>805</v>
      </c>
    </row>
    <row r="121" spans="1:9" ht="11.25" customHeight="1">
      <c r="A121" s="2114" t="s">
        <v>2297</v>
      </c>
      <c r="B121" s="2114" t="s">
        <v>16</v>
      </c>
      <c r="C121" s="2114" t="s">
        <v>2704</v>
      </c>
      <c r="D121" s="2114" t="s">
        <v>2705</v>
      </c>
      <c r="E121" s="2114" t="s">
        <v>2706</v>
      </c>
      <c r="F121" s="2114" t="s">
        <v>2316</v>
      </c>
      <c r="G121" s="2114" t="s">
        <v>22</v>
      </c>
      <c r="H121" s="2114" t="s">
        <v>22</v>
      </c>
      <c r="I121" s="2114" t="s">
        <v>805</v>
      </c>
    </row>
    <row r="122" spans="1:9" ht="11.25" customHeight="1">
      <c r="A122" s="2114" t="s">
        <v>2297</v>
      </c>
      <c r="B122" s="2114" t="s">
        <v>16</v>
      </c>
      <c r="C122" s="2114" t="s">
        <v>2707</v>
      </c>
      <c r="D122" s="2114" t="s">
        <v>2708</v>
      </c>
      <c r="E122" s="2114" t="s">
        <v>2709</v>
      </c>
      <c r="F122" s="2114" t="s">
        <v>52</v>
      </c>
      <c r="G122" s="2114" t="s">
        <v>22</v>
      </c>
      <c r="H122" s="2114" t="s">
        <v>22</v>
      </c>
      <c r="I122" s="2114" t="s">
        <v>805</v>
      </c>
    </row>
    <row r="123" spans="1:9" ht="11.25" customHeight="1">
      <c r="A123" s="2114" t="s">
        <v>2297</v>
      </c>
      <c r="B123" s="2114" t="s">
        <v>16</v>
      </c>
      <c r="C123" s="2114" t="s">
        <v>2710</v>
      </c>
      <c r="D123" s="2114" t="s">
        <v>2711</v>
      </c>
      <c r="E123" s="2114" t="s">
        <v>2712</v>
      </c>
      <c r="F123" s="2114" t="s">
        <v>2320</v>
      </c>
      <c r="G123" s="2114" t="s">
        <v>22</v>
      </c>
      <c r="H123" s="2114" t="s">
        <v>22</v>
      </c>
      <c r="I123" s="2114" t="s">
        <v>805</v>
      </c>
    </row>
    <row r="124" spans="1:9" ht="11.25" customHeight="1">
      <c r="A124" s="2114" t="s">
        <v>2297</v>
      </c>
      <c r="B124" s="2114" t="s">
        <v>16</v>
      </c>
      <c r="C124" s="2114" t="s">
        <v>2713</v>
      </c>
      <c r="D124" s="2114" t="s">
        <v>2714</v>
      </c>
      <c r="E124" s="2114" t="s">
        <v>2715</v>
      </c>
      <c r="F124" s="2114" t="s">
        <v>2489</v>
      </c>
      <c r="G124" s="2114" t="s">
        <v>22</v>
      </c>
      <c r="H124" s="2114" t="s">
        <v>22</v>
      </c>
      <c r="I124" s="2114" t="s">
        <v>805</v>
      </c>
    </row>
    <row r="125" spans="1:9" ht="11.25" customHeight="1">
      <c r="A125" s="2114" t="s">
        <v>2297</v>
      </c>
      <c r="B125" s="2114" t="s">
        <v>16</v>
      </c>
      <c r="C125" s="2114" t="s">
        <v>2716</v>
      </c>
      <c r="D125" s="2114" t="s">
        <v>2717</v>
      </c>
      <c r="E125" s="2114" t="s">
        <v>2718</v>
      </c>
      <c r="F125" s="2114" t="s">
        <v>2719</v>
      </c>
      <c r="G125" s="2114" t="s">
        <v>22</v>
      </c>
      <c r="H125" s="2114" t="s">
        <v>22</v>
      </c>
      <c r="I125" s="2114" t="s">
        <v>805</v>
      </c>
    </row>
    <row r="126" spans="1:9" ht="11.25" customHeight="1">
      <c r="A126" s="2114" t="s">
        <v>2297</v>
      </c>
      <c r="B126" s="2114" t="s">
        <v>16</v>
      </c>
      <c r="C126" s="2114" t="s">
        <v>2720</v>
      </c>
      <c r="D126" s="2114" t="s">
        <v>2721</v>
      </c>
      <c r="E126" s="2114" t="s">
        <v>2722</v>
      </c>
      <c r="F126" s="2114" t="s">
        <v>2320</v>
      </c>
      <c r="G126" s="2114" t="s">
        <v>2723</v>
      </c>
      <c r="H126" s="2114" t="s">
        <v>22</v>
      </c>
      <c r="I126" s="2114" t="s">
        <v>805</v>
      </c>
    </row>
    <row r="127" spans="1:9" ht="11.25" customHeight="1">
      <c r="A127" s="2114" t="s">
        <v>2297</v>
      </c>
      <c r="B127" s="2114" t="s">
        <v>16</v>
      </c>
      <c r="C127" s="2114" t="s">
        <v>2724</v>
      </c>
      <c r="D127" s="2114" t="s">
        <v>2725</v>
      </c>
      <c r="E127" s="2114" t="s">
        <v>2726</v>
      </c>
      <c r="F127" s="2114" t="s">
        <v>2324</v>
      </c>
      <c r="G127" s="2114" t="s">
        <v>22</v>
      </c>
      <c r="H127" s="2114" t="s">
        <v>22</v>
      </c>
      <c r="I127" s="2114" t="s">
        <v>805</v>
      </c>
    </row>
    <row r="128" spans="1:9" ht="11.25" customHeight="1">
      <c r="A128" s="2114" t="s">
        <v>2297</v>
      </c>
      <c r="B128" s="2114" t="s">
        <v>16</v>
      </c>
      <c r="C128" s="2114" t="s">
        <v>2727</v>
      </c>
      <c r="D128" s="2114" t="s">
        <v>2728</v>
      </c>
      <c r="E128" s="2114" t="s">
        <v>2729</v>
      </c>
      <c r="F128" s="2114" t="s">
        <v>2435</v>
      </c>
      <c r="G128" s="2114" t="s">
        <v>2730</v>
      </c>
      <c r="H128" s="2114" t="s">
        <v>22</v>
      </c>
      <c r="I128" s="2114" t="s">
        <v>805</v>
      </c>
    </row>
    <row r="129" spans="1:9" ht="11.25" customHeight="1">
      <c r="A129" s="2114" t="s">
        <v>2297</v>
      </c>
      <c r="B129" s="2114" t="s">
        <v>16</v>
      </c>
      <c r="C129" s="2114" t="s">
        <v>2731</v>
      </c>
      <c r="D129" s="2114" t="s">
        <v>2732</v>
      </c>
      <c r="E129" s="2114" t="s">
        <v>2733</v>
      </c>
      <c r="F129" s="2114" t="s">
        <v>2463</v>
      </c>
      <c r="G129" s="2114" t="s">
        <v>22</v>
      </c>
      <c r="H129" s="2114" t="s">
        <v>22</v>
      </c>
      <c r="I129" s="2114" t="s">
        <v>805</v>
      </c>
    </row>
    <row r="130" spans="1:9" ht="11.25" customHeight="1">
      <c r="A130" s="2114" t="s">
        <v>2297</v>
      </c>
      <c r="B130" s="2114" t="s">
        <v>16</v>
      </c>
      <c r="C130" s="2114" t="s">
        <v>2734</v>
      </c>
      <c r="D130" s="2114" t="s">
        <v>2735</v>
      </c>
      <c r="E130" s="2114" t="s">
        <v>2736</v>
      </c>
      <c r="F130" s="2114" t="s">
        <v>2316</v>
      </c>
      <c r="G130" s="2114" t="s">
        <v>22</v>
      </c>
      <c r="H130" s="2114" t="s">
        <v>22</v>
      </c>
      <c r="I130" s="2114" t="s">
        <v>805</v>
      </c>
    </row>
    <row r="131" spans="1:9" ht="11.25" customHeight="1">
      <c r="A131" s="2114" t="s">
        <v>2297</v>
      </c>
      <c r="B131" s="2114" t="s">
        <v>16</v>
      </c>
      <c r="C131" s="2114" t="s">
        <v>2737</v>
      </c>
      <c r="D131" s="2114" t="s">
        <v>2738</v>
      </c>
      <c r="E131" s="2114" t="s">
        <v>2739</v>
      </c>
      <c r="F131" s="2114" t="s">
        <v>2463</v>
      </c>
      <c r="G131" s="2114" t="s">
        <v>22</v>
      </c>
      <c r="H131" s="2114" t="s">
        <v>22</v>
      </c>
      <c r="I131" s="2114" t="s">
        <v>805</v>
      </c>
    </row>
    <row r="132" spans="1:9" ht="11.25" customHeight="1">
      <c r="A132" s="2114" t="s">
        <v>2297</v>
      </c>
      <c r="B132" s="2114" t="s">
        <v>16</v>
      </c>
      <c r="C132" s="2114" t="s">
        <v>2740</v>
      </c>
      <c r="D132" s="2114" t="s">
        <v>2741</v>
      </c>
      <c r="E132" s="2114" t="s">
        <v>2742</v>
      </c>
      <c r="F132" s="2114" t="s">
        <v>2463</v>
      </c>
      <c r="G132" s="2114" t="s">
        <v>2743</v>
      </c>
      <c r="H132" s="2114" t="s">
        <v>22</v>
      </c>
      <c r="I132" s="2114" t="s">
        <v>805</v>
      </c>
    </row>
    <row r="133" spans="1:9" ht="11.25" customHeight="1">
      <c r="A133" s="2114" t="s">
        <v>2297</v>
      </c>
      <c r="B133" s="2114" t="s">
        <v>16</v>
      </c>
      <c r="C133" s="2114" t="s">
        <v>2744</v>
      </c>
      <c r="D133" s="2114" t="s">
        <v>2745</v>
      </c>
      <c r="E133" s="2114" t="s">
        <v>2746</v>
      </c>
      <c r="F133" s="2114" t="s">
        <v>2328</v>
      </c>
      <c r="G133" s="2114" t="s">
        <v>22</v>
      </c>
      <c r="H133" s="2114" t="s">
        <v>22</v>
      </c>
      <c r="I133" s="2114" t="s">
        <v>805</v>
      </c>
    </row>
    <row r="134" spans="1:9" ht="11.25" customHeight="1">
      <c r="A134" s="2114" t="s">
        <v>2297</v>
      </c>
      <c r="B134" s="2114" t="s">
        <v>16</v>
      </c>
      <c r="C134" s="2114" t="s">
        <v>2747</v>
      </c>
      <c r="D134" s="2114" t="s">
        <v>2748</v>
      </c>
      <c r="E134" s="2114" t="s">
        <v>2749</v>
      </c>
      <c r="F134" s="2114" t="s">
        <v>2523</v>
      </c>
      <c r="G134" s="2114" t="s">
        <v>22</v>
      </c>
      <c r="H134" s="2114" t="s">
        <v>22</v>
      </c>
      <c r="I134" s="2114" t="s">
        <v>805</v>
      </c>
    </row>
    <row r="135" spans="1:9" ht="11.25" customHeight="1">
      <c r="A135" s="2114" t="s">
        <v>2297</v>
      </c>
      <c r="B135" s="2114" t="s">
        <v>16</v>
      </c>
      <c r="C135" s="2114" t="s">
        <v>2750</v>
      </c>
      <c r="D135" s="2114" t="s">
        <v>2751</v>
      </c>
      <c r="E135" s="2114" t="s">
        <v>2752</v>
      </c>
      <c r="F135" s="2114" t="s">
        <v>2719</v>
      </c>
      <c r="G135" s="2114" t="s">
        <v>22</v>
      </c>
      <c r="H135" s="2114" t="s">
        <v>22</v>
      </c>
      <c r="I135" s="2114" t="s">
        <v>805</v>
      </c>
    </row>
    <row r="136" spans="1:9" ht="11.25" customHeight="1">
      <c r="A136" s="2114" t="s">
        <v>2297</v>
      </c>
      <c r="B136" s="2114" t="s">
        <v>16</v>
      </c>
      <c r="C136" s="2114" t="s">
        <v>2753</v>
      </c>
      <c r="D136" s="2114" t="s">
        <v>2754</v>
      </c>
      <c r="E136" s="2114" t="s">
        <v>2755</v>
      </c>
      <c r="F136" s="2114" t="s">
        <v>2435</v>
      </c>
      <c r="G136" s="2114" t="s">
        <v>22</v>
      </c>
      <c r="H136" s="2114" t="s">
        <v>22</v>
      </c>
      <c r="I136" s="2114" t="s">
        <v>805</v>
      </c>
    </row>
    <row r="137" spans="1:9" ht="11.25" customHeight="1">
      <c r="A137" s="2114" t="s">
        <v>2297</v>
      </c>
      <c r="B137" s="2114" t="s">
        <v>16</v>
      </c>
      <c r="C137" s="2114" t="s">
        <v>2756</v>
      </c>
      <c r="D137" s="2114" t="s">
        <v>2757</v>
      </c>
      <c r="E137" s="2114" t="s">
        <v>2758</v>
      </c>
      <c r="F137" s="2114" t="s">
        <v>2388</v>
      </c>
      <c r="G137" s="2114" t="s">
        <v>22</v>
      </c>
      <c r="H137" s="2114" t="s">
        <v>22</v>
      </c>
      <c r="I137" s="2114" t="s">
        <v>805</v>
      </c>
    </row>
    <row r="138" spans="1:9" ht="11.25" customHeight="1">
      <c r="A138" s="2114" t="s">
        <v>2297</v>
      </c>
      <c r="B138" s="2114" t="s">
        <v>16</v>
      </c>
      <c r="C138" s="2114" t="s">
        <v>2759</v>
      </c>
      <c r="D138" s="2114" t="s">
        <v>2760</v>
      </c>
      <c r="E138" s="2114" t="s">
        <v>2761</v>
      </c>
      <c r="F138" s="2114" t="s">
        <v>2489</v>
      </c>
      <c r="G138" s="2114" t="s">
        <v>22</v>
      </c>
      <c r="H138" s="2114" t="s">
        <v>22</v>
      </c>
      <c r="I138" s="2114" t="s">
        <v>805</v>
      </c>
    </row>
    <row r="139" spans="1:9" ht="11.25" customHeight="1">
      <c r="A139" s="2114" t="s">
        <v>2297</v>
      </c>
      <c r="B139" s="2114" t="s">
        <v>16</v>
      </c>
      <c r="C139" s="2114" t="s">
        <v>2762</v>
      </c>
      <c r="D139" s="2114" t="s">
        <v>2763</v>
      </c>
      <c r="E139" s="2114" t="s">
        <v>2764</v>
      </c>
      <c r="F139" s="2114" t="s">
        <v>52</v>
      </c>
      <c r="G139" s="2114" t="s">
        <v>2765</v>
      </c>
      <c r="H139" s="2114" t="s">
        <v>22</v>
      </c>
      <c r="I139" s="2114" t="s">
        <v>805</v>
      </c>
    </row>
    <row r="140" spans="1:9" ht="11.25" customHeight="1">
      <c r="A140" s="2114" t="s">
        <v>2297</v>
      </c>
      <c r="B140" s="2114" t="s">
        <v>16</v>
      </c>
      <c r="C140" s="2114" t="s">
        <v>2766</v>
      </c>
      <c r="D140" s="2114" t="s">
        <v>2767</v>
      </c>
      <c r="E140" s="2114" t="s">
        <v>2768</v>
      </c>
      <c r="F140" s="2114" t="s">
        <v>2769</v>
      </c>
      <c r="G140" s="2114" t="s">
        <v>22</v>
      </c>
      <c r="H140" s="2114" t="s">
        <v>22</v>
      </c>
      <c r="I140" s="2114" t="s">
        <v>805</v>
      </c>
    </row>
    <row r="141" spans="1:9" ht="11.25" customHeight="1">
      <c r="A141" s="2114" t="s">
        <v>2297</v>
      </c>
      <c r="B141" s="2114" t="s">
        <v>16</v>
      </c>
      <c r="C141" s="2114" t="s">
        <v>2770</v>
      </c>
      <c r="D141" s="2114" t="s">
        <v>2771</v>
      </c>
      <c r="E141" s="2114" t="s">
        <v>2772</v>
      </c>
      <c r="F141" s="2114" t="s">
        <v>52</v>
      </c>
      <c r="G141" s="2114" t="s">
        <v>22</v>
      </c>
      <c r="H141" s="2114" t="s">
        <v>22</v>
      </c>
      <c r="I141" s="2114" t="s">
        <v>805</v>
      </c>
    </row>
    <row r="142" spans="1:9" ht="11.25" customHeight="1">
      <c r="A142" s="2114" t="s">
        <v>2297</v>
      </c>
      <c r="B142" s="2114" t="s">
        <v>16</v>
      </c>
      <c r="C142" s="2114" t="s">
        <v>2773</v>
      </c>
      <c r="D142" s="2114" t="s">
        <v>2774</v>
      </c>
      <c r="E142" s="2114" t="s">
        <v>2775</v>
      </c>
      <c r="F142" s="2114" t="s">
        <v>52</v>
      </c>
      <c r="G142" s="2114" t="s">
        <v>22</v>
      </c>
      <c r="H142" s="2114" t="s">
        <v>22</v>
      </c>
      <c r="I142" s="2114" t="s">
        <v>805</v>
      </c>
    </row>
    <row r="143" spans="1:9" ht="11.25" customHeight="1">
      <c r="A143" s="2114" t="s">
        <v>2297</v>
      </c>
      <c r="B143" s="2114" t="s">
        <v>16</v>
      </c>
      <c r="C143" s="2114" t="s">
        <v>2776</v>
      </c>
      <c r="D143" s="2114" t="s">
        <v>2777</v>
      </c>
      <c r="E143" s="2114" t="s">
        <v>2778</v>
      </c>
      <c r="F143" s="2114" t="s">
        <v>2366</v>
      </c>
      <c r="G143" s="2114" t="s">
        <v>22</v>
      </c>
      <c r="H143" s="2114" t="s">
        <v>22</v>
      </c>
      <c r="I143" s="2114" t="s">
        <v>805</v>
      </c>
    </row>
    <row r="144" spans="1:9" ht="11.25" customHeight="1">
      <c r="A144" s="2114" t="s">
        <v>2297</v>
      </c>
      <c r="B144" s="2114" t="s">
        <v>16</v>
      </c>
      <c r="C144" s="2114" t="s">
        <v>2779</v>
      </c>
      <c r="D144" s="2114" t="s">
        <v>2780</v>
      </c>
      <c r="E144" s="2114" t="s">
        <v>2781</v>
      </c>
      <c r="F144" s="2114" t="s">
        <v>2320</v>
      </c>
      <c r="G144" s="2114" t="s">
        <v>2782</v>
      </c>
      <c r="H144" s="2114" t="s">
        <v>22</v>
      </c>
      <c r="I144" s="2114" t="s">
        <v>805</v>
      </c>
    </row>
    <row r="145" spans="1:9" ht="11.25" customHeight="1">
      <c r="A145" s="2114" t="s">
        <v>2297</v>
      </c>
      <c r="B145" s="2114" t="s">
        <v>16</v>
      </c>
      <c r="C145" s="2114" t="s">
        <v>2783</v>
      </c>
      <c r="D145" s="2114" t="s">
        <v>2784</v>
      </c>
      <c r="E145" s="2114" t="s">
        <v>2785</v>
      </c>
      <c r="F145" s="2114" t="s">
        <v>2719</v>
      </c>
      <c r="G145" s="2114" t="s">
        <v>22</v>
      </c>
      <c r="H145" s="2114" t="s">
        <v>22</v>
      </c>
      <c r="I145" s="2114" t="s">
        <v>805</v>
      </c>
    </row>
    <row r="146" spans="1:9" ht="11.25" customHeight="1">
      <c r="A146" s="2114" t="s">
        <v>2297</v>
      </c>
      <c r="B146" s="2114" t="s">
        <v>16</v>
      </c>
      <c r="C146" s="2114" t="s">
        <v>2786</v>
      </c>
      <c r="D146" s="2114" t="s">
        <v>2787</v>
      </c>
      <c r="E146" s="2114" t="s">
        <v>2788</v>
      </c>
      <c r="F146" s="2114" t="s">
        <v>2324</v>
      </c>
      <c r="G146" s="2114" t="s">
        <v>22</v>
      </c>
      <c r="H146" s="2114" t="s">
        <v>22</v>
      </c>
      <c r="I146" s="2114" t="s">
        <v>805</v>
      </c>
    </row>
    <row r="147" spans="1:9" ht="11.25" customHeight="1">
      <c r="A147" s="2114" t="s">
        <v>2297</v>
      </c>
      <c r="B147" s="2114" t="s">
        <v>16</v>
      </c>
      <c r="C147" s="2114" t="s">
        <v>2789</v>
      </c>
      <c r="D147" s="2114" t="s">
        <v>2790</v>
      </c>
      <c r="E147" s="2114" t="s">
        <v>2791</v>
      </c>
      <c r="F147" s="2114" t="s">
        <v>2316</v>
      </c>
      <c r="G147" s="2114" t="s">
        <v>22</v>
      </c>
      <c r="H147" s="2114" t="s">
        <v>22</v>
      </c>
      <c r="I147" s="2114" t="s">
        <v>805</v>
      </c>
    </row>
    <row r="148" spans="1:9" ht="11.25" customHeight="1">
      <c r="A148" s="2114" t="s">
        <v>2297</v>
      </c>
      <c r="B148" s="2114" t="s">
        <v>16</v>
      </c>
      <c r="C148" s="2114" t="s">
        <v>2792</v>
      </c>
      <c r="D148" s="2114" t="s">
        <v>2793</v>
      </c>
      <c r="E148" s="2114" t="s">
        <v>2794</v>
      </c>
      <c r="F148" s="2114" t="s">
        <v>2470</v>
      </c>
      <c r="G148" s="2114" t="s">
        <v>22</v>
      </c>
      <c r="H148" s="2114" t="s">
        <v>22</v>
      </c>
      <c r="I148" s="2114" t="s">
        <v>805</v>
      </c>
    </row>
    <row r="149" spans="1:9" ht="11.25" customHeight="1">
      <c r="A149" s="2114" t="s">
        <v>2297</v>
      </c>
      <c r="B149" s="2114" t="s">
        <v>16</v>
      </c>
      <c r="C149" s="2114" t="s">
        <v>2795</v>
      </c>
      <c r="D149" s="2114" t="s">
        <v>2796</v>
      </c>
      <c r="E149" s="2114" t="s">
        <v>2797</v>
      </c>
      <c r="F149" s="2114" t="s">
        <v>2523</v>
      </c>
      <c r="G149" s="2114" t="s">
        <v>22</v>
      </c>
      <c r="H149" s="2114" t="s">
        <v>22</v>
      </c>
      <c r="I149" s="2114" t="s">
        <v>805</v>
      </c>
    </row>
    <row r="150" spans="1:9" ht="11.25" customHeight="1">
      <c r="A150" s="2114" t="s">
        <v>2297</v>
      </c>
      <c r="B150" s="2114" t="s">
        <v>16</v>
      </c>
      <c r="C150" s="2114" t="s">
        <v>2798</v>
      </c>
      <c r="D150" s="2114" t="s">
        <v>2799</v>
      </c>
      <c r="E150" s="2114" t="s">
        <v>2800</v>
      </c>
      <c r="F150" s="2114" t="s">
        <v>2320</v>
      </c>
      <c r="G150" s="2114" t="s">
        <v>22</v>
      </c>
      <c r="H150" s="2114" t="s">
        <v>22</v>
      </c>
      <c r="I150" s="2114" t="s">
        <v>805</v>
      </c>
    </row>
    <row r="151" spans="1:9" ht="11.25" customHeight="1">
      <c r="A151" s="2114" t="s">
        <v>2297</v>
      </c>
      <c r="B151" s="2114" t="s">
        <v>16</v>
      </c>
      <c r="C151" s="2114" t="s">
        <v>2801</v>
      </c>
      <c r="D151" s="2114" t="s">
        <v>2799</v>
      </c>
      <c r="E151" s="2114" t="s">
        <v>2800</v>
      </c>
      <c r="F151" s="2114" t="s">
        <v>2301</v>
      </c>
      <c r="G151" s="2114" t="s">
        <v>22</v>
      </c>
      <c r="H151" s="2114" t="s">
        <v>22</v>
      </c>
      <c r="I151" s="2114" t="s">
        <v>805</v>
      </c>
    </row>
    <row r="152" spans="1:9" ht="11.25" customHeight="1">
      <c r="A152" s="2114" t="s">
        <v>2297</v>
      </c>
      <c r="B152" s="2114" t="s">
        <v>16</v>
      </c>
      <c r="C152" s="2114" t="s">
        <v>2802</v>
      </c>
      <c r="D152" s="2114" t="s">
        <v>2803</v>
      </c>
      <c r="E152" s="2114" t="s">
        <v>2804</v>
      </c>
      <c r="F152" s="2114" t="s">
        <v>2309</v>
      </c>
      <c r="G152" s="2114" t="s">
        <v>22</v>
      </c>
      <c r="H152" s="2114" t="s">
        <v>22</v>
      </c>
      <c r="I152" s="2114" t="s">
        <v>805</v>
      </c>
    </row>
    <row r="153" spans="1:9" ht="11.25" customHeight="1">
      <c r="A153" s="2114" t="s">
        <v>2297</v>
      </c>
      <c r="B153" s="2114" t="s">
        <v>16</v>
      </c>
      <c r="C153" s="2114" t="s">
        <v>2805</v>
      </c>
      <c r="D153" s="2114" t="s">
        <v>2806</v>
      </c>
      <c r="E153" s="2114" t="s">
        <v>2807</v>
      </c>
      <c r="F153" s="2114" t="s">
        <v>52</v>
      </c>
      <c r="G153" s="2114" t="s">
        <v>22</v>
      </c>
      <c r="H153" s="2114" t="s">
        <v>22</v>
      </c>
      <c r="I153" s="2114" t="s">
        <v>805</v>
      </c>
    </row>
    <row r="154" spans="1:9" ht="11.25" customHeight="1">
      <c r="A154" s="2114" t="s">
        <v>2297</v>
      </c>
      <c r="B154" s="2114" t="s">
        <v>16</v>
      </c>
      <c r="C154" s="2114" t="s">
        <v>2808</v>
      </c>
      <c r="D154" s="2114" t="s">
        <v>2809</v>
      </c>
      <c r="E154" s="2114" t="s">
        <v>2810</v>
      </c>
      <c r="F154" s="2114" t="s">
        <v>2719</v>
      </c>
      <c r="G154" s="2114" t="s">
        <v>22</v>
      </c>
      <c r="H154" s="2114" t="s">
        <v>22</v>
      </c>
      <c r="I154" s="2114" t="s">
        <v>805</v>
      </c>
    </row>
    <row r="155" spans="1:9" ht="11.25" customHeight="1">
      <c r="A155" s="2114" t="s">
        <v>2297</v>
      </c>
      <c r="B155" s="2114" t="s">
        <v>16</v>
      </c>
      <c r="C155" s="2114" t="s">
        <v>2811</v>
      </c>
      <c r="D155" s="2114" t="s">
        <v>2812</v>
      </c>
      <c r="E155" s="2114" t="s">
        <v>2813</v>
      </c>
      <c r="F155" s="2114" t="s">
        <v>2328</v>
      </c>
      <c r="G155" s="2114" t="s">
        <v>22</v>
      </c>
      <c r="H155" s="2114" t="s">
        <v>22</v>
      </c>
      <c r="I155" s="2114" t="s">
        <v>805</v>
      </c>
    </row>
    <row r="156" spans="1:9" ht="11.25" customHeight="1">
      <c r="A156" s="2114" t="s">
        <v>2297</v>
      </c>
      <c r="B156" s="2114" t="s">
        <v>16</v>
      </c>
      <c r="C156" s="2114" t="s">
        <v>2814</v>
      </c>
      <c r="D156" s="2114" t="s">
        <v>2815</v>
      </c>
      <c r="E156" s="2114" t="s">
        <v>2816</v>
      </c>
      <c r="F156" s="2114" t="s">
        <v>2719</v>
      </c>
      <c r="G156" s="2114" t="s">
        <v>22</v>
      </c>
      <c r="H156" s="2114" t="s">
        <v>22</v>
      </c>
      <c r="I156" s="2114" t="s">
        <v>805</v>
      </c>
    </row>
    <row r="157" spans="1:9" ht="11.25" customHeight="1">
      <c r="A157" s="2114" t="s">
        <v>2297</v>
      </c>
      <c r="B157" s="2114" t="s">
        <v>16</v>
      </c>
      <c r="C157" s="2114" t="s">
        <v>2817</v>
      </c>
      <c r="D157" s="2114" t="s">
        <v>2818</v>
      </c>
      <c r="E157" s="2114" t="s">
        <v>2819</v>
      </c>
      <c r="F157" s="2114" t="s">
        <v>2338</v>
      </c>
      <c r="G157" s="2114" t="s">
        <v>22</v>
      </c>
      <c r="H157" s="2114" t="s">
        <v>22</v>
      </c>
      <c r="I157" s="2114" t="s">
        <v>805</v>
      </c>
    </row>
    <row r="158" spans="1:9" ht="11.25" customHeight="1">
      <c r="A158" s="2114" t="s">
        <v>2297</v>
      </c>
      <c r="B158" s="2114" t="s">
        <v>16</v>
      </c>
      <c r="C158" s="2114" t="s">
        <v>2820</v>
      </c>
      <c r="D158" s="2114" t="s">
        <v>2821</v>
      </c>
      <c r="E158" s="2114" t="s">
        <v>2822</v>
      </c>
      <c r="F158" s="2114" t="s">
        <v>2446</v>
      </c>
      <c r="G158" s="2114" t="s">
        <v>22</v>
      </c>
      <c r="H158" s="2114" t="s">
        <v>22</v>
      </c>
      <c r="I158" s="2114" t="s">
        <v>805</v>
      </c>
    </row>
    <row r="159" spans="1:9" ht="11.25" customHeight="1">
      <c r="A159" s="2114" t="s">
        <v>2297</v>
      </c>
      <c r="B159" s="2114" t="s">
        <v>16</v>
      </c>
      <c r="C159" s="2114" t="s">
        <v>2823</v>
      </c>
      <c r="D159" s="2114" t="s">
        <v>2824</v>
      </c>
      <c r="E159" s="2114" t="s">
        <v>50</v>
      </c>
      <c r="F159" s="2114" t="s">
        <v>2825</v>
      </c>
      <c r="G159" s="2114" t="s">
        <v>22</v>
      </c>
      <c r="H159" s="2114" t="s">
        <v>22</v>
      </c>
      <c r="I159" s="2114" t="s">
        <v>805</v>
      </c>
    </row>
    <row r="160" spans="1:9" ht="11.25" customHeight="1">
      <c r="A160" s="2114" t="s">
        <v>2297</v>
      </c>
      <c r="B160" s="2114" t="s">
        <v>16</v>
      </c>
      <c r="C160" s="2114" t="s">
        <v>13</v>
      </c>
      <c r="D160" s="2114" t="s">
        <v>47</v>
      </c>
      <c r="E160" s="2114" t="s">
        <v>50</v>
      </c>
      <c r="F160" s="2114" t="s">
        <v>52</v>
      </c>
      <c r="G160" s="2114" t="s">
        <v>22</v>
      </c>
      <c r="H160" s="2114" t="s">
        <v>22</v>
      </c>
      <c r="I160" s="2114" t="s">
        <v>805</v>
      </c>
    </row>
    <row r="161" spans="1:9" ht="11.25" customHeight="1">
      <c r="A161" s="2114" t="s">
        <v>2297</v>
      </c>
      <c r="B161" s="2114" t="s">
        <v>16</v>
      </c>
      <c r="C161" s="2114" t="s">
        <v>2826</v>
      </c>
      <c r="D161" s="2114" t="s">
        <v>2827</v>
      </c>
      <c r="E161" s="2114" t="s">
        <v>2828</v>
      </c>
      <c r="F161" s="2114" t="s">
        <v>2316</v>
      </c>
      <c r="G161" s="2114" t="s">
        <v>22</v>
      </c>
      <c r="H161" s="2114" t="s">
        <v>22</v>
      </c>
      <c r="I161" s="2114" t="s">
        <v>805</v>
      </c>
    </row>
    <row r="162" spans="1:9" ht="11.25" customHeight="1">
      <c r="A162" s="2114" t="s">
        <v>2297</v>
      </c>
      <c r="B162" s="2114" t="s">
        <v>16</v>
      </c>
      <c r="C162" s="2114" t="s">
        <v>2829</v>
      </c>
      <c r="D162" s="2114" t="s">
        <v>2830</v>
      </c>
      <c r="E162" s="2114" t="s">
        <v>2831</v>
      </c>
      <c r="F162" s="2114" t="s">
        <v>2309</v>
      </c>
      <c r="G162" s="2114" t="s">
        <v>22</v>
      </c>
      <c r="H162" s="2114" t="s">
        <v>22</v>
      </c>
      <c r="I162" s="2114" t="s">
        <v>805</v>
      </c>
    </row>
    <row r="163" spans="1:9" ht="11.25" customHeight="1">
      <c r="A163" s="2114" t="s">
        <v>2297</v>
      </c>
      <c r="B163" s="2114" t="s">
        <v>16</v>
      </c>
      <c r="C163" s="2114" t="s">
        <v>2832</v>
      </c>
      <c r="D163" s="2114" t="s">
        <v>2833</v>
      </c>
      <c r="E163" s="2114" t="s">
        <v>2834</v>
      </c>
      <c r="F163" s="2114" t="s">
        <v>2489</v>
      </c>
      <c r="G163" s="2114" t="s">
        <v>22</v>
      </c>
      <c r="H163" s="2114" t="s">
        <v>22</v>
      </c>
      <c r="I163" s="2114" t="s">
        <v>805</v>
      </c>
    </row>
    <row r="164" spans="1:9" ht="11.25" customHeight="1">
      <c r="A164" s="2114" t="s">
        <v>2297</v>
      </c>
      <c r="B164" s="2114" t="s">
        <v>16</v>
      </c>
      <c r="C164" s="2114" t="s">
        <v>2835</v>
      </c>
      <c r="D164" s="2114" t="s">
        <v>2836</v>
      </c>
      <c r="E164" s="2114" t="s">
        <v>2837</v>
      </c>
      <c r="F164" s="2114" t="s">
        <v>2489</v>
      </c>
      <c r="G164" s="2114" t="s">
        <v>22</v>
      </c>
      <c r="H164" s="2114" t="s">
        <v>22</v>
      </c>
      <c r="I164" s="2114" t="s">
        <v>805</v>
      </c>
    </row>
    <row r="165" spans="1:9" ht="11.25" customHeight="1">
      <c r="A165" s="2114" t="s">
        <v>2297</v>
      </c>
      <c r="B165" s="2114" t="s">
        <v>16</v>
      </c>
      <c r="C165" s="2114" t="s">
        <v>2838</v>
      </c>
      <c r="D165" s="2114" t="s">
        <v>2839</v>
      </c>
      <c r="E165" s="2114" t="s">
        <v>2840</v>
      </c>
      <c r="F165" s="2114" t="s">
        <v>2377</v>
      </c>
      <c r="G165" s="2114" t="s">
        <v>22</v>
      </c>
      <c r="H165" s="2114" t="s">
        <v>22</v>
      </c>
      <c r="I165" s="2114" t="s">
        <v>805</v>
      </c>
    </row>
    <row r="166" spans="1:9" ht="11.25" customHeight="1">
      <c r="A166" s="2114" t="s">
        <v>2297</v>
      </c>
      <c r="B166" s="2114" t="s">
        <v>16</v>
      </c>
      <c r="C166" s="2114" t="s">
        <v>2841</v>
      </c>
      <c r="D166" s="2114" t="s">
        <v>2842</v>
      </c>
      <c r="E166" s="2114" t="s">
        <v>2843</v>
      </c>
      <c r="F166" s="2114" t="s">
        <v>52</v>
      </c>
      <c r="G166" s="2114" t="s">
        <v>22</v>
      </c>
      <c r="H166" s="2114" t="s">
        <v>22</v>
      </c>
      <c r="I166" s="2114" t="s">
        <v>805</v>
      </c>
    </row>
    <row r="167" spans="1:9" ht="11.25" customHeight="1">
      <c r="A167" s="2114" t="s">
        <v>2297</v>
      </c>
      <c r="B167" s="2114" t="s">
        <v>16</v>
      </c>
      <c r="C167" s="2114" t="s">
        <v>2844</v>
      </c>
      <c r="D167" s="2114" t="s">
        <v>2845</v>
      </c>
      <c r="E167" s="2114" t="s">
        <v>2846</v>
      </c>
      <c r="F167" s="2114" t="s">
        <v>2366</v>
      </c>
      <c r="G167" s="2114" t="s">
        <v>22</v>
      </c>
      <c r="H167" s="2114" t="s">
        <v>22</v>
      </c>
      <c r="I167" s="2114" t="s">
        <v>805</v>
      </c>
    </row>
    <row r="168" spans="1:9" ht="11.25" customHeight="1">
      <c r="A168" s="2114" t="s">
        <v>2297</v>
      </c>
      <c r="B168" s="2114" t="s">
        <v>16</v>
      </c>
      <c r="C168" s="2114" t="s">
        <v>2847</v>
      </c>
      <c r="D168" s="2114" t="s">
        <v>2848</v>
      </c>
      <c r="E168" s="2114" t="s">
        <v>2849</v>
      </c>
      <c r="F168" s="2114" t="s">
        <v>2435</v>
      </c>
      <c r="G168" s="2114" t="s">
        <v>22</v>
      </c>
      <c r="H168" s="2114" t="s">
        <v>22</v>
      </c>
      <c r="I168" s="2114" t="s">
        <v>805</v>
      </c>
    </row>
    <row r="169" spans="1:9" ht="11.25" customHeight="1">
      <c r="A169" s="2114" t="s">
        <v>2297</v>
      </c>
      <c r="B169" s="2114" t="s">
        <v>16</v>
      </c>
      <c r="C169" s="2114" t="s">
        <v>2850</v>
      </c>
      <c r="D169" s="2114" t="s">
        <v>2851</v>
      </c>
      <c r="E169" s="2114" t="s">
        <v>2852</v>
      </c>
      <c r="F169" s="2114" t="s">
        <v>2309</v>
      </c>
      <c r="G169" s="2114" t="s">
        <v>22</v>
      </c>
      <c r="H169" s="2114" t="s">
        <v>22</v>
      </c>
      <c r="I169" s="2114" t="s">
        <v>805</v>
      </c>
    </row>
    <row r="170" spans="1:9" ht="11.25" customHeight="1">
      <c r="A170" s="2114" t="s">
        <v>2297</v>
      </c>
      <c r="B170" s="2114" t="s">
        <v>16</v>
      </c>
      <c r="C170" s="2114" t="s">
        <v>2853</v>
      </c>
      <c r="D170" s="2114" t="s">
        <v>2854</v>
      </c>
      <c r="E170" s="2114" t="s">
        <v>2855</v>
      </c>
      <c r="F170" s="2114" t="s">
        <v>2435</v>
      </c>
      <c r="G170" s="2114" t="s">
        <v>22</v>
      </c>
      <c r="H170" s="2114" t="s">
        <v>22</v>
      </c>
      <c r="I170" s="2114" t="s">
        <v>805</v>
      </c>
    </row>
    <row r="171" spans="1:9" ht="11.25" customHeight="1">
      <c r="A171" s="2114" t="s">
        <v>2297</v>
      </c>
      <c r="B171" s="2114" t="s">
        <v>16</v>
      </c>
      <c r="C171" s="2114" t="s">
        <v>2856</v>
      </c>
      <c r="D171" s="2114" t="s">
        <v>2857</v>
      </c>
      <c r="E171" s="2114" t="s">
        <v>2858</v>
      </c>
      <c r="F171" s="2114" t="s">
        <v>2316</v>
      </c>
      <c r="G171" s="2114" t="s">
        <v>22</v>
      </c>
      <c r="H171" s="2114" t="s">
        <v>22</v>
      </c>
      <c r="I171" s="2114" t="s">
        <v>805</v>
      </c>
    </row>
    <row r="172" spans="1:9" ht="11.25" customHeight="1">
      <c r="A172" s="2114" t="s">
        <v>2297</v>
      </c>
      <c r="B172" s="2114" t="s">
        <v>16</v>
      </c>
      <c r="C172" s="2114" t="s">
        <v>2859</v>
      </c>
      <c r="D172" s="2114" t="s">
        <v>2860</v>
      </c>
      <c r="E172" s="2114" t="s">
        <v>2861</v>
      </c>
      <c r="F172" s="2114" t="s">
        <v>2862</v>
      </c>
      <c r="G172" s="2114" t="s">
        <v>22</v>
      </c>
      <c r="H172" s="2114" t="s">
        <v>22</v>
      </c>
      <c r="I172" s="2114" t="s">
        <v>805</v>
      </c>
    </row>
    <row r="173" spans="1:9" ht="11.25" customHeight="1">
      <c r="A173" s="2114" t="s">
        <v>2297</v>
      </c>
      <c r="B173" s="2114" t="s">
        <v>16</v>
      </c>
      <c r="C173" s="2114" t="s">
        <v>2863</v>
      </c>
      <c r="D173" s="2114" t="s">
        <v>2864</v>
      </c>
      <c r="E173" s="2114" t="s">
        <v>2865</v>
      </c>
      <c r="F173" s="2114" t="s">
        <v>52</v>
      </c>
      <c r="G173" s="2114" t="s">
        <v>22</v>
      </c>
      <c r="H173" s="2114" t="s">
        <v>22</v>
      </c>
      <c r="I173" s="2114" t="s">
        <v>805</v>
      </c>
    </row>
    <row r="174" spans="1:9" ht="11.25" customHeight="1">
      <c r="A174" s="2114" t="s">
        <v>2297</v>
      </c>
      <c r="B174" s="2114" t="s">
        <v>16</v>
      </c>
      <c r="C174" s="2114" t="s">
        <v>2866</v>
      </c>
      <c r="D174" s="2114" t="s">
        <v>2867</v>
      </c>
      <c r="E174" s="2114" t="s">
        <v>2868</v>
      </c>
      <c r="F174" s="2114" t="s">
        <v>2301</v>
      </c>
      <c r="G174" s="2114" t="s">
        <v>22</v>
      </c>
      <c r="H174" s="2114" t="s">
        <v>22</v>
      </c>
      <c r="I174" s="2114" t="s">
        <v>805</v>
      </c>
    </row>
    <row r="175" spans="1:9" ht="11.25" customHeight="1">
      <c r="A175" s="2114" t="s">
        <v>2297</v>
      </c>
      <c r="B175" s="2114" t="s">
        <v>16</v>
      </c>
      <c r="C175" s="2114" t="s">
        <v>2869</v>
      </c>
      <c r="D175" s="2114" t="s">
        <v>2870</v>
      </c>
      <c r="E175" s="2114" t="s">
        <v>2871</v>
      </c>
      <c r="F175" s="2114" t="s">
        <v>2316</v>
      </c>
      <c r="G175" s="2114" t="s">
        <v>2872</v>
      </c>
      <c r="H175" s="2114" t="s">
        <v>22</v>
      </c>
      <c r="I175" s="2114" t="s">
        <v>805</v>
      </c>
    </row>
    <row r="176" spans="1:9" ht="11.25" customHeight="1">
      <c r="A176" s="2114" t="s">
        <v>2297</v>
      </c>
      <c r="B176" s="2114" t="s">
        <v>16</v>
      </c>
      <c r="C176" s="2114" t="s">
        <v>2873</v>
      </c>
      <c r="D176" s="2114" t="s">
        <v>2874</v>
      </c>
      <c r="E176" s="2114" t="s">
        <v>2875</v>
      </c>
      <c r="F176" s="2114" t="s">
        <v>2876</v>
      </c>
      <c r="G176" s="2114" t="s">
        <v>22</v>
      </c>
      <c r="H176" s="2114" t="s">
        <v>22</v>
      </c>
      <c r="I176" s="2114" t="s">
        <v>805</v>
      </c>
    </row>
    <row r="177" spans="1:9" ht="11.25" customHeight="1">
      <c r="A177" s="2114" t="s">
        <v>2297</v>
      </c>
      <c r="B177" s="2114" t="s">
        <v>16</v>
      </c>
      <c r="C177" s="2114" t="s">
        <v>2877</v>
      </c>
      <c r="D177" s="2114" t="s">
        <v>2878</v>
      </c>
      <c r="E177" s="2114" t="s">
        <v>2861</v>
      </c>
      <c r="F177" s="2114" t="s">
        <v>2506</v>
      </c>
      <c r="G177" s="2114" t="s">
        <v>2879</v>
      </c>
      <c r="H177" s="2114" t="s">
        <v>22</v>
      </c>
      <c r="I177" s="2114" t="s">
        <v>805</v>
      </c>
    </row>
    <row r="178" spans="1:9" ht="11.25" customHeight="1">
      <c r="A178" s="2114" t="s">
        <v>2297</v>
      </c>
      <c r="B178" s="2114" t="s">
        <v>16</v>
      </c>
      <c r="C178" s="2114" t="s">
        <v>2880</v>
      </c>
      <c r="D178" s="2114" t="s">
        <v>2881</v>
      </c>
      <c r="E178" s="2114" t="s">
        <v>2861</v>
      </c>
      <c r="F178" s="2114" t="s">
        <v>2882</v>
      </c>
      <c r="G178" s="2114" t="s">
        <v>22</v>
      </c>
      <c r="H178" s="2114" t="s">
        <v>22</v>
      </c>
      <c r="I178" s="2114" t="s">
        <v>805</v>
      </c>
    </row>
    <row r="179" spans="1:9" ht="11.25" customHeight="1">
      <c r="A179" s="2114" t="s">
        <v>2297</v>
      </c>
      <c r="B179" s="2114" t="s">
        <v>16</v>
      </c>
      <c r="C179" s="2114" t="s">
        <v>2883</v>
      </c>
      <c r="D179" s="2114" t="s">
        <v>2884</v>
      </c>
      <c r="E179" s="2114" t="s">
        <v>2885</v>
      </c>
      <c r="F179" s="2114" t="s">
        <v>2886</v>
      </c>
      <c r="G179" s="2114" t="s">
        <v>2887</v>
      </c>
      <c r="H179" s="2114" t="s">
        <v>22</v>
      </c>
      <c r="I179" s="2114" t="s">
        <v>805</v>
      </c>
    </row>
    <row r="180" spans="1:9" ht="11.25" customHeight="1">
      <c r="A180" s="2114" t="s">
        <v>2297</v>
      </c>
      <c r="B180" s="2114" t="s">
        <v>16</v>
      </c>
      <c r="C180" s="2114" t="s">
        <v>2317</v>
      </c>
      <c r="D180" s="2114" t="s">
        <v>2318</v>
      </c>
      <c r="E180" s="2114" t="s">
        <v>2319</v>
      </c>
      <c r="F180" s="2114" t="s">
        <v>2320</v>
      </c>
      <c r="G180" s="2114" t="s">
        <v>22</v>
      </c>
      <c r="H180" s="2114" t="s">
        <v>22</v>
      </c>
      <c r="I180" s="2114" t="s">
        <v>891</v>
      </c>
    </row>
    <row r="181" spans="1:9" ht="11.25" customHeight="1">
      <c r="A181" s="2114" t="s">
        <v>2297</v>
      </c>
      <c r="B181" s="2114" t="s">
        <v>16</v>
      </c>
      <c r="C181" s="2114" t="s">
        <v>2329</v>
      </c>
      <c r="D181" s="2114" t="s">
        <v>2330</v>
      </c>
      <c r="E181" s="2114" t="s">
        <v>2331</v>
      </c>
      <c r="F181" s="2114" t="s">
        <v>2301</v>
      </c>
      <c r="G181" s="2114" t="s">
        <v>22</v>
      </c>
      <c r="H181" s="2114" t="s">
        <v>22</v>
      </c>
      <c r="I181" s="2114" t="s">
        <v>891</v>
      </c>
    </row>
    <row r="182" spans="1:9" ht="11.25" customHeight="1">
      <c r="A182" s="2114" t="s">
        <v>2297</v>
      </c>
      <c r="B182" s="2114" t="s">
        <v>16</v>
      </c>
      <c r="C182" s="2114" t="s">
        <v>2332</v>
      </c>
      <c r="D182" s="2114" t="s">
        <v>2333</v>
      </c>
      <c r="E182" s="2114" t="s">
        <v>2334</v>
      </c>
      <c r="F182" s="2114" t="s">
        <v>2335</v>
      </c>
      <c r="G182" s="2114" t="s">
        <v>2336</v>
      </c>
      <c r="H182" s="2114" t="s">
        <v>22</v>
      </c>
      <c r="I182" s="2114" t="s">
        <v>891</v>
      </c>
    </row>
    <row r="183" spans="1:9" ht="11.25" customHeight="1">
      <c r="A183" s="2114" t="s">
        <v>2297</v>
      </c>
      <c r="B183" s="2114" t="s">
        <v>16</v>
      </c>
      <c r="C183" s="2114" t="s">
        <v>2337</v>
      </c>
      <c r="D183" s="2114" t="s">
        <v>2333</v>
      </c>
      <c r="E183" s="2114" t="s">
        <v>2334</v>
      </c>
      <c r="F183" s="2114" t="s">
        <v>2338</v>
      </c>
      <c r="G183" s="2114" t="s">
        <v>22</v>
      </c>
      <c r="H183" s="2114" t="s">
        <v>22</v>
      </c>
      <c r="I183" s="2114" t="s">
        <v>891</v>
      </c>
    </row>
    <row r="184" spans="1:9" ht="11.25" customHeight="1">
      <c r="A184" s="2114" t="s">
        <v>2297</v>
      </c>
      <c r="B184" s="2114" t="s">
        <v>16</v>
      </c>
      <c r="C184" s="2114" t="s">
        <v>2339</v>
      </c>
      <c r="D184" s="2114" t="s">
        <v>2340</v>
      </c>
      <c r="E184" s="2114" t="s">
        <v>2341</v>
      </c>
      <c r="F184" s="2114" t="s">
        <v>2316</v>
      </c>
      <c r="G184" s="2114" t="s">
        <v>22</v>
      </c>
      <c r="H184" s="2114" t="s">
        <v>22</v>
      </c>
      <c r="I184" s="2114" t="s">
        <v>891</v>
      </c>
    </row>
    <row r="185" spans="1:9" ht="11.25" customHeight="1">
      <c r="A185" s="2114" t="s">
        <v>2297</v>
      </c>
      <c r="B185" s="2114" t="s">
        <v>16</v>
      </c>
      <c r="C185" s="2114" t="s">
        <v>2378</v>
      </c>
      <c r="D185" s="2114" t="s">
        <v>2379</v>
      </c>
      <c r="E185" s="2114" t="s">
        <v>2380</v>
      </c>
      <c r="F185" s="2114" t="s">
        <v>2377</v>
      </c>
      <c r="G185" s="2114" t="s">
        <v>22</v>
      </c>
      <c r="H185" s="2114" t="s">
        <v>22</v>
      </c>
      <c r="I185" s="2114" t="s">
        <v>891</v>
      </c>
    </row>
    <row r="186" spans="1:9" ht="11.25" customHeight="1">
      <c r="A186" s="2114" t="s">
        <v>2297</v>
      </c>
      <c r="B186" s="2114" t="s">
        <v>16</v>
      </c>
      <c r="C186" s="2114" t="s">
        <v>2389</v>
      </c>
      <c r="D186" s="2114" t="s">
        <v>2390</v>
      </c>
      <c r="E186" s="2114" t="s">
        <v>2391</v>
      </c>
      <c r="F186" s="2114" t="s">
        <v>2309</v>
      </c>
      <c r="G186" s="2114" t="s">
        <v>22</v>
      </c>
      <c r="H186" s="2114" t="s">
        <v>22</v>
      </c>
      <c r="I186" s="2114" t="s">
        <v>891</v>
      </c>
    </row>
    <row r="187" spans="1:9" ht="11.25" customHeight="1">
      <c r="A187" s="2114" t="s">
        <v>2297</v>
      </c>
      <c r="B187" s="2114" t="s">
        <v>16</v>
      </c>
      <c r="C187" s="2114" t="s">
        <v>2412</v>
      </c>
      <c r="D187" s="2114" t="s">
        <v>2413</v>
      </c>
      <c r="E187" s="2114" t="s">
        <v>2414</v>
      </c>
      <c r="F187" s="2114" t="s">
        <v>2415</v>
      </c>
      <c r="G187" s="2114" t="s">
        <v>22</v>
      </c>
      <c r="H187" s="2114" t="s">
        <v>22</v>
      </c>
      <c r="I187" s="2114" t="s">
        <v>891</v>
      </c>
    </row>
    <row r="188" spans="1:9" ht="11.25" customHeight="1">
      <c r="A188" s="2114" t="s">
        <v>2297</v>
      </c>
      <c r="B188" s="2114" t="s">
        <v>16</v>
      </c>
      <c r="C188" s="2114" t="s">
        <v>2432</v>
      </c>
      <c r="D188" s="2114" t="s">
        <v>2433</v>
      </c>
      <c r="E188" s="2114" t="s">
        <v>2434</v>
      </c>
      <c r="F188" s="2114" t="s">
        <v>2435</v>
      </c>
      <c r="G188" s="2114" t="s">
        <v>2436</v>
      </c>
      <c r="H188" s="2114" t="s">
        <v>22</v>
      </c>
      <c r="I188" s="2114" t="s">
        <v>891</v>
      </c>
    </row>
    <row r="189" spans="1:9" ht="11.25" customHeight="1">
      <c r="A189" s="2114" t="s">
        <v>2297</v>
      </c>
      <c r="B189" s="2114" t="s">
        <v>16</v>
      </c>
      <c r="C189" s="2114" t="s">
        <v>2447</v>
      </c>
      <c r="D189" s="2114" t="s">
        <v>2448</v>
      </c>
      <c r="E189" s="2114" t="s">
        <v>2449</v>
      </c>
      <c r="F189" s="2114" t="s">
        <v>2309</v>
      </c>
      <c r="G189" s="2114" t="s">
        <v>22</v>
      </c>
      <c r="H189" s="2114" t="s">
        <v>22</v>
      </c>
      <c r="I189" s="2114" t="s">
        <v>891</v>
      </c>
    </row>
    <row r="190" spans="1:9" ht="11.25" customHeight="1">
      <c r="A190" s="2114" t="s">
        <v>2297</v>
      </c>
      <c r="B190" s="2114" t="s">
        <v>16</v>
      </c>
      <c r="C190" s="2114" t="s">
        <v>2453</v>
      </c>
      <c r="D190" s="2114" t="s">
        <v>2454</v>
      </c>
      <c r="E190" s="2114" t="s">
        <v>2334</v>
      </c>
      <c r="F190" s="2114" t="s">
        <v>2455</v>
      </c>
      <c r="G190" s="2114" t="s">
        <v>2456</v>
      </c>
      <c r="H190" s="2114" t="s">
        <v>22</v>
      </c>
      <c r="I190" s="2114" t="s">
        <v>891</v>
      </c>
    </row>
    <row r="191" spans="1:9" ht="11.25" customHeight="1">
      <c r="A191" s="2114" t="s">
        <v>2297</v>
      </c>
      <c r="B191" s="2114" t="s">
        <v>16</v>
      </c>
      <c r="C191" s="2114" t="s">
        <v>2457</v>
      </c>
      <c r="D191" s="2114" t="s">
        <v>2458</v>
      </c>
      <c r="E191" s="2114" t="s">
        <v>2459</v>
      </c>
      <c r="F191" s="2114" t="s">
        <v>2316</v>
      </c>
      <c r="G191" s="2114" t="s">
        <v>22</v>
      </c>
      <c r="H191" s="2114" t="s">
        <v>22</v>
      </c>
      <c r="I191" s="2114" t="s">
        <v>891</v>
      </c>
    </row>
    <row r="192" spans="1:9" ht="11.25" customHeight="1">
      <c r="A192" s="2114" t="s">
        <v>2297</v>
      </c>
      <c r="B192" s="2114" t="s">
        <v>16</v>
      </c>
      <c r="C192" s="2114" t="s">
        <v>2464</v>
      </c>
      <c r="D192" s="2114" t="s">
        <v>2465</v>
      </c>
      <c r="E192" s="2114" t="s">
        <v>2466</v>
      </c>
      <c r="F192" s="2114" t="s">
        <v>2435</v>
      </c>
      <c r="G192" s="2114" t="s">
        <v>22</v>
      </c>
      <c r="H192" s="2114" t="s">
        <v>2436</v>
      </c>
      <c r="I192" s="2114" t="s">
        <v>891</v>
      </c>
    </row>
    <row r="193" spans="1:9" ht="11.25" customHeight="1">
      <c r="A193" s="2114" t="s">
        <v>2297</v>
      </c>
      <c r="B193" s="2114" t="s">
        <v>16</v>
      </c>
      <c r="C193" s="2114" t="s">
        <v>2480</v>
      </c>
      <c r="D193" s="2114" t="s">
        <v>2481</v>
      </c>
      <c r="E193" s="2114" t="s">
        <v>2482</v>
      </c>
      <c r="F193" s="2114" t="s">
        <v>2370</v>
      </c>
      <c r="G193" s="2114" t="s">
        <v>22</v>
      </c>
      <c r="H193" s="2114" t="s">
        <v>22</v>
      </c>
      <c r="I193" s="2114" t="s">
        <v>891</v>
      </c>
    </row>
    <row r="194" spans="1:9" ht="11.25" customHeight="1">
      <c r="A194" s="2114" t="s">
        <v>2297</v>
      </c>
      <c r="B194" s="2114" t="s">
        <v>16</v>
      </c>
      <c r="C194" s="2114" t="s">
        <v>22</v>
      </c>
      <c r="D194" s="2114" t="s">
        <v>2501</v>
      </c>
      <c r="E194" s="2114" t="s">
        <v>2502</v>
      </c>
      <c r="F194" s="2114" t="s">
        <v>2388</v>
      </c>
      <c r="G194" s="2114" t="s">
        <v>22</v>
      </c>
      <c r="H194" s="2114" t="s">
        <v>22</v>
      </c>
      <c r="I194" s="2114" t="s">
        <v>891</v>
      </c>
    </row>
    <row r="195" spans="1:9" ht="11.25" customHeight="1">
      <c r="A195" s="2114" t="s">
        <v>2297</v>
      </c>
      <c r="B195" s="2114" t="s">
        <v>16</v>
      </c>
      <c r="C195" s="2114" t="s">
        <v>2507</v>
      </c>
      <c r="D195" s="2114" t="s">
        <v>2508</v>
      </c>
      <c r="E195" s="2114" t="s">
        <v>2509</v>
      </c>
      <c r="F195" s="2114" t="s">
        <v>2510</v>
      </c>
      <c r="G195" s="2114" t="s">
        <v>22</v>
      </c>
      <c r="H195" s="2114" t="s">
        <v>22</v>
      </c>
      <c r="I195" s="2114" t="s">
        <v>891</v>
      </c>
    </row>
    <row r="196" spans="1:9" ht="11.25" customHeight="1">
      <c r="A196" s="2114" t="s">
        <v>2297</v>
      </c>
      <c r="B196" s="2114" t="s">
        <v>16</v>
      </c>
      <c r="C196" s="2114" t="s">
        <v>2511</v>
      </c>
      <c r="D196" s="2114" t="s">
        <v>2512</v>
      </c>
      <c r="E196" s="2114" t="s">
        <v>2513</v>
      </c>
      <c r="F196" s="2114" t="s">
        <v>2377</v>
      </c>
      <c r="G196" s="2114" t="s">
        <v>22</v>
      </c>
      <c r="H196" s="2114" t="s">
        <v>22</v>
      </c>
      <c r="I196" s="2114" t="s">
        <v>891</v>
      </c>
    </row>
    <row r="197" spans="1:9" ht="11.25" customHeight="1">
      <c r="A197" s="2114" t="s">
        <v>2297</v>
      </c>
      <c r="B197" s="2114" t="s">
        <v>16</v>
      </c>
      <c r="C197" s="2114" t="s">
        <v>2545</v>
      </c>
      <c r="D197" s="2114" t="s">
        <v>2546</v>
      </c>
      <c r="E197" s="2114" t="s">
        <v>2547</v>
      </c>
      <c r="F197" s="2114" t="s">
        <v>2463</v>
      </c>
      <c r="G197" s="2114" t="s">
        <v>22</v>
      </c>
      <c r="H197" s="2114" t="s">
        <v>22</v>
      </c>
      <c r="I197" s="2114" t="s">
        <v>891</v>
      </c>
    </row>
    <row r="198" spans="1:9" ht="11.25" customHeight="1">
      <c r="A198" s="2114" t="s">
        <v>2297</v>
      </c>
      <c r="B198" s="2114" t="s">
        <v>16</v>
      </c>
      <c r="C198" s="2114" t="s">
        <v>2557</v>
      </c>
      <c r="D198" s="2114" t="s">
        <v>2558</v>
      </c>
      <c r="E198" s="2114" t="s">
        <v>2559</v>
      </c>
      <c r="F198" s="2114" t="s">
        <v>2560</v>
      </c>
      <c r="G198" s="2114" t="s">
        <v>2561</v>
      </c>
      <c r="H198" s="2114" t="s">
        <v>22</v>
      </c>
      <c r="I198" s="2114" t="s">
        <v>891</v>
      </c>
    </row>
    <row r="199" spans="1:9" ht="11.25" customHeight="1">
      <c r="A199" s="2114" t="s">
        <v>2297</v>
      </c>
      <c r="B199" s="2114" t="s">
        <v>16</v>
      </c>
      <c r="C199" s="2114" t="s">
        <v>2578</v>
      </c>
      <c r="D199" s="2114" t="s">
        <v>2579</v>
      </c>
      <c r="E199" s="2114" t="s">
        <v>2580</v>
      </c>
      <c r="F199" s="2114" t="s">
        <v>2463</v>
      </c>
      <c r="G199" s="2114" t="s">
        <v>2581</v>
      </c>
      <c r="H199" s="2114" t="s">
        <v>22</v>
      </c>
      <c r="I199" s="2114" t="s">
        <v>891</v>
      </c>
    </row>
    <row r="200" spans="1:9" ht="11.25" customHeight="1">
      <c r="A200" s="2114" t="s">
        <v>2297</v>
      </c>
      <c r="B200" s="2114" t="s">
        <v>16</v>
      </c>
      <c r="C200" s="2114" t="s">
        <v>2611</v>
      </c>
      <c r="D200" s="2114" t="s">
        <v>2612</v>
      </c>
      <c r="E200" s="2114" t="s">
        <v>2613</v>
      </c>
      <c r="F200" s="2114" t="s">
        <v>2328</v>
      </c>
      <c r="G200" s="2114" t="s">
        <v>22</v>
      </c>
      <c r="H200" s="2114" t="s">
        <v>22</v>
      </c>
      <c r="I200" s="2114" t="s">
        <v>891</v>
      </c>
    </row>
    <row r="201" spans="1:9" ht="11.25" customHeight="1">
      <c r="A201" s="2114" t="s">
        <v>2297</v>
      </c>
      <c r="B201" s="2114" t="s">
        <v>16</v>
      </c>
      <c r="C201" s="2114" t="s">
        <v>2614</v>
      </c>
      <c r="D201" s="2114" t="s">
        <v>2615</v>
      </c>
      <c r="E201" s="2114" t="s">
        <v>2616</v>
      </c>
      <c r="F201" s="2114" t="s">
        <v>2470</v>
      </c>
      <c r="G201" s="2114" t="s">
        <v>22</v>
      </c>
      <c r="H201" s="2114" t="s">
        <v>22</v>
      </c>
      <c r="I201" s="2114" t="s">
        <v>891</v>
      </c>
    </row>
    <row r="202" spans="1:9" ht="11.25" customHeight="1">
      <c r="A202" s="2114" t="s">
        <v>2297</v>
      </c>
      <c r="B202" s="2114" t="s">
        <v>16</v>
      </c>
      <c r="C202" s="2114" t="s">
        <v>2623</v>
      </c>
      <c r="D202" s="2114" t="s">
        <v>2624</v>
      </c>
      <c r="E202" s="2114" t="s">
        <v>2625</v>
      </c>
      <c r="F202" s="2114" t="s">
        <v>2626</v>
      </c>
      <c r="G202" s="2114" t="s">
        <v>2627</v>
      </c>
      <c r="H202" s="2114" t="s">
        <v>22</v>
      </c>
      <c r="I202" s="2114" t="s">
        <v>891</v>
      </c>
    </row>
    <row r="203" spans="1:9" ht="11.25" customHeight="1">
      <c r="A203" s="2114" t="s">
        <v>2297</v>
      </c>
      <c r="B203" s="2114" t="s">
        <v>16</v>
      </c>
      <c r="C203" s="2114" t="s">
        <v>2628</v>
      </c>
      <c r="D203" s="2114" t="s">
        <v>2624</v>
      </c>
      <c r="E203" s="2114" t="s">
        <v>2625</v>
      </c>
      <c r="F203" s="2114" t="s">
        <v>2629</v>
      </c>
      <c r="G203" s="2114" t="s">
        <v>22</v>
      </c>
      <c r="H203" s="2114" t="s">
        <v>22</v>
      </c>
      <c r="I203" s="2114" t="s">
        <v>891</v>
      </c>
    </row>
    <row r="204" spans="1:9" ht="11.25" customHeight="1">
      <c r="A204" s="2114" t="s">
        <v>2297</v>
      </c>
      <c r="B204" s="2114" t="s">
        <v>16</v>
      </c>
      <c r="C204" s="2114" t="s">
        <v>2630</v>
      </c>
      <c r="D204" s="2114" t="s">
        <v>2631</v>
      </c>
      <c r="E204" s="2114" t="s">
        <v>2632</v>
      </c>
      <c r="F204" s="2114" t="s">
        <v>2633</v>
      </c>
      <c r="G204" s="2114" t="s">
        <v>2634</v>
      </c>
      <c r="H204" s="2114" t="s">
        <v>22</v>
      </c>
      <c r="I204" s="2114" t="s">
        <v>891</v>
      </c>
    </row>
    <row r="205" spans="1:9" ht="11.25" customHeight="1">
      <c r="A205" s="2114" t="s">
        <v>2297</v>
      </c>
      <c r="B205" s="2114" t="s">
        <v>16</v>
      </c>
      <c r="C205" s="2114" t="s">
        <v>2644</v>
      </c>
      <c r="D205" s="2114" t="s">
        <v>2645</v>
      </c>
      <c r="E205" s="2114" t="s">
        <v>2646</v>
      </c>
      <c r="F205" s="2114" t="s">
        <v>2320</v>
      </c>
      <c r="G205" s="2114" t="s">
        <v>22</v>
      </c>
      <c r="H205" s="2114" t="s">
        <v>22</v>
      </c>
      <c r="I205" s="2114" t="s">
        <v>891</v>
      </c>
    </row>
    <row r="206" spans="1:9" ht="11.25" customHeight="1">
      <c r="A206" s="2114" t="s">
        <v>2297</v>
      </c>
      <c r="B206" s="2114" t="s">
        <v>16</v>
      </c>
      <c r="C206" s="2114" t="s">
        <v>2647</v>
      </c>
      <c r="D206" s="2114" t="s">
        <v>2648</v>
      </c>
      <c r="E206" s="2114" t="s">
        <v>2649</v>
      </c>
      <c r="F206" s="2114" t="s">
        <v>2324</v>
      </c>
      <c r="G206" s="2114" t="s">
        <v>2650</v>
      </c>
      <c r="H206" s="2114" t="s">
        <v>22</v>
      </c>
      <c r="I206" s="2114" t="s">
        <v>891</v>
      </c>
    </row>
    <row r="207" spans="1:9" ht="11.25" customHeight="1">
      <c r="A207" s="2114" t="s">
        <v>2297</v>
      </c>
      <c r="B207" s="2114" t="s">
        <v>16</v>
      </c>
      <c r="C207" s="2114" t="s">
        <v>2658</v>
      </c>
      <c r="D207" s="2114" t="s">
        <v>2659</v>
      </c>
      <c r="E207" s="2114" t="s">
        <v>2660</v>
      </c>
      <c r="F207" s="2114" t="s">
        <v>2388</v>
      </c>
      <c r="G207" s="2114" t="s">
        <v>22</v>
      </c>
      <c r="H207" s="2114" t="s">
        <v>22</v>
      </c>
      <c r="I207" s="2114" t="s">
        <v>891</v>
      </c>
    </row>
    <row r="208" spans="1:9" ht="11.25" customHeight="1">
      <c r="A208" s="2114" t="s">
        <v>2297</v>
      </c>
      <c r="B208" s="2114" t="s">
        <v>16</v>
      </c>
      <c r="C208" s="2114" t="s">
        <v>2678</v>
      </c>
      <c r="D208" s="2114" t="s">
        <v>2679</v>
      </c>
      <c r="E208" s="2114" t="s">
        <v>2680</v>
      </c>
      <c r="F208" s="2114" t="s">
        <v>2316</v>
      </c>
      <c r="G208" s="2114" t="s">
        <v>22</v>
      </c>
      <c r="H208" s="2114" t="s">
        <v>22</v>
      </c>
      <c r="I208" s="2114" t="s">
        <v>891</v>
      </c>
    </row>
    <row r="209" spans="1:9" ht="11.25" customHeight="1">
      <c r="A209" s="2114" t="s">
        <v>2297</v>
      </c>
      <c r="B209" s="2114" t="s">
        <v>16</v>
      </c>
      <c r="C209" s="2114" t="s">
        <v>2681</v>
      </c>
      <c r="D209" s="2114" t="s">
        <v>2682</v>
      </c>
      <c r="E209" s="2114" t="s">
        <v>2683</v>
      </c>
      <c r="F209" s="2114" t="s">
        <v>2316</v>
      </c>
      <c r="G209" s="2114" t="s">
        <v>22</v>
      </c>
      <c r="H209" s="2114" t="s">
        <v>22</v>
      </c>
      <c r="I209" s="2114" t="s">
        <v>891</v>
      </c>
    </row>
    <row r="210" spans="1:9" ht="11.25" customHeight="1">
      <c r="A210" s="2114" t="s">
        <v>2297</v>
      </c>
      <c r="B210" s="2114" t="s">
        <v>16</v>
      </c>
      <c r="C210" s="2114" t="s">
        <v>2713</v>
      </c>
      <c r="D210" s="2114" t="s">
        <v>2714</v>
      </c>
      <c r="E210" s="2114" t="s">
        <v>2715</v>
      </c>
      <c r="F210" s="2114" t="s">
        <v>2489</v>
      </c>
      <c r="G210" s="2114" t="s">
        <v>22</v>
      </c>
      <c r="H210" s="2114" t="s">
        <v>22</v>
      </c>
      <c r="I210" s="2114" t="s">
        <v>891</v>
      </c>
    </row>
    <row r="211" spans="1:9" ht="11.25" customHeight="1">
      <c r="A211" s="2114" t="s">
        <v>2297</v>
      </c>
      <c r="B211" s="2114" t="s">
        <v>16</v>
      </c>
      <c r="C211" s="2114" t="s">
        <v>2716</v>
      </c>
      <c r="D211" s="2114" t="s">
        <v>2717</v>
      </c>
      <c r="E211" s="2114" t="s">
        <v>2718</v>
      </c>
      <c r="F211" s="2114" t="s">
        <v>2719</v>
      </c>
      <c r="G211" s="2114" t="s">
        <v>22</v>
      </c>
      <c r="H211" s="2114" t="s">
        <v>22</v>
      </c>
      <c r="I211" s="2114" t="s">
        <v>891</v>
      </c>
    </row>
    <row r="212" spans="1:9" ht="11.25" customHeight="1">
      <c r="A212" s="2114" t="s">
        <v>2297</v>
      </c>
      <c r="B212" s="2114" t="s">
        <v>16</v>
      </c>
      <c r="C212" s="2114" t="s">
        <v>2724</v>
      </c>
      <c r="D212" s="2114" t="s">
        <v>2725</v>
      </c>
      <c r="E212" s="2114" t="s">
        <v>2726</v>
      </c>
      <c r="F212" s="2114" t="s">
        <v>2324</v>
      </c>
      <c r="G212" s="2114" t="s">
        <v>22</v>
      </c>
      <c r="H212" s="2114" t="s">
        <v>22</v>
      </c>
      <c r="I212" s="2114" t="s">
        <v>891</v>
      </c>
    </row>
    <row r="213" spans="1:9" ht="11.25" customHeight="1">
      <c r="A213" s="2114" t="s">
        <v>2297</v>
      </c>
      <c r="B213" s="2114" t="s">
        <v>16</v>
      </c>
      <c r="C213" s="2114" t="s">
        <v>2747</v>
      </c>
      <c r="D213" s="2114" t="s">
        <v>2748</v>
      </c>
      <c r="E213" s="2114" t="s">
        <v>2749</v>
      </c>
      <c r="F213" s="2114" t="s">
        <v>2523</v>
      </c>
      <c r="G213" s="2114" t="s">
        <v>22</v>
      </c>
      <c r="H213" s="2114" t="s">
        <v>22</v>
      </c>
      <c r="I213" s="2114" t="s">
        <v>891</v>
      </c>
    </row>
    <row r="214" spans="1:9" ht="11.25" customHeight="1">
      <c r="A214" s="2114" t="s">
        <v>2297</v>
      </c>
      <c r="B214" s="2114" t="s">
        <v>16</v>
      </c>
      <c r="C214" s="2114" t="s">
        <v>2756</v>
      </c>
      <c r="D214" s="2114" t="s">
        <v>2757</v>
      </c>
      <c r="E214" s="2114" t="s">
        <v>2758</v>
      </c>
      <c r="F214" s="2114" t="s">
        <v>2388</v>
      </c>
      <c r="G214" s="2114" t="s">
        <v>22</v>
      </c>
      <c r="H214" s="2114" t="s">
        <v>22</v>
      </c>
      <c r="I214" s="2114" t="s">
        <v>891</v>
      </c>
    </row>
    <row r="215" spans="1:9" ht="11.25" customHeight="1">
      <c r="A215" s="2114" t="s">
        <v>2297</v>
      </c>
      <c r="B215" s="2114" t="s">
        <v>16</v>
      </c>
      <c r="C215" s="2114" t="s">
        <v>2798</v>
      </c>
      <c r="D215" s="2114" t="s">
        <v>2799</v>
      </c>
      <c r="E215" s="2114" t="s">
        <v>2800</v>
      </c>
      <c r="F215" s="2114" t="s">
        <v>2320</v>
      </c>
      <c r="G215" s="2114" t="s">
        <v>22</v>
      </c>
      <c r="H215" s="2114" t="s">
        <v>22</v>
      </c>
      <c r="I215" s="2114" t="s">
        <v>891</v>
      </c>
    </row>
    <row r="216" spans="1:9" ht="11.25" customHeight="1">
      <c r="A216" s="2114" t="s">
        <v>2297</v>
      </c>
      <c r="B216" s="2114" t="s">
        <v>16</v>
      </c>
      <c r="C216" s="2114" t="s">
        <v>2805</v>
      </c>
      <c r="D216" s="2114" t="s">
        <v>2806</v>
      </c>
      <c r="E216" s="2114" t="s">
        <v>2807</v>
      </c>
      <c r="F216" s="2114" t="s">
        <v>52</v>
      </c>
      <c r="G216" s="2114" t="s">
        <v>22</v>
      </c>
      <c r="H216" s="2114" t="s">
        <v>22</v>
      </c>
      <c r="I216" s="2114" t="s">
        <v>891</v>
      </c>
    </row>
    <row r="217" spans="1:9" ht="11.25" customHeight="1">
      <c r="A217" s="2114" t="s">
        <v>2297</v>
      </c>
      <c r="B217" s="2114" t="s">
        <v>16</v>
      </c>
      <c r="C217" s="2114" t="s">
        <v>2808</v>
      </c>
      <c r="D217" s="2114" t="s">
        <v>2809</v>
      </c>
      <c r="E217" s="2114" t="s">
        <v>2810</v>
      </c>
      <c r="F217" s="2114" t="s">
        <v>2719</v>
      </c>
      <c r="G217" s="2114" t="s">
        <v>22</v>
      </c>
      <c r="H217" s="2114" t="s">
        <v>22</v>
      </c>
      <c r="I217" s="2114" t="s">
        <v>891</v>
      </c>
    </row>
    <row r="218" spans="1:9" ht="11.25" customHeight="1">
      <c r="A218" s="2114" t="s">
        <v>2297</v>
      </c>
      <c r="B218" s="2114" t="s">
        <v>16</v>
      </c>
      <c r="C218" s="2114" t="s">
        <v>2820</v>
      </c>
      <c r="D218" s="2114" t="s">
        <v>2821</v>
      </c>
      <c r="E218" s="2114" t="s">
        <v>2822</v>
      </c>
      <c r="F218" s="2114" t="s">
        <v>2446</v>
      </c>
      <c r="G218" s="2114" t="s">
        <v>22</v>
      </c>
      <c r="H218" s="2114" t="s">
        <v>22</v>
      </c>
      <c r="I218" s="2114" t="s">
        <v>891</v>
      </c>
    </row>
    <row r="219" spans="1:9" ht="11.25" customHeight="1">
      <c r="A219" s="2114" t="s">
        <v>2297</v>
      </c>
      <c r="B219" s="2114" t="s">
        <v>16</v>
      </c>
      <c r="C219" s="2114" t="s">
        <v>13</v>
      </c>
      <c r="D219" s="2114" t="s">
        <v>47</v>
      </c>
      <c r="E219" s="2114" t="s">
        <v>50</v>
      </c>
      <c r="F219" s="2114" t="s">
        <v>52</v>
      </c>
      <c r="G219" s="2114" t="s">
        <v>22</v>
      </c>
      <c r="H219" s="2114" t="s">
        <v>22</v>
      </c>
      <c r="I219" s="2114" t="s">
        <v>891</v>
      </c>
    </row>
    <row r="220" spans="1:9" ht="11.25" customHeight="1">
      <c r="A220" s="2114" t="s">
        <v>2297</v>
      </c>
      <c r="B220" s="2114" t="s">
        <v>16</v>
      </c>
      <c r="C220" s="2114" t="s">
        <v>2829</v>
      </c>
      <c r="D220" s="2114" t="s">
        <v>2830</v>
      </c>
      <c r="E220" s="2114" t="s">
        <v>2831</v>
      </c>
      <c r="F220" s="2114" t="s">
        <v>2309</v>
      </c>
      <c r="G220" s="2114" t="s">
        <v>22</v>
      </c>
      <c r="H220" s="2114" t="s">
        <v>22</v>
      </c>
      <c r="I220" s="2114" t="s">
        <v>891</v>
      </c>
    </row>
    <row r="221" spans="1:9" ht="11.25" customHeight="1">
      <c r="A221" s="2114" t="s">
        <v>2297</v>
      </c>
      <c r="B221" s="2114" t="s">
        <v>16</v>
      </c>
      <c r="C221" s="2114" t="s">
        <v>2832</v>
      </c>
      <c r="D221" s="2114" t="s">
        <v>2833</v>
      </c>
      <c r="E221" s="2114" t="s">
        <v>2834</v>
      </c>
      <c r="F221" s="2114" t="s">
        <v>2489</v>
      </c>
      <c r="G221" s="2114" t="s">
        <v>22</v>
      </c>
      <c r="H221" s="2114" t="s">
        <v>22</v>
      </c>
      <c r="I221" s="2114" t="s">
        <v>891</v>
      </c>
    </row>
    <row r="222" spans="1:9" ht="11.25" customHeight="1">
      <c r="A222" s="2114" t="s">
        <v>2297</v>
      </c>
      <c r="B222" s="2114" t="s">
        <v>16</v>
      </c>
      <c r="C222" s="2114" t="s">
        <v>2844</v>
      </c>
      <c r="D222" s="2114" t="s">
        <v>2845</v>
      </c>
      <c r="E222" s="2114" t="s">
        <v>2846</v>
      </c>
      <c r="F222" s="2114" t="s">
        <v>2366</v>
      </c>
      <c r="G222" s="2114" t="s">
        <v>22</v>
      </c>
      <c r="H222" s="2114" t="s">
        <v>22</v>
      </c>
      <c r="I222" s="2114" t="s">
        <v>891</v>
      </c>
    </row>
    <row r="223" spans="1:9" ht="11.25" customHeight="1">
      <c r="A223" s="2114" t="s">
        <v>2297</v>
      </c>
      <c r="B223" s="2114" t="s">
        <v>16</v>
      </c>
      <c r="C223" s="2114" t="s">
        <v>2853</v>
      </c>
      <c r="D223" s="2114" t="s">
        <v>2854</v>
      </c>
      <c r="E223" s="2114" t="s">
        <v>2855</v>
      </c>
      <c r="F223" s="2114" t="s">
        <v>2435</v>
      </c>
      <c r="G223" s="2114" t="s">
        <v>22</v>
      </c>
      <c r="H223" s="2114" t="s">
        <v>22</v>
      </c>
      <c r="I223" s="2114" t="s">
        <v>891</v>
      </c>
    </row>
    <row r="224" spans="1:9" ht="11.25" customHeight="1">
      <c r="A224" s="2114" t="s">
        <v>2297</v>
      </c>
      <c r="B224" s="2114" t="s">
        <v>16</v>
      </c>
      <c r="C224" s="2114" t="s">
        <v>2859</v>
      </c>
      <c r="D224" s="2114" t="s">
        <v>2860</v>
      </c>
      <c r="E224" s="2114" t="s">
        <v>2861</v>
      </c>
      <c r="F224" s="2114" t="s">
        <v>2862</v>
      </c>
      <c r="G224" s="2114" t="s">
        <v>22</v>
      </c>
      <c r="H224" s="2114" t="s">
        <v>22</v>
      </c>
      <c r="I224" s="2114" t="s">
        <v>891</v>
      </c>
    </row>
    <row r="225" spans="1:9" ht="11.25" customHeight="1">
      <c r="A225" s="2114" t="s">
        <v>2297</v>
      </c>
      <c r="B225" s="2114" t="s">
        <v>16</v>
      </c>
      <c r="C225" s="2114" t="s">
        <v>2877</v>
      </c>
      <c r="D225" s="2114" t="s">
        <v>2878</v>
      </c>
      <c r="E225" s="2114" t="s">
        <v>2861</v>
      </c>
      <c r="F225" s="2114" t="s">
        <v>2506</v>
      </c>
      <c r="G225" s="2114" t="s">
        <v>2879</v>
      </c>
      <c r="H225" s="2114" t="s">
        <v>22</v>
      </c>
      <c r="I225" s="2114" t="s">
        <v>891</v>
      </c>
    </row>
    <row r="226" spans="1:9" ht="11.25" customHeight="1">
      <c r="A226" s="2114" t="s">
        <v>2297</v>
      </c>
      <c r="B226" s="2114" t="s">
        <v>16</v>
      </c>
      <c r="C226" s="2114" t="s">
        <v>2880</v>
      </c>
      <c r="D226" s="2114" t="s">
        <v>2881</v>
      </c>
      <c r="E226" s="2114" t="s">
        <v>2861</v>
      </c>
      <c r="F226" s="2114" t="s">
        <v>2882</v>
      </c>
      <c r="G226" s="2114" t="s">
        <v>22</v>
      </c>
      <c r="H226" s="2114" t="s">
        <v>22</v>
      </c>
      <c r="I226" s="2114" t="s">
        <v>891</v>
      </c>
    </row>
    <row r="227" spans="1:9" ht="11.25" customHeight="1">
      <c r="A227" s="2114" t="s">
        <v>2297</v>
      </c>
      <c r="B227" s="2114" t="s">
        <v>16</v>
      </c>
      <c r="C227" s="2114" t="s">
        <v>2306</v>
      </c>
      <c r="D227" s="2114" t="s">
        <v>2307</v>
      </c>
      <c r="E227" s="2114" t="s">
        <v>2308</v>
      </c>
      <c r="F227" s="2114" t="s">
        <v>2309</v>
      </c>
      <c r="G227" s="2114" t="s">
        <v>22</v>
      </c>
      <c r="H227" s="2114" t="s">
        <v>22</v>
      </c>
      <c r="I227" s="2114" t="s">
        <v>851</v>
      </c>
    </row>
    <row r="228" spans="1:9" ht="11.25" customHeight="1">
      <c r="A228" s="2114" t="s">
        <v>2297</v>
      </c>
      <c r="B228" s="2114" t="s">
        <v>16</v>
      </c>
      <c r="C228" s="2114" t="s">
        <v>2313</v>
      </c>
      <c r="D228" s="2114" t="s">
        <v>2314</v>
      </c>
      <c r="E228" s="2114" t="s">
        <v>2315</v>
      </c>
      <c r="F228" s="2114" t="s">
        <v>2316</v>
      </c>
      <c r="G228" s="2114" t="s">
        <v>22</v>
      </c>
      <c r="H228" s="2114" t="s">
        <v>22</v>
      </c>
      <c r="I228" s="2114" t="s">
        <v>851</v>
      </c>
    </row>
    <row r="229" spans="1:9" ht="11.25" customHeight="1">
      <c r="A229" s="2114" t="s">
        <v>2297</v>
      </c>
      <c r="B229" s="2114" t="s">
        <v>16</v>
      </c>
      <c r="C229" s="2114" t="s">
        <v>2325</v>
      </c>
      <c r="D229" s="2114" t="s">
        <v>2326</v>
      </c>
      <c r="E229" s="2114" t="s">
        <v>2327</v>
      </c>
      <c r="F229" s="2114" t="s">
        <v>2328</v>
      </c>
      <c r="G229" s="2114" t="s">
        <v>22</v>
      </c>
      <c r="H229" s="2114" t="s">
        <v>22</v>
      </c>
      <c r="I229" s="2114" t="s">
        <v>851</v>
      </c>
    </row>
    <row r="230" spans="1:9" ht="11.25" customHeight="1">
      <c r="A230" s="2114" t="s">
        <v>2297</v>
      </c>
      <c r="B230" s="2114" t="s">
        <v>16</v>
      </c>
      <c r="C230" s="2114" t="s">
        <v>2888</v>
      </c>
      <c r="D230" s="2114" t="s">
        <v>2889</v>
      </c>
      <c r="E230" s="2114" t="s">
        <v>2890</v>
      </c>
      <c r="F230" s="2114" t="s">
        <v>2301</v>
      </c>
      <c r="G230" s="2114" t="s">
        <v>22</v>
      </c>
      <c r="H230" s="2114" t="s">
        <v>22</v>
      </c>
      <c r="I230" s="2114" t="s">
        <v>851</v>
      </c>
    </row>
    <row r="231" spans="1:9" ht="11.25" customHeight="1">
      <c r="A231" s="2114" t="s">
        <v>2297</v>
      </c>
      <c r="B231" s="2114" t="s">
        <v>16</v>
      </c>
      <c r="C231" s="2114" t="s">
        <v>2332</v>
      </c>
      <c r="D231" s="2114" t="s">
        <v>2333</v>
      </c>
      <c r="E231" s="2114" t="s">
        <v>2334</v>
      </c>
      <c r="F231" s="2114" t="s">
        <v>2335</v>
      </c>
      <c r="G231" s="2114" t="s">
        <v>2336</v>
      </c>
      <c r="H231" s="2114" t="s">
        <v>22</v>
      </c>
      <c r="I231" s="2114" t="s">
        <v>851</v>
      </c>
    </row>
    <row r="232" spans="1:9" ht="11.25" customHeight="1">
      <c r="A232" s="2114" t="s">
        <v>2297</v>
      </c>
      <c r="B232" s="2114" t="s">
        <v>16</v>
      </c>
      <c r="C232" s="2114" t="s">
        <v>2337</v>
      </c>
      <c r="D232" s="2114" t="s">
        <v>2333</v>
      </c>
      <c r="E232" s="2114" t="s">
        <v>2334</v>
      </c>
      <c r="F232" s="2114" t="s">
        <v>2338</v>
      </c>
      <c r="G232" s="2114" t="s">
        <v>22</v>
      </c>
      <c r="H232" s="2114" t="s">
        <v>22</v>
      </c>
      <c r="I232" s="2114" t="s">
        <v>851</v>
      </c>
    </row>
    <row r="233" spans="1:9" ht="11.25" customHeight="1">
      <c r="A233" s="2114" t="s">
        <v>2297</v>
      </c>
      <c r="B233" s="2114" t="s">
        <v>16</v>
      </c>
      <c r="C233" s="2114" t="s">
        <v>2360</v>
      </c>
      <c r="D233" s="2114" t="s">
        <v>2361</v>
      </c>
      <c r="E233" s="2114" t="s">
        <v>2362</v>
      </c>
      <c r="F233" s="2114" t="s">
        <v>2309</v>
      </c>
      <c r="G233" s="2114" t="s">
        <v>22</v>
      </c>
      <c r="H233" s="2114" t="s">
        <v>22</v>
      </c>
      <c r="I233" s="2114" t="s">
        <v>851</v>
      </c>
    </row>
    <row r="234" spans="1:9" ht="11.25" customHeight="1">
      <c r="A234" s="2114" t="s">
        <v>2297</v>
      </c>
      <c r="B234" s="2114" t="s">
        <v>16</v>
      </c>
      <c r="C234" s="2114" t="s">
        <v>2378</v>
      </c>
      <c r="D234" s="2114" t="s">
        <v>2379</v>
      </c>
      <c r="E234" s="2114" t="s">
        <v>2380</v>
      </c>
      <c r="F234" s="2114" t="s">
        <v>2377</v>
      </c>
      <c r="G234" s="2114" t="s">
        <v>22</v>
      </c>
      <c r="H234" s="2114" t="s">
        <v>22</v>
      </c>
      <c r="I234" s="2114" t="s">
        <v>851</v>
      </c>
    </row>
    <row r="235" spans="1:9" ht="11.25" customHeight="1">
      <c r="A235" s="2114" t="s">
        <v>2297</v>
      </c>
      <c r="B235" s="2114" t="s">
        <v>16</v>
      </c>
      <c r="C235" s="2114" t="s">
        <v>2389</v>
      </c>
      <c r="D235" s="2114" t="s">
        <v>2390</v>
      </c>
      <c r="E235" s="2114" t="s">
        <v>2391</v>
      </c>
      <c r="F235" s="2114" t="s">
        <v>2309</v>
      </c>
      <c r="G235" s="2114" t="s">
        <v>22</v>
      </c>
      <c r="H235" s="2114" t="s">
        <v>22</v>
      </c>
      <c r="I235" s="2114" t="s">
        <v>851</v>
      </c>
    </row>
    <row r="236" spans="1:9" ht="11.25" customHeight="1">
      <c r="A236" s="2114" t="s">
        <v>2297</v>
      </c>
      <c r="B236" s="2114" t="s">
        <v>16</v>
      </c>
      <c r="C236" s="2114" t="s">
        <v>2402</v>
      </c>
      <c r="D236" s="2114" t="s">
        <v>2403</v>
      </c>
      <c r="E236" s="2114" t="s">
        <v>2404</v>
      </c>
      <c r="F236" s="2114" t="s">
        <v>2305</v>
      </c>
      <c r="G236" s="2114" t="s">
        <v>22</v>
      </c>
      <c r="H236" s="2114" t="s">
        <v>22</v>
      </c>
      <c r="I236" s="2114" t="s">
        <v>851</v>
      </c>
    </row>
    <row r="237" spans="1:9" ht="11.25" customHeight="1">
      <c r="A237" s="2114" t="s">
        <v>2297</v>
      </c>
      <c r="B237" s="2114" t="s">
        <v>16</v>
      </c>
      <c r="C237" s="2114" t="s">
        <v>2425</v>
      </c>
      <c r="D237" s="2114" t="s">
        <v>2426</v>
      </c>
      <c r="E237" s="2114" t="s">
        <v>2427</v>
      </c>
      <c r="F237" s="2114" t="s">
        <v>2309</v>
      </c>
      <c r="G237" s="2114" t="s">
        <v>2428</v>
      </c>
      <c r="H237" s="2114" t="s">
        <v>22</v>
      </c>
      <c r="I237" s="2114" t="s">
        <v>851</v>
      </c>
    </row>
    <row r="238" spans="1:9" ht="11.25" customHeight="1">
      <c r="A238" s="2114" t="s">
        <v>2297</v>
      </c>
      <c r="B238" s="2114" t="s">
        <v>16</v>
      </c>
      <c r="C238" s="2114" t="s">
        <v>2453</v>
      </c>
      <c r="D238" s="2114" t="s">
        <v>2454</v>
      </c>
      <c r="E238" s="2114" t="s">
        <v>2334</v>
      </c>
      <c r="F238" s="2114" t="s">
        <v>2455</v>
      </c>
      <c r="G238" s="2114" t="s">
        <v>2456</v>
      </c>
      <c r="H238" s="2114" t="s">
        <v>22</v>
      </c>
      <c r="I238" s="2114" t="s">
        <v>851</v>
      </c>
    </row>
    <row r="239" spans="1:9" ht="11.25" customHeight="1">
      <c r="A239" s="2114" t="s">
        <v>2297</v>
      </c>
      <c r="B239" s="2114" t="s">
        <v>16</v>
      </c>
      <c r="C239" s="2114" t="s">
        <v>2460</v>
      </c>
      <c r="D239" s="2114" t="s">
        <v>2461</v>
      </c>
      <c r="E239" s="2114" t="s">
        <v>2462</v>
      </c>
      <c r="F239" s="2114" t="s">
        <v>2463</v>
      </c>
      <c r="G239" s="2114" t="s">
        <v>22</v>
      </c>
      <c r="H239" s="2114" t="s">
        <v>22</v>
      </c>
      <c r="I239" s="2114" t="s">
        <v>851</v>
      </c>
    </row>
    <row r="240" spans="1:9" ht="11.25" customHeight="1">
      <c r="A240" s="2114" t="s">
        <v>2297</v>
      </c>
      <c r="B240" s="2114" t="s">
        <v>16</v>
      </c>
      <c r="C240" s="2114" t="s">
        <v>2891</v>
      </c>
      <c r="D240" s="2114" t="s">
        <v>2892</v>
      </c>
      <c r="E240" s="2114" t="s">
        <v>2893</v>
      </c>
      <c r="F240" s="2114" t="s">
        <v>2309</v>
      </c>
      <c r="G240" s="2114" t="s">
        <v>22</v>
      </c>
      <c r="H240" s="2114" t="s">
        <v>22</v>
      </c>
      <c r="I240" s="2114" t="s">
        <v>851</v>
      </c>
    </row>
    <row r="241" spans="1:9" ht="11.25" customHeight="1">
      <c r="A241" s="2114" t="s">
        <v>2297</v>
      </c>
      <c r="B241" s="2114" t="s">
        <v>16</v>
      </c>
      <c r="C241" s="2114" t="s">
        <v>2480</v>
      </c>
      <c r="D241" s="2114" t="s">
        <v>2481</v>
      </c>
      <c r="E241" s="2114" t="s">
        <v>2482</v>
      </c>
      <c r="F241" s="2114" t="s">
        <v>2370</v>
      </c>
      <c r="G241" s="2114" t="s">
        <v>22</v>
      </c>
      <c r="H241" s="2114" t="s">
        <v>22</v>
      </c>
      <c r="I241" s="2114" t="s">
        <v>851</v>
      </c>
    </row>
    <row r="242" spans="1:9" ht="11.25" customHeight="1">
      <c r="A242" s="2114" t="s">
        <v>2297</v>
      </c>
      <c r="B242" s="2114" t="s">
        <v>16</v>
      </c>
      <c r="C242" s="2114" t="s">
        <v>22</v>
      </c>
      <c r="D242" s="2114" t="s">
        <v>2501</v>
      </c>
      <c r="E242" s="2114" t="s">
        <v>2502</v>
      </c>
      <c r="F242" s="2114" t="s">
        <v>2388</v>
      </c>
      <c r="G242" s="2114" t="s">
        <v>22</v>
      </c>
      <c r="H242" s="2114" t="s">
        <v>22</v>
      </c>
      <c r="I242" s="2114" t="s">
        <v>851</v>
      </c>
    </row>
    <row r="243" spans="1:9" ht="11.25" customHeight="1">
      <c r="A243" s="2114" t="s">
        <v>2297</v>
      </c>
      <c r="B243" s="2114" t="s">
        <v>16</v>
      </c>
      <c r="C243" s="2114" t="s">
        <v>2507</v>
      </c>
      <c r="D243" s="2114" t="s">
        <v>2508</v>
      </c>
      <c r="E243" s="2114" t="s">
        <v>2509</v>
      </c>
      <c r="F243" s="2114" t="s">
        <v>2510</v>
      </c>
      <c r="G243" s="2114" t="s">
        <v>22</v>
      </c>
      <c r="H243" s="2114" t="s">
        <v>22</v>
      </c>
      <c r="I243" s="2114" t="s">
        <v>851</v>
      </c>
    </row>
    <row r="244" spans="1:9" ht="11.25" customHeight="1">
      <c r="A244" s="2114" t="s">
        <v>2297</v>
      </c>
      <c r="B244" s="2114" t="s">
        <v>16</v>
      </c>
      <c r="C244" s="2114" t="s">
        <v>2557</v>
      </c>
      <c r="D244" s="2114" t="s">
        <v>2558</v>
      </c>
      <c r="E244" s="2114" t="s">
        <v>2559</v>
      </c>
      <c r="F244" s="2114" t="s">
        <v>2560</v>
      </c>
      <c r="G244" s="2114" t="s">
        <v>2561</v>
      </c>
      <c r="H244" s="2114" t="s">
        <v>22</v>
      </c>
      <c r="I244" s="2114" t="s">
        <v>851</v>
      </c>
    </row>
    <row r="245" spans="1:9" ht="11.25" customHeight="1">
      <c r="A245" s="2114" t="s">
        <v>2297</v>
      </c>
      <c r="B245" s="2114" t="s">
        <v>16</v>
      </c>
      <c r="C245" s="2114" t="s">
        <v>2894</v>
      </c>
      <c r="D245" s="2114" t="s">
        <v>2895</v>
      </c>
      <c r="E245" s="2114" t="s">
        <v>2559</v>
      </c>
      <c r="F245" s="2114" t="s">
        <v>2896</v>
      </c>
      <c r="G245" s="2114" t="s">
        <v>2897</v>
      </c>
      <c r="H245" s="2114" t="s">
        <v>22</v>
      </c>
      <c r="I245" s="2114" t="s">
        <v>851</v>
      </c>
    </row>
    <row r="246" spans="1:9" ht="11.25" customHeight="1">
      <c r="A246" s="2114" t="s">
        <v>2297</v>
      </c>
      <c r="B246" s="2114" t="s">
        <v>16</v>
      </c>
      <c r="C246" s="2114" t="s">
        <v>2898</v>
      </c>
      <c r="D246" s="2114" t="s">
        <v>2899</v>
      </c>
      <c r="E246" s="2114" t="s">
        <v>2900</v>
      </c>
      <c r="F246" s="2114" t="s">
        <v>2489</v>
      </c>
      <c r="G246" s="2114" t="s">
        <v>22</v>
      </c>
      <c r="H246" s="2114" t="s">
        <v>22</v>
      </c>
      <c r="I246" s="2114" t="s">
        <v>851</v>
      </c>
    </row>
    <row r="247" spans="1:9" ht="11.25" customHeight="1">
      <c r="A247" s="2114" t="s">
        <v>2297</v>
      </c>
      <c r="B247" s="2114" t="s">
        <v>16</v>
      </c>
      <c r="C247" s="2114" t="s">
        <v>2603</v>
      </c>
      <c r="D247" s="2114" t="s">
        <v>2604</v>
      </c>
      <c r="E247" s="2114" t="s">
        <v>2605</v>
      </c>
      <c r="F247" s="2114" t="s">
        <v>2606</v>
      </c>
      <c r="G247" s="2114" t="s">
        <v>22</v>
      </c>
      <c r="H247" s="2114" t="s">
        <v>22</v>
      </c>
      <c r="I247" s="2114" t="s">
        <v>851</v>
      </c>
    </row>
    <row r="248" spans="1:9" ht="11.25" customHeight="1">
      <c r="A248" s="2114" t="s">
        <v>2297</v>
      </c>
      <c r="B248" s="2114" t="s">
        <v>16</v>
      </c>
      <c r="C248" s="2114" t="s">
        <v>2901</v>
      </c>
      <c r="D248" s="2114" t="s">
        <v>2902</v>
      </c>
      <c r="E248" s="2114" t="s">
        <v>2903</v>
      </c>
      <c r="F248" s="2114" t="s">
        <v>2493</v>
      </c>
      <c r="G248" s="2114" t="s">
        <v>22</v>
      </c>
      <c r="H248" s="2114" t="s">
        <v>22</v>
      </c>
      <c r="I248" s="2114" t="s">
        <v>851</v>
      </c>
    </row>
    <row r="249" spans="1:9" ht="11.25" customHeight="1">
      <c r="A249" s="2114" t="s">
        <v>2297</v>
      </c>
      <c r="B249" s="2114" t="s">
        <v>16</v>
      </c>
      <c r="C249" s="2114" t="s">
        <v>2904</v>
      </c>
      <c r="D249" s="2114" t="s">
        <v>2905</v>
      </c>
      <c r="E249" s="2114" t="s">
        <v>2906</v>
      </c>
      <c r="F249" s="2114" t="s">
        <v>2301</v>
      </c>
      <c r="G249" s="2114" t="s">
        <v>22</v>
      </c>
      <c r="H249" s="2114" t="s">
        <v>22</v>
      </c>
      <c r="I249" s="2114" t="s">
        <v>851</v>
      </c>
    </row>
    <row r="250" spans="1:9" ht="11.25" customHeight="1">
      <c r="A250" s="2114" t="s">
        <v>2297</v>
      </c>
      <c r="B250" s="2114" t="s">
        <v>16</v>
      </c>
      <c r="C250" s="2114" t="s">
        <v>2907</v>
      </c>
      <c r="D250" s="2114" t="s">
        <v>2908</v>
      </c>
      <c r="E250" s="2114" t="s">
        <v>2909</v>
      </c>
      <c r="F250" s="2114" t="s">
        <v>2328</v>
      </c>
      <c r="G250" s="2114" t="s">
        <v>2910</v>
      </c>
      <c r="H250" s="2114" t="s">
        <v>22</v>
      </c>
      <c r="I250" s="2114" t="s">
        <v>851</v>
      </c>
    </row>
    <row r="251" spans="1:9" ht="11.25" customHeight="1">
      <c r="A251" s="2114" t="s">
        <v>2297</v>
      </c>
      <c r="B251" s="2114" t="s">
        <v>16</v>
      </c>
      <c r="C251" s="2114" t="s">
        <v>2911</v>
      </c>
      <c r="D251" s="2114" t="s">
        <v>2912</v>
      </c>
      <c r="E251" s="2114" t="s">
        <v>2913</v>
      </c>
      <c r="F251" s="2114" t="s">
        <v>2470</v>
      </c>
      <c r="G251" s="2114" t="s">
        <v>22</v>
      </c>
      <c r="H251" s="2114" t="s">
        <v>22</v>
      </c>
      <c r="I251" s="2114" t="s">
        <v>851</v>
      </c>
    </row>
    <row r="252" spans="1:9" ht="11.25" customHeight="1">
      <c r="A252" s="2114" t="s">
        <v>2297</v>
      </c>
      <c r="B252" s="2114" t="s">
        <v>16</v>
      </c>
      <c r="C252" s="2114" t="s">
        <v>2792</v>
      </c>
      <c r="D252" s="2114" t="s">
        <v>2793</v>
      </c>
      <c r="E252" s="2114" t="s">
        <v>2794</v>
      </c>
      <c r="F252" s="2114" t="s">
        <v>2470</v>
      </c>
      <c r="G252" s="2114" t="s">
        <v>22</v>
      </c>
      <c r="H252" s="2114" t="s">
        <v>22</v>
      </c>
      <c r="I252" s="2114" t="s">
        <v>851</v>
      </c>
    </row>
    <row r="253" spans="1:9" ht="11.25" customHeight="1">
      <c r="A253" s="2114" t="s">
        <v>2297</v>
      </c>
      <c r="B253" s="2114" t="s">
        <v>16</v>
      </c>
      <c r="C253" s="2114" t="s">
        <v>2820</v>
      </c>
      <c r="D253" s="2114" t="s">
        <v>2821</v>
      </c>
      <c r="E253" s="2114" t="s">
        <v>2822</v>
      </c>
      <c r="F253" s="2114" t="s">
        <v>2446</v>
      </c>
      <c r="G253" s="2114" t="s">
        <v>22</v>
      </c>
      <c r="H253" s="2114" t="s">
        <v>22</v>
      </c>
      <c r="I253" s="2114" t="s">
        <v>851</v>
      </c>
    </row>
    <row r="254" spans="1:9" ht="11.25" customHeight="1">
      <c r="A254" s="2114" t="s">
        <v>2297</v>
      </c>
      <c r="B254" s="2114" t="s">
        <v>16</v>
      </c>
      <c r="C254" s="2114" t="s">
        <v>13</v>
      </c>
      <c r="D254" s="2114" t="s">
        <v>47</v>
      </c>
      <c r="E254" s="2114" t="s">
        <v>50</v>
      </c>
      <c r="F254" s="2114" t="s">
        <v>52</v>
      </c>
      <c r="G254" s="2114" t="s">
        <v>22</v>
      </c>
      <c r="H254" s="2114" t="s">
        <v>22</v>
      </c>
      <c r="I254" s="2114" t="s">
        <v>851</v>
      </c>
    </row>
    <row r="255" spans="1:9" ht="11.25" customHeight="1">
      <c r="A255" s="2114" t="s">
        <v>2297</v>
      </c>
      <c r="B255" s="2114" t="s">
        <v>16</v>
      </c>
      <c r="C255" s="2114" t="s">
        <v>2829</v>
      </c>
      <c r="D255" s="2114" t="s">
        <v>2830</v>
      </c>
      <c r="E255" s="2114" t="s">
        <v>2831</v>
      </c>
      <c r="F255" s="2114" t="s">
        <v>2309</v>
      </c>
      <c r="G255" s="2114" t="s">
        <v>22</v>
      </c>
      <c r="H255" s="2114" t="s">
        <v>22</v>
      </c>
      <c r="I255" s="2114" t="s">
        <v>851</v>
      </c>
    </row>
    <row r="256" spans="1:9" ht="11.25" customHeight="1">
      <c r="A256" s="2114" t="s">
        <v>2297</v>
      </c>
      <c r="B256" s="2114" t="s">
        <v>16</v>
      </c>
      <c r="C256" s="2114" t="s">
        <v>2914</v>
      </c>
      <c r="D256" s="2114" t="s">
        <v>2915</v>
      </c>
      <c r="E256" s="2114" t="s">
        <v>2916</v>
      </c>
      <c r="F256" s="2114" t="s">
        <v>2370</v>
      </c>
      <c r="G256" s="2114" t="s">
        <v>22</v>
      </c>
      <c r="H256" s="2114" t="s">
        <v>22</v>
      </c>
      <c r="I256" s="2114" t="s">
        <v>851</v>
      </c>
    </row>
    <row r="257" spans="1:9" ht="11.25" customHeight="1">
      <c r="A257" s="2114" t="s">
        <v>2297</v>
      </c>
      <c r="B257" s="2114" t="s">
        <v>16</v>
      </c>
      <c r="C257" s="2114" t="s">
        <v>2838</v>
      </c>
      <c r="D257" s="2114" t="s">
        <v>2839</v>
      </c>
      <c r="E257" s="2114" t="s">
        <v>2840</v>
      </c>
      <c r="F257" s="2114" t="s">
        <v>2377</v>
      </c>
      <c r="G257" s="2114" t="s">
        <v>22</v>
      </c>
      <c r="H257" s="2114" t="s">
        <v>22</v>
      </c>
      <c r="I257" s="2114" t="s">
        <v>851</v>
      </c>
    </row>
    <row r="258" spans="1:9" ht="11.25" customHeight="1">
      <c r="A258" s="2114" t="s">
        <v>2297</v>
      </c>
      <c r="B258" s="2114" t="s">
        <v>16</v>
      </c>
      <c r="C258" s="2114" t="s">
        <v>2917</v>
      </c>
      <c r="D258" s="2114" t="s">
        <v>2918</v>
      </c>
      <c r="E258" s="2114" t="s">
        <v>2919</v>
      </c>
      <c r="F258" s="2114" t="s">
        <v>2920</v>
      </c>
      <c r="G258" s="2114" t="s">
        <v>22</v>
      </c>
      <c r="H258" s="2114" t="s">
        <v>22</v>
      </c>
      <c r="I258" s="2114" t="s">
        <v>851</v>
      </c>
    </row>
    <row r="259" spans="1:9" ht="11.25" customHeight="1">
      <c r="A259" s="2114" t="s">
        <v>2297</v>
      </c>
      <c r="B259" s="2114" t="s">
        <v>16</v>
      </c>
      <c r="C259" s="2114" t="s">
        <v>2877</v>
      </c>
      <c r="D259" s="2114" t="s">
        <v>2878</v>
      </c>
      <c r="E259" s="2114" t="s">
        <v>2861</v>
      </c>
      <c r="F259" s="2114" t="s">
        <v>2506</v>
      </c>
      <c r="G259" s="2114" t="s">
        <v>2879</v>
      </c>
      <c r="H259" s="2114" t="s">
        <v>22</v>
      </c>
      <c r="I259" s="2114" t="s">
        <v>851</v>
      </c>
    </row>
    <row r="260" spans="1:9" ht="11.25" customHeight="1">
      <c r="A260" s="2114" t="s">
        <v>2297</v>
      </c>
      <c r="B260" s="2114" t="s">
        <v>16</v>
      </c>
      <c r="C260" s="2114" t="s">
        <v>2880</v>
      </c>
      <c r="D260" s="2114" t="s">
        <v>2881</v>
      </c>
      <c r="E260" s="2114" t="s">
        <v>2861</v>
      </c>
      <c r="F260" s="2114" t="s">
        <v>2882</v>
      </c>
      <c r="G260" s="2114" t="s">
        <v>22</v>
      </c>
      <c r="H260" s="2114" t="s">
        <v>22</v>
      </c>
      <c r="I260" s="2114" t="s">
        <v>851</v>
      </c>
    </row>
    <row r="261" spans="1:9" ht="11.25" customHeight="1">
      <c r="A261" s="2114" t="s">
        <v>2297</v>
      </c>
      <c r="B261" s="2114" t="s">
        <v>16</v>
      </c>
      <c r="C261" s="2114" t="s">
        <v>2306</v>
      </c>
      <c r="D261" s="2114" t="s">
        <v>2307</v>
      </c>
      <c r="E261" s="2114" t="s">
        <v>2308</v>
      </c>
      <c r="F261" s="2114" t="s">
        <v>2309</v>
      </c>
      <c r="G261" s="2114" t="s">
        <v>22</v>
      </c>
      <c r="H261" s="2114" t="s">
        <v>22</v>
      </c>
      <c r="I261" s="2114" t="s">
        <v>904</v>
      </c>
    </row>
    <row r="262" spans="1:9" ht="11.25" customHeight="1">
      <c r="A262" s="2114" t="s">
        <v>2297</v>
      </c>
      <c r="B262" s="2114" t="s">
        <v>16</v>
      </c>
      <c r="C262" s="2114" t="s">
        <v>2313</v>
      </c>
      <c r="D262" s="2114" t="s">
        <v>2314</v>
      </c>
      <c r="E262" s="2114" t="s">
        <v>2315</v>
      </c>
      <c r="F262" s="2114" t="s">
        <v>2316</v>
      </c>
      <c r="G262" s="2114" t="s">
        <v>22</v>
      </c>
      <c r="H262" s="2114" t="s">
        <v>22</v>
      </c>
      <c r="I262" s="2114" t="s">
        <v>904</v>
      </c>
    </row>
    <row r="263" spans="1:9" ht="11.25" customHeight="1">
      <c r="A263" s="2114" t="s">
        <v>2297</v>
      </c>
      <c r="B263" s="2114" t="s">
        <v>16</v>
      </c>
      <c r="C263" s="2114" t="s">
        <v>2325</v>
      </c>
      <c r="D263" s="2114" t="s">
        <v>2326</v>
      </c>
      <c r="E263" s="2114" t="s">
        <v>2327</v>
      </c>
      <c r="F263" s="2114" t="s">
        <v>2328</v>
      </c>
      <c r="G263" s="2114" t="s">
        <v>22</v>
      </c>
      <c r="H263" s="2114" t="s">
        <v>22</v>
      </c>
      <c r="I263" s="2114" t="s">
        <v>904</v>
      </c>
    </row>
    <row r="264" spans="1:9" ht="11.25" customHeight="1">
      <c r="A264" s="2114" t="s">
        <v>2297</v>
      </c>
      <c r="B264" s="2114" t="s">
        <v>16</v>
      </c>
      <c r="C264" s="2114" t="s">
        <v>2888</v>
      </c>
      <c r="D264" s="2114" t="s">
        <v>2889</v>
      </c>
      <c r="E264" s="2114" t="s">
        <v>2890</v>
      </c>
      <c r="F264" s="2114" t="s">
        <v>2301</v>
      </c>
      <c r="G264" s="2114" t="s">
        <v>22</v>
      </c>
      <c r="H264" s="2114" t="s">
        <v>22</v>
      </c>
      <c r="I264" s="2114" t="s">
        <v>904</v>
      </c>
    </row>
    <row r="265" spans="1:9" ht="11.25" customHeight="1">
      <c r="A265" s="2114" t="s">
        <v>2297</v>
      </c>
      <c r="B265" s="2114" t="s">
        <v>16</v>
      </c>
      <c r="C265" s="2114" t="s">
        <v>2332</v>
      </c>
      <c r="D265" s="2114" t="s">
        <v>2333</v>
      </c>
      <c r="E265" s="2114" t="s">
        <v>2334</v>
      </c>
      <c r="F265" s="2114" t="s">
        <v>2335</v>
      </c>
      <c r="G265" s="2114" t="s">
        <v>2336</v>
      </c>
      <c r="H265" s="2114" t="s">
        <v>22</v>
      </c>
      <c r="I265" s="2114" t="s">
        <v>904</v>
      </c>
    </row>
    <row r="266" spans="1:9" ht="11.25" customHeight="1">
      <c r="A266" s="2114" t="s">
        <v>2297</v>
      </c>
      <c r="B266" s="2114" t="s">
        <v>16</v>
      </c>
      <c r="C266" s="2114" t="s">
        <v>2337</v>
      </c>
      <c r="D266" s="2114" t="s">
        <v>2333</v>
      </c>
      <c r="E266" s="2114" t="s">
        <v>2334</v>
      </c>
      <c r="F266" s="2114" t="s">
        <v>2338</v>
      </c>
      <c r="G266" s="2114" t="s">
        <v>22</v>
      </c>
      <c r="H266" s="2114" t="s">
        <v>22</v>
      </c>
      <c r="I266" s="2114" t="s">
        <v>904</v>
      </c>
    </row>
    <row r="267" spans="1:9" ht="11.25" customHeight="1">
      <c r="A267" s="2114" t="s">
        <v>2297</v>
      </c>
      <c r="B267" s="2114" t="s">
        <v>16</v>
      </c>
      <c r="C267" s="2114" t="s">
        <v>2360</v>
      </c>
      <c r="D267" s="2114" t="s">
        <v>2361</v>
      </c>
      <c r="E267" s="2114" t="s">
        <v>2362</v>
      </c>
      <c r="F267" s="2114" t="s">
        <v>2309</v>
      </c>
      <c r="G267" s="2114" t="s">
        <v>22</v>
      </c>
      <c r="H267" s="2114" t="s">
        <v>22</v>
      </c>
      <c r="I267" s="2114" t="s">
        <v>904</v>
      </c>
    </row>
    <row r="268" spans="1:9" ht="11.25" customHeight="1">
      <c r="A268" s="2114" t="s">
        <v>2297</v>
      </c>
      <c r="B268" s="2114" t="s">
        <v>16</v>
      </c>
      <c r="C268" s="2114" t="s">
        <v>2378</v>
      </c>
      <c r="D268" s="2114" t="s">
        <v>2379</v>
      </c>
      <c r="E268" s="2114" t="s">
        <v>2380</v>
      </c>
      <c r="F268" s="2114" t="s">
        <v>2377</v>
      </c>
      <c r="G268" s="2114" t="s">
        <v>22</v>
      </c>
      <c r="H268" s="2114" t="s">
        <v>22</v>
      </c>
      <c r="I268" s="2114" t="s">
        <v>904</v>
      </c>
    </row>
    <row r="269" spans="1:9" ht="11.25" customHeight="1">
      <c r="A269" s="2114" t="s">
        <v>2297</v>
      </c>
      <c r="B269" s="2114" t="s">
        <v>16</v>
      </c>
      <c r="C269" s="2114" t="s">
        <v>2389</v>
      </c>
      <c r="D269" s="2114" t="s">
        <v>2390</v>
      </c>
      <c r="E269" s="2114" t="s">
        <v>2391</v>
      </c>
      <c r="F269" s="2114" t="s">
        <v>2309</v>
      </c>
      <c r="G269" s="2114" t="s">
        <v>22</v>
      </c>
      <c r="H269" s="2114" t="s">
        <v>22</v>
      </c>
      <c r="I269" s="2114" t="s">
        <v>904</v>
      </c>
    </row>
    <row r="270" spans="1:9" ht="11.25" customHeight="1">
      <c r="A270" s="2114" t="s">
        <v>2297</v>
      </c>
      <c r="B270" s="2114" t="s">
        <v>16</v>
      </c>
      <c r="C270" s="2114" t="s">
        <v>2402</v>
      </c>
      <c r="D270" s="2114" t="s">
        <v>2403</v>
      </c>
      <c r="E270" s="2114" t="s">
        <v>2404</v>
      </c>
      <c r="F270" s="2114" t="s">
        <v>2305</v>
      </c>
      <c r="G270" s="2114" t="s">
        <v>22</v>
      </c>
      <c r="H270" s="2114" t="s">
        <v>22</v>
      </c>
      <c r="I270" s="2114" t="s">
        <v>904</v>
      </c>
    </row>
    <row r="271" spans="1:9" ht="11.25" customHeight="1">
      <c r="A271" s="2114" t="s">
        <v>2297</v>
      </c>
      <c r="B271" s="2114" t="s">
        <v>16</v>
      </c>
      <c r="C271" s="2114" t="s">
        <v>2425</v>
      </c>
      <c r="D271" s="2114" t="s">
        <v>2426</v>
      </c>
      <c r="E271" s="2114" t="s">
        <v>2427</v>
      </c>
      <c r="F271" s="2114" t="s">
        <v>2309</v>
      </c>
      <c r="G271" s="2114" t="s">
        <v>2428</v>
      </c>
      <c r="H271" s="2114" t="s">
        <v>22</v>
      </c>
      <c r="I271" s="2114" t="s">
        <v>904</v>
      </c>
    </row>
    <row r="272" spans="1:9" ht="11.25" customHeight="1">
      <c r="A272" s="2114" t="s">
        <v>2297</v>
      </c>
      <c r="B272" s="2114" t="s">
        <v>16</v>
      </c>
      <c r="C272" s="2114" t="s">
        <v>2921</v>
      </c>
      <c r="D272" s="2114" t="s">
        <v>2922</v>
      </c>
      <c r="E272" s="2114" t="s">
        <v>2923</v>
      </c>
      <c r="F272" s="2114" t="s">
        <v>2493</v>
      </c>
      <c r="G272" s="2114" t="s">
        <v>22</v>
      </c>
      <c r="H272" s="2114" t="s">
        <v>22</v>
      </c>
      <c r="I272" s="2114" t="s">
        <v>904</v>
      </c>
    </row>
    <row r="273" spans="1:9" ht="11.25" customHeight="1">
      <c r="A273" s="2114" t="s">
        <v>2297</v>
      </c>
      <c r="B273" s="2114" t="s">
        <v>16</v>
      </c>
      <c r="C273" s="2114" t="s">
        <v>2453</v>
      </c>
      <c r="D273" s="2114" t="s">
        <v>2454</v>
      </c>
      <c r="E273" s="2114" t="s">
        <v>2334</v>
      </c>
      <c r="F273" s="2114" t="s">
        <v>2455</v>
      </c>
      <c r="G273" s="2114" t="s">
        <v>2456</v>
      </c>
      <c r="H273" s="2114" t="s">
        <v>22</v>
      </c>
      <c r="I273" s="2114" t="s">
        <v>904</v>
      </c>
    </row>
    <row r="274" spans="1:9" ht="11.25" customHeight="1">
      <c r="A274" s="2114" t="s">
        <v>2297</v>
      </c>
      <c r="B274" s="2114" t="s">
        <v>16</v>
      </c>
      <c r="C274" s="2114" t="s">
        <v>2924</v>
      </c>
      <c r="D274" s="2114" t="s">
        <v>2925</v>
      </c>
      <c r="E274" s="2114" t="s">
        <v>2926</v>
      </c>
      <c r="F274" s="2114" t="s">
        <v>2463</v>
      </c>
      <c r="G274" s="2114" t="s">
        <v>22</v>
      </c>
      <c r="H274" s="2114" t="s">
        <v>22</v>
      </c>
      <c r="I274" s="2114" t="s">
        <v>904</v>
      </c>
    </row>
    <row r="275" spans="1:9" ht="11.25" customHeight="1">
      <c r="A275" s="2114" t="s">
        <v>2297</v>
      </c>
      <c r="B275" s="2114" t="s">
        <v>16</v>
      </c>
      <c r="C275" s="2114" t="s">
        <v>2460</v>
      </c>
      <c r="D275" s="2114" t="s">
        <v>2461</v>
      </c>
      <c r="E275" s="2114" t="s">
        <v>2462</v>
      </c>
      <c r="F275" s="2114" t="s">
        <v>2463</v>
      </c>
      <c r="G275" s="2114" t="s">
        <v>22</v>
      </c>
      <c r="H275" s="2114" t="s">
        <v>22</v>
      </c>
      <c r="I275" s="2114" t="s">
        <v>904</v>
      </c>
    </row>
    <row r="276" spans="1:9" ht="11.25" customHeight="1">
      <c r="A276" s="2114" t="s">
        <v>2297</v>
      </c>
      <c r="B276" s="2114" t="s">
        <v>16</v>
      </c>
      <c r="C276" s="2114" t="s">
        <v>2891</v>
      </c>
      <c r="D276" s="2114" t="s">
        <v>2892</v>
      </c>
      <c r="E276" s="2114" t="s">
        <v>2893</v>
      </c>
      <c r="F276" s="2114" t="s">
        <v>2309</v>
      </c>
      <c r="G276" s="2114" t="s">
        <v>22</v>
      </c>
      <c r="H276" s="2114" t="s">
        <v>22</v>
      </c>
      <c r="I276" s="2114" t="s">
        <v>904</v>
      </c>
    </row>
    <row r="277" spans="1:9" ht="11.25" customHeight="1">
      <c r="A277" s="2114" t="s">
        <v>2297</v>
      </c>
      <c r="B277" s="2114" t="s">
        <v>16</v>
      </c>
      <c r="C277" s="2114" t="s">
        <v>2480</v>
      </c>
      <c r="D277" s="2114" t="s">
        <v>2481</v>
      </c>
      <c r="E277" s="2114" t="s">
        <v>2482</v>
      </c>
      <c r="F277" s="2114" t="s">
        <v>2370</v>
      </c>
      <c r="G277" s="2114" t="s">
        <v>22</v>
      </c>
      <c r="H277" s="2114" t="s">
        <v>22</v>
      </c>
      <c r="I277" s="2114" t="s">
        <v>904</v>
      </c>
    </row>
    <row r="278" spans="1:9" ht="11.25" customHeight="1">
      <c r="A278" s="2114" t="s">
        <v>2297</v>
      </c>
      <c r="B278" s="2114" t="s">
        <v>16</v>
      </c>
      <c r="C278" s="2114" t="s">
        <v>22</v>
      </c>
      <c r="D278" s="2114" t="s">
        <v>2501</v>
      </c>
      <c r="E278" s="2114" t="s">
        <v>2502</v>
      </c>
      <c r="F278" s="2114" t="s">
        <v>2388</v>
      </c>
      <c r="G278" s="2114" t="s">
        <v>22</v>
      </c>
      <c r="H278" s="2114" t="s">
        <v>22</v>
      </c>
      <c r="I278" s="2114" t="s">
        <v>904</v>
      </c>
    </row>
    <row r="279" spans="1:9" ht="11.25" customHeight="1">
      <c r="A279" s="2114" t="s">
        <v>2297</v>
      </c>
      <c r="B279" s="2114" t="s">
        <v>16</v>
      </c>
      <c r="C279" s="2114" t="s">
        <v>2507</v>
      </c>
      <c r="D279" s="2114" t="s">
        <v>2508</v>
      </c>
      <c r="E279" s="2114" t="s">
        <v>2509</v>
      </c>
      <c r="F279" s="2114" t="s">
        <v>2510</v>
      </c>
      <c r="G279" s="2114" t="s">
        <v>22</v>
      </c>
      <c r="H279" s="2114" t="s">
        <v>22</v>
      </c>
      <c r="I279" s="2114" t="s">
        <v>904</v>
      </c>
    </row>
    <row r="280" spans="1:9" ht="11.25" customHeight="1">
      <c r="A280" s="2114" t="s">
        <v>2297</v>
      </c>
      <c r="B280" s="2114" t="s">
        <v>16</v>
      </c>
      <c r="C280" s="2114" t="s">
        <v>2557</v>
      </c>
      <c r="D280" s="2114" t="s">
        <v>2558</v>
      </c>
      <c r="E280" s="2114" t="s">
        <v>2559</v>
      </c>
      <c r="F280" s="2114" t="s">
        <v>2560</v>
      </c>
      <c r="G280" s="2114" t="s">
        <v>2561</v>
      </c>
      <c r="H280" s="2114" t="s">
        <v>22</v>
      </c>
      <c r="I280" s="2114" t="s">
        <v>904</v>
      </c>
    </row>
    <row r="281" spans="1:9" ht="11.25" customHeight="1">
      <c r="A281" s="2114" t="s">
        <v>2297</v>
      </c>
      <c r="B281" s="2114" t="s">
        <v>16</v>
      </c>
      <c r="C281" s="2114" t="s">
        <v>2894</v>
      </c>
      <c r="D281" s="2114" t="s">
        <v>2895</v>
      </c>
      <c r="E281" s="2114" t="s">
        <v>2559</v>
      </c>
      <c r="F281" s="2114" t="s">
        <v>2896</v>
      </c>
      <c r="G281" s="2114" t="s">
        <v>2897</v>
      </c>
      <c r="H281" s="2114" t="s">
        <v>22</v>
      </c>
      <c r="I281" s="2114" t="s">
        <v>904</v>
      </c>
    </row>
    <row r="282" spans="1:9" ht="11.25" customHeight="1">
      <c r="A282" s="2114" t="s">
        <v>2297</v>
      </c>
      <c r="B282" s="2114" t="s">
        <v>16</v>
      </c>
      <c r="C282" s="2114" t="s">
        <v>2898</v>
      </c>
      <c r="D282" s="2114" t="s">
        <v>2899</v>
      </c>
      <c r="E282" s="2114" t="s">
        <v>2900</v>
      </c>
      <c r="F282" s="2114" t="s">
        <v>2489</v>
      </c>
      <c r="G282" s="2114" t="s">
        <v>22</v>
      </c>
      <c r="H282" s="2114" t="s">
        <v>22</v>
      </c>
      <c r="I282" s="2114" t="s">
        <v>904</v>
      </c>
    </row>
    <row r="283" spans="1:9" ht="11.25" customHeight="1">
      <c r="A283" s="2114" t="s">
        <v>2297</v>
      </c>
      <c r="B283" s="2114" t="s">
        <v>16</v>
      </c>
      <c r="C283" s="2114" t="s">
        <v>2603</v>
      </c>
      <c r="D283" s="2114" t="s">
        <v>2604</v>
      </c>
      <c r="E283" s="2114" t="s">
        <v>2605</v>
      </c>
      <c r="F283" s="2114" t="s">
        <v>2606</v>
      </c>
      <c r="G283" s="2114" t="s">
        <v>22</v>
      </c>
      <c r="H283" s="2114" t="s">
        <v>22</v>
      </c>
      <c r="I283" s="2114" t="s">
        <v>904</v>
      </c>
    </row>
    <row r="284" spans="1:9" ht="11.25" customHeight="1">
      <c r="A284" s="2114" t="s">
        <v>2297</v>
      </c>
      <c r="B284" s="2114" t="s">
        <v>16</v>
      </c>
      <c r="C284" s="2114" t="s">
        <v>2901</v>
      </c>
      <c r="D284" s="2114" t="s">
        <v>2902</v>
      </c>
      <c r="E284" s="2114" t="s">
        <v>2903</v>
      </c>
      <c r="F284" s="2114" t="s">
        <v>2493</v>
      </c>
      <c r="G284" s="2114" t="s">
        <v>22</v>
      </c>
      <c r="H284" s="2114" t="s">
        <v>22</v>
      </c>
      <c r="I284" s="2114" t="s">
        <v>904</v>
      </c>
    </row>
    <row r="285" spans="1:9" ht="11.25" customHeight="1">
      <c r="A285" s="2114" t="s">
        <v>2297</v>
      </c>
      <c r="B285" s="2114" t="s">
        <v>16</v>
      </c>
      <c r="C285" s="2114" t="s">
        <v>2904</v>
      </c>
      <c r="D285" s="2114" t="s">
        <v>2905</v>
      </c>
      <c r="E285" s="2114" t="s">
        <v>2906</v>
      </c>
      <c r="F285" s="2114" t="s">
        <v>2301</v>
      </c>
      <c r="G285" s="2114" t="s">
        <v>22</v>
      </c>
      <c r="H285" s="2114" t="s">
        <v>22</v>
      </c>
      <c r="I285" s="2114" t="s">
        <v>904</v>
      </c>
    </row>
    <row r="286" spans="1:9" ht="11.25" customHeight="1">
      <c r="A286" s="2114" t="s">
        <v>2297</v>
      </c>
      <c r="B286" s="2114" t="s">
        <v>16</v>
      </c>
      <c r="C286" s="2114" t="s">
        <v>2927</v>
      </c>
      <c r="D286" s="2114" t="s">
        <v>2928</v>
      </c>
      <c r="E286" s="2114" t="s">
        <v>2929</v>
      </c>
      <c r="F286" s="2114" t="s">
        <v>2324</v>
      </c>
      <c r="G286" s="2114" t="s">
        <v>22</v>
      </c>
      <c r="H286" s="2114" t="s">
        <v>22</v>
      </c>
      <c r="I286" s="2114" t="s">
        <v>904</v>
      </c>
    </row>
    <row r="287" spans="1:9" ht="11.25" customHeight="1">
      <c r="A287" s="2114" t="s">
        <v>2297</v>
      </c>
      <c r="B287" s="2114" t="s">
        <v>16</v>
      </c>
      <c r="C287" s="2114" t="s">
        <v>2907</v>
      </c>
      <c r="D287" s="2114" t="s">
        <v>2908</v>
      </c>
      <c r="E287" s="2114" t="s">
        <v>2909</v>
      </c>
      <c r="F287" s="2114" t="s">
        <v>2328</v>
      </c>
      <c r="G287" s="2114" t="s">
        <v>2910</v>
      </c>
      <c r="H287" s="2114" t="s">
        <v>22</v>
      </c>
      <c r="I287" s="2114" t="s">
        <v>904</v>
      </c>
    </row>
    <row r="288" spans="1:9" ht="11.25" customHeight="1">
      <c r="A288" s="2114" t="s">
        <v>2297</v>
      </c>
      <c r="B288" s="2114" t="s">
        <v>16</v>
      </c>
      <c r="C288" s="2114" t="s">
        <v>2911</v>
      </c>
      <c r="D288" s="2114" t="s">
        <v>2912</v>
      </c>
      <c r="E288" s="2114" t="s">
        <v>2913</v>
      </c>
      <c r="F288" s="2114" t="s">
        <v>2470</v>
      </c>
      <c r="G288" s="2114" t="s">
        <v>22</v>
      </c>
      <c r="H288" s="2114" t="s">
        <v>22</v>
      </c>
      <c r="I288" s="2114" t="s">
        <v>904</v>
      </c>
    </row>
    <row r="289" spans="1:9" ht="11.25" customHeight="1">
      <c r="A289" s="2114" t="s">
        <v>2297</v>
      </c>
      <c r="B289" s="2114" t="s">
        <v>16</v>
      </c>
      <c r="C289" s="2114" t="s">
        <v>2792</v>
      </c>
      <c r="D289" s="2114" t="s">
        <v>2793</v>
      </c>
      <c r="E289" s="2114" t="s">
        <v>2794</v>
      </c>
      <c r="F289" s="2114" t="s">
        <v>2470</v>
      </c>
      <c r="G289" s="2114" t="s">
        <v>22</v>
      </c>
      <c r="H289" s="2114" t="s">
        <v>22</v>
      </c>
      <c r="I289" s="2114" t="s">
        <v>904</v>
      </c>
    </row>
    <row r="290" spans="1:9" ht="11.25" customHeight="1">
      <c r="A290" s="2114" t="s">
        <v>2297</v>
      </c>
      <c r="B290" s="2114" t="s">
        <v>16</v>
      </c>
      <c r="C290" s="2114" t="s">
        <v>13</v>
      </c>
      <c r="D290" s="2114" t="s">
        <v>47</v>
      </c>
      <c r="E290" s="2114" t="s">
        <v>50</v>
      </c>
      <c r="F290" s="2114" t="s">
        <v>52</v>
      </c>
      <c r="G290" s="2114" t="s">
        <v>22</v>
      </c>
      <c r="H290" s="2114" t="s">
        <v>22</v>
      </c>
      <c r="I290" s="2114" t="s">
        <v>904</v>
      </c>
    </row>
    <row r="291" spans="1:9" ht="11.25" customHeight="1">
      <c r="A291" s="2114" t="s">
        <v>2297</v>
      </c>
      <c r="B291" s="2114" t="s">
        <v>16</v>
      </c>
      <c r="C291" s="2114" t="s">
        <v>2829</v>
      </c>
      <c r="D291" s="2114" t="s">
        <v>2830</v>
      </c>
      <c r="E291" s="2114" t="s">
        <v>2831</v>
      </c>
      <c r="F291" s="2114" t="s">
        <v>2309</v>
      </c>
      <c r="G291" s="2114" t="s">
        <v>22</v>
      </c>
      <c r="H291" s="2114" t="s">
        <v>22</v>
      </c>
      <c r="I291" s="2114" t="s">
        <v>904</v>
      </c>
    </row>
    <row r="292" spans="1:9" ht="11.25" customHeight="1">
      <c r="A292" s="2114" t="s">
        <v>2297</v>
      </c>
      <c r="B292" s="2114" t="s">
        <v>16</v>
      </c>
      <c r="C292" s="2114" t="s">
        <v>2914</v>
      </c>
      <c r="D292" s="2114" t="s">
        <v>2915</v>
      </c>
      <c r="E292" s="2114" t="s">
        <v>2916</v>
      </c>
      <c r="F292" s="2114" t="s">
        <v>2370</v>
      </c>
      <c r="G292" s="2114" t="s">
        <v>22</v>
      </c>
      <c r="H292" s="2114" t="s">
        <v>22</v>
      </c>
      <c r="I292" s="2114" t="s">
        <v>904</v>
      </c>
    </row>
    <row r="293" spans="1:9" ht="11.25" customHeight="1">
      <c r="A293" s="2114" t="s">
        <v>2297</v>
      </c>
      <c r="B293" s="2114" t="s">
        <v>16</v>
      </c>
      <c r="C293" s="2114" t="s">
        <v>2838</v>
      </c>
      <c r="D293" s="2114" t="s">
        <v>2839</v>
      </c>
      <c r="E293" s="2114" t="s">
        <v>2840</v>
      </c>
      <c r="F293" s="2114" t="s">
        <v>2377</v>
      </c>
      <c r="G293" s="2114" t="s">
        <v>22</v>
      </c>
      <c r="H293" s="2114" t="s">
        <v>22</v>
      </c>
      <c r="I293" s="2114" t="s">
        <v>904</v>
      </c>
    </row>
    <row r="294" spans="1:9" ht="11.25" customHeight="1">
      <c r="A294" s="2114" t="s">
        <v>2297</v>
      </c>
      <c r="B294" s="2114" t="s">
        <v>16</v>
      </c>
      <c r="C294" s="2114" t="s">
        <v>2873</v>
      </c>
      <c r="D294" s="2114" t="s">
        <v>2874</v>
      </c>
      <c r="E294" s="2114" t="s">
        <v>2875</v>
      </c>
      <c r="F294" s="2114" t="s">
        <v>2876</v>
      </c>
      <c r="G294" s="2114" t="s">
        <v>22</v>
      </c>
      <c r="H294" s="2114" t="s">
        <v>22</v>
      </c>
      <c r="I294" s="2114" t="s">
        <v>904</v>
      </c>
    </row>
    <row r="295" spans="1:9" ht="11.25" customHeight="1">
      <c r="A295" s="2114" t="s">
        <v>2297</v>
      </c>
      <c r="B295" s="2114" t="s">
        <v>16</v>
      </c>
      <c r="C295" s="2114" t="s">
        <v>2877</v>
      </c>
      <c r="D295" s="2114" t="s">
        <v>2878</v>
      </c>
      <c r="E295" s="2114" t="s">
        <v>2861</v>
      </c>
      <c r="F295" s="2114" t="s">
        <v>2506</v>
      </c>
      <c r="G295" s="2114" t="s">
        <v>2879</v>
      </c>
      <c r="H295" s="2114" t="s">
        <v>22</v>
      </c>
      <c r="I295" s="2114" t="s">
        <v>904</v>
      </c>
    </row>
    <row r="296" spans="1:9" ht="11.25" customHeight="1">
      <c r="A296" s="2114" t="s">
        <v>2297</v>
      </c>
      <c r="B296" s="2114" t="s">
        <v>16</v>
      </c>
      <c r="C296" s="2114" t="s">
        <v>2880</v>
      </c>
      <c r="D296" s="2114" t="s">
        <v>2881</v>
      </c>
      <c r="E296" s="2114" t="s">
        <v>2861</v>
      </c>
      <c r="F296" s="2114" t="s">
        <v>2882</v>
      </c>
      <c r="G296" s="2114" t="s">
        <v>22</v>
      </c>
      <c r="H296" s="2114" t="s">
        <v>22</v>
      </c>
      <c r="I296" s="2114" t="s">
        <v>904</v>
      </c>
    </row>
    <row r="297" spans="1:9" ht="11.25" customHeight="1">
      <c r="A297" s="2114" t="s">
        <v>2297</v>
      </c>
      <c r="B297" s="2114" t="s">
        <v>16</v>
      </c>
      <c r="C297" s="2114" t="s">
        <v>2930</v>
      </c>
      <c r="D297" s="2114" t="s">
        <v>2931</v>
      </c>
      <c r="E297" s="2114" t="s">
        <v>2932</v>
      </c>
      <c r="F297" s="2114" t="s">
        <v>2309</v>
      </c>
      <c r="G297" s="2114" t="s">
        <v>22</v>
      </c>
      <c r="H297" s="2114" t="s">
        <v>22</v>
      </c>
      <c r="I297" s="2114" t="s">
        <v>1676</v>
      </c>
    </row>
    <row r="298" spans="1:9" ht="11.25" customHeight="1">
      <c r="A298" s="2114" t="s">
        <v>2297</v>
      </c>
      <c r="B298" s="2114" t="s">
        <v>16</v>
      </c>
      <c r="C298" s="2114" t="s">
        <v>2933</v>
      </c>
      <c r="D298" s="2114" t="s">
        <v>2934</v>
      </c>
      <c r="E298" s="2114" t="s">
        <v>2935</v>
      </c>
      <c r="F298" s="2114" t="s">
        <v>2316</v>
      </c>
      <c r="G298" s="2114" t="s">
        <v>22</v>
      </c>
      <c r="H298" s="2114" t="s">
        <v>22</v>
      </c>
      <c r="I298" s="2114" t="s">
        <v>1676</v>
      </c>
    </row>
    <row r="299" spans="1:9" ht="11.25" customHeight="1">
      <c r="A299" s="2114" t="s">
        <v>2297</v>
      </c>
      <c r="B299" s="2114" t="s">
        <v>16</v>
      </c>
      <c r="C299" s="2114" t="s">
        <v>2936</v>
      </c>
      <c r="D299" s="2114" t="s">
        <v>2937</v>
      </c>
      <c r="E299" s="2114" t="s">
        <v>2938</v>
      </c>
      <c r="F299" s="2114" t="s">
        <v>2366</v>
      </c>
      <c r="G299" s="2114" t="s">
        <v>22</v>
      </c>
      <c r="H299" s="2114" t="s">
        <v>22</v>
      </c>
      <c r="I299" s="2114" t="s">
        <v>1676</v>
      </c>
    </row>
    <row r="300" spans="1:9" ht="11.25" customHeight="1">
      <c r="A300" s="2114" t="s">
        <v>2297</v>
      </c>
      <c r="B300" s="2114" t="s">
        <v>16</v>
      </c>
      <c r="C300" s="2114" t="s">
        <v>2939</v>
      </c>
      <c r="D300" s="2114" t="s">
        <v>2940</v>
      </c>
      <c r="E300" s="2114" t="s">
        <v>2941</v>
      </c>
      <c r="F300" s="2114" t="s">
        <v>2942</v>
      </c>
      <c r="G300" s="2114" t="s">
        <v>22</v>
      </c>
      <c r="H300" s="2114" t="s">
        <v>22</v>
      </c>
      <c r="I300" s="2114" t="s">
        <v>1676</v>
      </c>
    </row>
    <row r="301" spans="1:9" ht="11.25" customHeight="1">
      <c r="A301" s="2114" t="s">
        <v>2297</v>
      </c>
      <c r="B301" s="2114" t="s">
        <v>16</v>
      </c>
      <c r="C301" s="2114" t="s">
        <v>22</v>
      </c>
      <c r="D301" s="2114" t="s">
        <v>2501</v>
      </c>
      <c r="E301" s="2114" t="s">
        <v>2502</v>
      </c>
      <c r="F301" s="2114" t="s">
        <v>2388</v>
      </c>
      <c r="G301" s="2114" t="s">
        <v>22</v>
      </c>
      <c r="H301" s="2114" t="s">
        <v>22</v>
      </c>
      <c r="I301" s="2114" t="s">
        <v>1676</v>
      </c>
    </row>
    <row r="302" spans="1:9" ht="11.25" customHeight="1">
      <c r="A302" s="2114" t="s">
        <v>2297</v>
      </c>
      <c r="B302" s="2114" t="s">
        <v>16</v>
      </c>
      <c r="C302" s="2114" t="s">
        <v>2943</v>
      </c>
      <c r="D302" s="2114" t="s">
        <v>2944</v>
      </c>
      <c r="E302" s="2114" t="s">
        <v>2945</v>
      </c>
      <c r="F302" s="2114" t="s">
        <v>2946</v>
      </c>
      <c r="G302" s="2114" t="s">
        <v>22</v>
      </c>
      <c r="H302" s="2114" t="s">
        <v>22</v>
      </c>
      <c r="I302" s="2114" t="s">
        <v>1676</v>
      </c>
    </row>
    <row r="303" spans="1:9" ht="11.25" customHeight="1">
      <c r="A303" s="2114" t="s">
        <v>2297</v>
      </c>
      <c r="B303" s="2114" t="s">
        <v>16</v>
      </c>
      <c r="C303" s="2114" t="s">
        <v>2947</v>
      </c>
      <c r="D303" s="2114" t="s">
        <v>2948</v>
      </c>
      <c r="E303" s="2114" t="s">
        <v>2949</v>
      </c>
      <c r="F303" s="2114" t="s">
        <v>2316</v>
      </c>
      <c r="G303" s="2114" t="s">
        <v>22</v>
      </c>
      <c r="H303" s="2114" t="s">
        <v>22</v>
      </c>
      <c r="I303" s="2114" t="s">
        <v>1676</v>
      </c>
    </row>
    <row r="304" spans="1:9" ht="11.25" customHeight="1">
      <c r="A304" s="2114" t="s">
        <v>2297</v>
      </c>
      <c r="B304" s="2114" t="s">
        <v>16</v>
      </c>
      <c r="C304" s="2114" t="s">
        <v>2950</v>
      </c>
      <c r="D304" s="2114" t="s">
        <v>2951</v>
      </c>
      <c r="E304" s="2114" t="s">
        <v>2952</v>
      </c>
      <c r="F304" s="2114" t="s">
        <v>2384</v>
      </c>
      <c r="G304" s="2114" t="s">
        <v>22</v>
      </c>
      <c r="H304" s="2114" t="s">
        <v>22</v>
      </c>
      <c r="I304" s="2114" t="s">
        <v>1676</v>
      </c>
    </row>
    <row r="305" spans="1:9" ht="11.25" customHeight="1">
      <c r="A305" s="2114" t="s">
        <v>2297</v>
      </c>
      <c r="B305" s="2114" t="s">
        <v>16</v>
      </c>
      <c r="C305" s="2114" t="s">
        <v>2953</v>
      </c>
      <c r="D305" s="2114" t="s">
        <v>2954</v>
      </c>
      <c r="E305" s="2114" t="s">
        <v>2955</v>
      </c>
      <c r="F305" s="2114" t="s">
        <v>2956</v>
      </c>
      <c r="G305" s="2114" t="s">
        <v>22</v>
      </c>
      <c r="H305" s="2114" t="s">
        <v>22</v>
      </c>
      <c r="I305" s="2114" t="s">
        <v>1676</v>
      </c>
    </row>
    <row r="306" spans="1:9" ht="11.25" customHeight="1">
      <c r="A306" s="2114" t="s">
        <v>2297</v>
      </c>
      <c r="B306" s="2114" t="s">
        <v>16</v>
      </c>
      <c r="C306" s="2114" t="s">
        <v>2957</v>
      </c>
      <c r="D306" s="2114" t="s">
        <v>2958</v>
      </c>
      <c r="E306" s="2114" t="s">
        <v>2959</v>
      </c>
      <c r="F306" s="2114" t="s">
        <v>2942</v>
      </c>
      <c r="G306" s="2114" t="s">
        <v>22</v>
      </c>
      <c r="H306" s="2114" t="s">
        <v>22</v>
      </c>
      <c r="I306" s="2114" t="s">
        <v>1676</v>
      </c>
    </row>
    <row r="307" spans="1:9" ht="11.25" customHeight="1">
      <c r="A307" s="2114" t="s">
        <v>2297</v>
      </c>
      <c r="B307" s="2114" t="s">
        <v>16</v>
      </c>
      <c r="C307" s="2114" t="s">
        <v>2960</v>
      </c>
      <c r="D307" s="2114" t="s">
        <v>2961</v>
      </c>
      <c r="E307" s="2114" t="s">
        <v>2962</v>
      </c>
      <c r="F307" s="2114" t="s">
        <v>2316</v>
      </c>
      <c r="G307" s="2114" t="s">
        <v>2963</v>
      </c>
      <c r="H307" s="2114" t="s">
        <v>22</v>
      </c>
      <c r="I307" s="2114" t="s">
        <v>1676</v>
      </c>
    </row>
    <row r="308" spans="1:9" ht="11.25" customHeight="1">
      <c r="A308" s="2114" t="s">
        <v>2297</v>
      </c>
      <c r="B308" s="2114" t="s">
        <v>16</v>
      </c>
      <c r="C308" s="2114" t="s">
        <v>2964</v>
      </c>
      <c r="D308" s="2114" t="s">
        <v>2965</v>
      </c>
      <c r="E308" s="2114" t="s">
        <v>2966</v>
      </c>
      <c r="F308" s="2114" t="s">
        <v>2719</v>
      </c>
      <c r="G308" s="2114" t="s">
        <v>22</v>
      </c>
      <c r="H308" s="2114" t="s">
        <v>22</v>
      </c>
      <c r="I308" s="2114" t="s">
        <v>1676</v>
      </c>
    </row>
    <row r="309" spans="1:9" ht="11.25" customHeight="1">
      <c r="A309" s="2114" t="s">
        <v>2297</v>
      </c>
      <c r="B309" s="2114" t="s">
        <v>16</v>
      </c>
      <c r="C309" s="2114" t="s">
        <v>2967</v>
      </c>
      <c r="D309" s="2114" t="s">
        <v>2968</v>
      </c>
      <c r="E309" s="2114" t="s">
        <v>2969</v>
      </c>
      <c r="F309" s="2114" t="s">
        <v>2970</v>
      </c>
      <c r="G309" s="2114" t="s">
        <v>22</v>
      </c>
      <c r="H309" s="2114" t="s">
        <v>22</v>
      </c>
      <c r="I309" s="2114" t="s">
        <v>1676</v>
      </c>
    </row>
    <row r="310" spans="1:9" ht="11.25" customHeight="1">
      <c r="A310" s="2114" t="s">
        <v>2297</v>
      </c>
      <c r="B310" s="2114" t="s">
        <v>16</v>
      </c>
      <c r="C310" s="2114" t="s">
        <v>2971</v>
      </c>
      <c r="D310" s="2114" t="s">
        <v>2972</v>
      </c>
      <c r="E310" s="2114" t="s">
        <v>2973</v>
      </c>
      <c r="F310" s="2114" t="s">
        <v>2470</v>
      </c>
      <c r="G310" s="2114" t="s">
        <v>2974</v>
      </c>
      <c r="H310" s="2114" t="s">
        <v>22</v>
      </c>
      <c r="I310" s="2114" t="s">
        <v>1676</v>
      </c>
    </row>
    <row r="311" spans="1:9" ht="11.25" customHeight="1">
      <c r="A311" s="2114" t="s">
        <v>2297</v>
      </c>
      <c r="B311" s="2114" t="s">
        <v>16</v>
      </c>
      <c r="C311" s="2114" t="s">
        <v>2975</v>
      </c>
      <c r="D311" s="2114" t="s">
        <v>2976</v>
      </c>
      <c r="E311" s="2114" t="s">
        <v>2977</v>
      </c>
      <c r="F311" s="2114" t="s">
        <v>2956</v>
      </c>
      <c r="G311" s="2114" t="s">
        <v>22</v>
      </c>
      <c r="H311" s="2114" t="s">
        <v>22</v>
      </c>
      <c r="I311" s="2114" t="s">
        <v>1676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cols>
    <col min="1" max="1" width="9.140625" style="2114"/>
  </cols>
  <sheetData>
    <row r="1" spans="1:7" ht="11.25" customHeight="1">
      <c r="A1" s="309" t="s">
        <v>2978</v>
      </c>
      <c r="B1" s="3" t="s">
        <v>2979</v>
      </c>
      <c r="C1" s="3" t="s">
        <v>2980</v>
      </c>
      <c r="D1" s="3" t="s">
        <v>2981</v>
      </c>
      <c r="E1" s="2" t="s">
        <v>2982</v>
      </c>
      <c r="F1" s="2" t="s">
        <v>2983</v>
      </c>
      <c r="G1" s="2" t="s">
        <v>2984</v>
      </c>
    </row>
    <row r="2" spans="1:7" ht="11.25" customHeight="1">
      <c r="A2" s="309" t="s">
        <v>16</v>
      </c>
      <c r="B2" t="s">
        <v>2985</v>
      </c>
      <c r="C2" t="s">
        <v>2986</v>
      </c>
      <c r="D2" t="s">
        <v>2987</v>
      </c>
      <c r="E2" t="s">
        <v>2988</v>
      </c>
      <c r="F2" t="s">
        <v>2989</v>
      </c>
      <c r="G2" t="s">
        <v>108</v>
      </c>
    </row>
    <row r="3" spans="1:7" ht="11.25" customHeight="1">
      <c r="A3" s="309" t="s">
        <v>16</v>
      </c>
      <c r="B3" t="s">
        <v>2985</v>
      </c>
      <c r="C3" t="s">
        <v>2986</v>
      </c>
      <c r="D3" t="s">
        <v>2990</v>
      </c>
      <c r="E3" t="s">
        <v>2991</v>
      </c>
      <c r="F3" t="s">
        <v>2989</v>
      </c>
      <c r="G3" t="s">
        <v>109</v>
      </c>
    </row>
    <row r="4" spans="1:7" ht="11.25" customHeight="1">
      <c r="A4" s="309" t="s">
        <v>16</v>
      </c>
      <c r="B4" t="s">
        <v>2985</v>
      </c>
      <c r="C4" t="s">
        <v>2986</v>
      </c>
      <c r="D4" t="s">
        <v>2992</v>
      </c>
      <c r="E4" t="s">
        <v>2993</v>
      </c>
      <c r="F4" t="s">
        <v>2989</v>
      </c>
      <c r="G4" t="s">
        <v>92</v>
      </c>
    </row>
    <row r="5" spans="1:7" ht="11.25" customHeight="1">
      <c r="A5" s="309" t="s">
        <v>16</v>
      </c>
      <c r="B5" t="s">
        <v>2985</v>
      </c>
      <c r="C5" t="s">
        <v>2986</v>
      </c>
      <c r="D5" t="s">
        <v>2994</v>
      </c>
      <c r="E5" t="s">
        <v>2995</v>
      </c>
      <c r="F5" t="s">
        <v>2989</v>
      </c>
      <c r="G5" t="s">
        <v>93</v>
      </c>
    </row>
    <row r="6" spans="1:7" ht="11.25" customHeight="1">
      <c r="A6" s="309" t="s">
        <v>16</v>
      </c>
      <c r="B6" t="s">
        <v>2985</v>
      </c>
      <c r="C6" t="s">
        <v>2986</v>
      </c>
      <c r="D6" t="s">
        <v>2996</v>
      </c>
      <c r="E6" t="s">
        <v>2997</v>
      </c>
      <c r="F6" t="s">
        <v>2989</v>
      </c>
      <c r="G6" t="s">
        <v>110</v>
      </c>
    </row>
    <row r="7" spans="1:7" ht="11.25" customHeight="1">
      <c r="A7" s="309" t="s">
        <v>16</v>
      </c>
      <c r="B7" t="s">
        <v>2985</v>
      </c>
      <c r="C7" t="s">
        <v>2986</v>
      </c>
      <c r="D7" t="s">
        <v>2998</v>
      </c>
      <c r="E7" t="s">
        <v>2999</v>
      </c>
      <c r="F7" t="s">
        <v>2989</v>
      </c>
      <c r="G7" t="s">
        <v>94</v>
      </c>
    </row>
    <row r="8" spans="1:7" ht="11.25" customHeight="1">
      <c r="A8" s="309" t="s">
        <v>16</v>
      </c>
      <c r="B8" t="s">
        <v>2985</v>
      </c>
      <c r="C8" t="s">
        <v>2986</v>
      </c>
      <c r="D8" t="s">
        <v>3000</v>
      </c>
      <c r="E8" t="s">
        <v>3001</v>
      </c>
      <c r="F8" t="s">
        <v>2989</v>
      </c>
      <c r="G8" t="s">
        <v>95</v>
      </c>
    </row>
    <row r="9" spans="1:7" ht="11.25" customHeight="1">
      <c r="A9" s="309" t="s">
        <v>16</v>
      </c>
      <c r="B9" t="s">
        <v>2985</v>
      </c>
      <c r="C9" t="s">
        <v>2986</v>
      </c>
      <c r="D9" t="s">
        <v>3002</v>
      </c>
      <c r="E9" t="s">
        <v>3003</v>
      </c>
      <c r="F9" t="s">
        <v>2989</v>
      </c>
      <c r="G9" t="s">
        <v>111</v>
      </c>
    </row>
    <row r="10" spans="1:7" ht="11.25" customHeight="1">
      <c r="A10" s="309" t="s">
        <v>16</v>
      </c>
      <c r="B10" t="s">
        <v>2985</v>
      </c>
      <c r="C10" t="s">
        <v>2986</v>
      </c>
      <c r="D10" t="s">
        <v>2985</v>
      </c>
      <c r="E10" t="s">
        <v>2986</v>
      </c>
      <c r="F10" t="s">
        <v>3004</v>
      </c>
      <c r="G10" t="s">
        <v>147</v>
      </c>
    </row>
    <row r="11" spans="1:7" ht="11.25" customHeight="1">
      <c r="A11" s="309" t="s">
        <v>16</v>
      </c>
      <c r="B11" t="s">
        <v>2985</v>
      </c>
      <c r="C11" t="s">
        <v>2986</v>
      </c>
      <c r="D11" t="s">
        <v>3005</v>
      </c>
      <c r="E11" t="s">
        <v>3006</v>
      </c>
      <c r="F11" t="s">
        <v>2989</v>
      </c>
      <c r="G11" t="s">
        <v>148</v>
      </c>
    </row>
    <row r="12" spans="1:7" ht="11.25" customHeight="1">
      <c r="A12" s="309" t="s">
        <v>16</v>
      </c>
      <c r="B12" t="s">
        <v>2985</v>
      </c>
      <c r="C12" t="s">
        <v>2986</v>
      </c>
      <c r="D12" t="s">
        <v>3007</v>
      </c>
      <c r="E12" t="s">
        <v>3008</v>
      </c>
      <c r="F12" t="s">
        <v>2989</v>
      </c>
      <c r="G12" t="s">
        <v>149</v>
      </c>
    </row>
    <row r="13" spans="1:7" ht="11.25" customHeight="1">
      <c r="A13" s="309" t="s">
        <v>16</v>
      </c>
      <c r="B13" t="s">
        <v>2985</v>
      </c>
      <c r="C13" t="s">
        <v>2986</v>
      </c>
      <c r="D13" t="s">
        <v>3009</v>
      </c>
      <c r="E13" t="s">
        <v>3010</v>
      </c>
      <c r="F13" t="s">
        <v>2989</v>
      </c>
      <c r="G13" t="s">
        <v>150</v>
      </c>
    </row>
    <row r="14" spans="1:7" ht="11.25" customHeight="1">
      <c r="A14" s="309" t="s">
        <v>16</v>
      </c>
      <c r="B14" t="s">
        <v>2985</v>
      </c>
      <c r="C14" t="s">
        <v>2986</v>
      </c>
      <c r="D14" t="s">
        <v>3011</v>
      </c>
      <c r="E14" t="s">
        <v>3012</v>
      </c>
      <c r="F14" t="s">
        <v>2989</v>
      </c>
      <c r="G14" t="s">
        <v>151</v>
      </c>
    </row>
    <row r="15" spans="1:7" ht="11.25" customHeight="1">
      <c r="A15" s="309" t="s">
        <v>16</v>
      </c>
      <c r="B15" t="s">
        <v>2985</v>
      </c>
      <c r="C15" t="s">
        <v>2986</v>
      </c>
      <c r="D15" t="s">
        <v>3013</v>
      </c>
      <c r="E15" t="s">
        <v>3014</v>
      </c>
      <c r="F15" t="s">
        <v>2989</v>
      </c>
      <c r="G15" t="s">
        <v>152</v>
      </c>
    </row>
    <row r="16" spans="1:7" ht="11.25" customHeight="1">
      <c r="A16" s="309" t="s">
        <v>16</v>
      </c>
      <c r="B16" t="s">
        <v>2985</v>
      </c>
      <c r="C16" t="s">
        <v>2986</v>
      </c>
      <c r="D16" t="s">
        <v>3015</v>
      </c>
      <c r="E16" t="s">
        <v>3016</v>
      </c>
      <c r="F16" t="s">
        <v>2989</v>
      </c>
      <c r="G16" t="s">
        <v>1054</v>
      </c>
    </row>
    <row r="17" spans="1:7" ht="11.25" customHeight="1">
      <c r="A17" s="309" t="s">
        <v>16</v>
      </c>
      <c r="B17" t="s">
        <v>2985</v>
      </c>
      <c r="C17" t="s">
        <v>2986</v>
      </c>
      <c r="D17" t="s">
        <v>3017</v>
      </c>
      <c r="E17" t="s">
        <v>3018</v>
      </c>
      <c r="F17" t="s">
        <v>3019</v>
      </c>
      <c r="G17" t="s">
        <v>1056</v>
      </c>
    </row>
    <row r="18" spans="1:7" ht="11.25" customHeight="1">
      <c r="A18" s="309" t="s">
        <v>16</v>
      </c>
      <c r="B18" t="s">
        <v>2985</v>
      </c>
      <c r="C18" t="s">
        <v>2986</v>
      </c>
      <c r="D18" t="s">
        <v>3020</v>
      </c>
      <c r="E18" t="s">
        <v>3021</v>
      </c>
      <c r="F18" t="s">
        <v>3019</v>
      </c>
      <c r="G18" t="s">
        <v>1059</v>
      </c>
    </row>
    <row r="19" spans="1:7" ht="11.25" customHeight="1">
      <c r="A19" s="309" t="s">
        <v>16</v>
      </c>
      <c r="B19" t="s">
        <v>2985</v>
      </c>
      <c r="C19" t="s">
        <v>2986</v>
      </c>
      <c r="D19" t="s">
        <v>3022</v>
      </c>
      <c r="E19" t="s">
        <v>3023</v>
      </c>
      <c r="F19" t="s">
        <v>2989</v>
      </c>
      <c r="G19" t="s">
        <v>1061</v>
      </c>
    </row>
    <row r="20" spans="1:7" ht="11.25" customHeight="1">
      <c r="A20" s="309" t="s">
        <v>16</v>
      </c>
      <c r="B20" t="s">
        <v>2985</v>
      </c>
      <c r="C20" t="s">
        <v>2986</v>
      </c>
      <c r="D20" t="s">
        <v>3024</v>
      </c>
      <c r="E20" t="s">
        <v>3025</v>
      </c>
      <c r="F20" t="s">
        <v>2989</v>
      </c>
      <c r="G20" t="s">
        <v>1070</v>
      </c>
    </row>
    <row r="21" spans="1:7" ht="11.25" customHeight="1">
      <c r="A21" s="309" t="s">
        <v>16</v>
      </c>
      <c r="B21" t="s">
        <v>2985</v>
      </c>
      <c r="C21" t="s">
        <v>2986</v>
      </c>
      <c r="D21" t="s">
        <v>3026</v>
      </c>
      <c r="E21" t="s">
        <v>3027</v>
      </c>
      <c r="F21" t="s">
        <v>2989</v>
      </c>
      <c r="G21" t="s">
        <v>1071</v>
      </c>
    </row>
    <row r="22" spans="1:7" ht="11.25" customHeight="1">
      <c r="A22" s="309" t="s">
        <v>16</v>
      </c>
      <c r="B22" t="s">
        <v>2985</v>
      </c>
      <c r="C22" t="s">
        <v>2986</v>
      </c>
      <c r="D22" t="s">
        <v>3028</v>
      </c>
      <c r="E22" t="s">
        <v>3029</v>
      </c>
      <c r="F22" t="s">
        <v>3019</v>
      </c>
      <c r="G22" t="s">
        <v>1072</v>
      </c>
    </row>
    <row r="23" spans="1:7" ht="11.25" customHeight="1">
      <c r="A23" s="309" t="s">
        <v>16</v>
      </c>
      <c r="B23" t="s">
        <v>2985</v>
      </c>
      <c r="C23" t="s">
        <v>2986</v>
      </c>
      <c r="D23" t="s">
        <v>3030</v>
      </c>
      <c r="E23" t="s">
        <v>3031</v>
      </c>
      <c r="F23" t="s">
        <v>2989</v>
      </c>
      <c r="G23" t="s">
        <v>1073</v>
      </c>
    </row>
    <row r="24" spans="1:7" ht="11.25" customHeight="1">
      <c r="A24" s="309" t="s">
        <v>16</v>
      </c>
      <c r="B24" t="s">
        <v>2985</v>
      </c>
      <c r="C24" t="s">
        <v>2986</v>
      </c>
      <c r="D24" t="s">
        <v>3032</v>
      </c>
      <c r="E24" t="s">
        <v>3033</v>
      </c>
      <c r="F24" t="s">
        <v>3019</v>
      </c>
      <c r="G24" t="s">
        <v>1080</v>
      </c>
    </row>
    <row r="25" spans="1:7" ht="11.25" customHeight="1">
      <c r="A25" s="309" t="s">
        <v>16</v>
      </c>
      <c r="B25" t="s">
        <v>2985</v>
      </c>
      <c r="C25" t="s">
        <v>2986</v>
      </c>
      <c r="D25" t="s">
        <v>3034</v>
      </c>
      <c r="E25" t="s">
        <v>3035</v>
      </c>
      <c r="F25" t="s">
        <v>2989</v>
      </c>
      <c r="G25" t="s">
        <v>1081</v>
      </c>
    </row>
    <row r="26" spans="1:7" ht="11.25" customHeight="1">
      <c r="A26" s="309" t="s">
        <v>16</v>
      </c>
      <c r="B26" t="s">
        <v>2985</v>
      </c>
      <c r="C26" t="s">
        <v>2986</v>
      </c>
      <c r="D26" t="s">
        <v>3036</v>
      </c>
      <c r="E26" t="s">
        <v>3037</v>
      </c>
      <c r="F26" t="s">
        <v>2989</v>
      </c>
      <c r="G26" t="s">
        <v>1614</v>
      </c>
    </row>
    <row r="27" spans="1:7" ht="11.25" customHeight="1">
      <c r="A27" s="309" t="s">
        <v>16</v>
      </c>
      <c r="B27" t="s">
        <v>2985</v>
      </c>
      <c r="C27" t="s">
        <v>2986</v>
      </c>
      <c r="D27" t="s">
        <v>3038</v>
      </c>
      <c r="E27" t="s">
        <v>3039</v>
      </c>
      <c r="F27" t="s">
        <v>2989</v>
      </c>
      <c r="G27" t="s">
        <v>1619</v>
      </c>
    </row>
    <row r="28" spans="1:7" ht="11.25" customHeight="1">
      <c r="A28" s="309" t="s">
        <v>16</v>
      </c>
      <c r="B28" t="s">
        <v>2985</v>
      </c>
      <c r="C28" t="s">
        <v>2986</v>
      </c>
      <c r="D28" t="s">
        <v>3040</v>
      </c>
      <c r="E28" t="s">
        <v>3041</v>
      </c>
      <c r="F28" t="s">
        <v>3019</v>
      </c>
      <c r="G28" t="s">
        <v>1627</v>
      </c>
    </row>
    <row r="29" spans="1:7" ht="11.25" customHeight="1">
      <c r="A29" s="309" t="s">
        <v>16</v>
      </c>
      <c r="B29" t="s">
        <v>2985</v>
      </c>
      <c r="C29" t="s">
        <v>2986</v>
      </c>
      <c r="D29" t="s">
        <v>3042</v>
      </c>
      <c r="E29" t="s">
        <v>3043</v>
      </c>
      <c r="F29" t="s">
        <v>3019</v>
      </c>
      <c r="G29" t="s">
        <v>1629</v>
      </c>
    </row>
    <row r="30" spans="1:7" ht="11.25" customHeight="1">
      <c r="A30" s="309" t="s">
        <v>16</v>
      </c>
      <c r="B30" t="s">
        <v>2985</v>
      </c>
      <c r="C30" t="s">
        <v>2986</v>
      </c>
      <c r="D30" t="s">
        <v>3044</v>
      </c>
      <c r="E30" t="s">
        <v>3045</v>
      </c>
      <c r="F30" t="s">
        <v>2989</v>
      </c>
      <c r="G30" t="s">
        <v>1632</v>
      </c>
    </row>
    <row r="31" spans="1:7" ht="11.25" customHeight="1">
      <c r="A31" s="309" t="s">
        <v>16</v>
      </c>
      <c r="B31" t="s">
        <v>2985</v>
      </c>
      <c r="C31" t="s">
        <v>2986</v>
      </c>
      <c r="D31" t="s">
        <v>3046</v>
      </c>
      <c r="E31" t="s">
        <v>3047</v>
      </c>
      <c r="F31" t="s">
        <v>2989</v>
      </c>
      <c r="G31" t="s">
        <v>1638</v>
      </c>
    </row>
    <row r="32" spans="1:7" ht="11.25" customHeight="1">
      <c r="A32" s="309" t="s">
        <v>16</v>
      </c>
      <c r="B32" t="s">
        <v>2985</v>
      </c>
      <c r="C32" t="s">
        <v>2986</v>
      </c>
      <c r="D32" t="s">
        <v>3048</v>
      </c>
      <c r="E32" t="s">
        <v>3049</v>
      </c>
      <c r="F32" t="s">
        <v>3019</v>
      </c>
      <c r="G32" t="s">
        <v>1640</v>
      </c>
    </row>
    <row r="33" spans="1:7" ht="11.25" customHeight="1">
      <c r="A33" s="309" t="s">
        <v>16</v>
      </c>
      <c r="B33" t="s">
        <v>2985</v>
      </c>
      <c r="C33" t="s">
        <v>2986</v>
      </c>
      <c r="D33" t="s">
        <v>3050</v>
      </c>
      <c r="E33" t="s">
        <v>3051</v>
      </c>
      <c r="F33" t="s">
        <v>2989</v>
      </c>
      <c r="G33" t="s">
        <v>1642</v>
      </c>
    </row>
    <row r="34" spans="1:7" ht="11.25" customHeight="1">
      <c r="A34" s="309" t="s">
        <v>16</v>
      </c>
      <c r="B34" t="s">
        <v>2985</v>
      </c>
      <c r="C34" t="s">
        <v>2986</v>
      </c>
      <c r="D34" t="s">
        <v>3052</v>
      </c>
      <c r="E34" t="s">
        <v>3053</v>
      </c>
      <c r="F34" t="s">
        <v>2989</v>
      </c>
      <c r="G34" t="s">
        <v>1644</v>
      </c>
    </row>
    <row r="35" spans="1:7" ht="11.25" customHeight="1">
      <c r="A35" s="309" t="s">
        <v>16</v>
      </c>
      <c r="B35" t="s">
        <v>2985</v>
      </c>
      <c r="C35" t="s">
        <v>2986</v>
      </c>
      <c r="D35" t="s">
        <v>3054</v>
      </c>
      <c r="E35" t="s">
        <v>3055</v>
      </c>
      <c r="F35" t="s">
        <v>2989</v>
      </c>
      <c r="G35" t="s">
        <v>1649</v>
      </c>
    </row>
    <row r="36" spans="1:7" ht="11.25" customHeight="1">
      <c r="A36" s="309" t="s">
        <v>16</v>
      </c>
      <c r="B36" t="s">
        <v>2985</v>
      </c>
      <c r="C36" t="s">
        <v>2986</v>
      </c>
      <c r="D36" t="s">
        <v>3056</v>
      </c>
      <c r="E36" t="s">
        <v>3057</v>
      </c>
      <c r="F36" t="s">
        <v>3019</v>
      </c>
      <c r="G36" t="s">
        <v>1654</v>
      </c>
    </row>
    <row r="37" spans="1:7" ht="11.25" customHeight="1">
      <c r="A37" s="309" t="s">
        <v>16</v>
      </c>
      <c r="B37" t="s">
        <v>2985</v>
      </c>
      <c r="C37" t="s">
        <v>2986</v>
      </c>
      <c r="D37" t="s">
        <v>3058</v>
      </c>
      <c r="E37" t="s">
        <v>3059</v>
      </c>
      <c r="F37" t="s">
        <v>2989</v>
      </c>
      <c r="G37" t="s">
        <v>1658</v>
      </c>
    </row>
    <row r="38" spans="1:7" ht="11.25" customHeight="1">
      <c r="A38" s="309" t="s">
        <v>16</v>
      </c>
      <c r="B38" t="s">
        <v>2985</v>
      </c>
      <c r="C38" t="s">
        <v>2986</v>
      </c>
      <c r="D38" t="s">
        <v>3060</v>
      </c>
      <c r="E38" t="s">
        <v>3061</v>
      </c>
      <c r="F38" t="s">
        <v>2989</v>
      </c>
      <c r="G38" t="s">
        <v>1666</v>
      </c>
    </row>
    <row r="39" spans="1:7" ht="11.25" customHeight="1">
      <c r="A39" s="309" t="s">
        <v>16</v>
      </c>
      <c r="B39" t="s">
        <v>2985</v>
      </c>
      <c r="C39" t="s">
        <v>2986</v>
      </c>
      <c r="D39" t="s">
        <v>3062</v>
      </c>
      <c r="E39" t="s">
        <v>3063</v>
      </c>
      <c r="F39" t="s">
        <v>2989</v>
      </c>
      <c r="G39" t="s">
        <v>1672</v>
      </c>
    </row>
    <row r="40" spans="1:7" ht="11.25" customHeight="1">
      <c r="A40" s="309" t="s">
        <v>16</v>
      </c>
      <c r="B40" t="s">
        <v>2985</v>
      </c>
      <c r="C40" t="s">
        <v>2986</v>
      </c>
      <c r="D40" t="s">
        <v>3064</v>
      </c>
      <c r="E40" t="s">
        <v>3065</v>
      </c>
      <c r="F40" t="s">
        <v>2989</v>
      </c>
      <c r="G40" t="s">
        <v>1677</v>
      </c>
    </row>
    <row r="41" spans="1:7" ht="11.25" customHeight="1">
      <c r="A41" s="309" t="s">
        <v>16</v>
      </c>
      <c r="B41" t="s">
        <v>2985</v>
      </c>
      <c r="C41" t="s">
        <v>2986</v>
      </c>
      <c r="D41" t="s">
        <v>3066</v>
      </c>
      <c r="E41" t="s">
        <v>3067</v>
      </c>
      <c r="F41" t="s">
        <v>2989</v>
      </c>
      <c r="G41" t="s">
        <v>1681</v>
      </c>
    </row>
    <row r="42" spans="1:7" ht="11.25" customHeight="1">
      <c r="A42" s="309" t="s">
        <v>16</v>
      </c>
      <c r="B42" t="s">
        <v>2985</v>
      </c>
      <c r="C42" t="s">
        <v>2986</v>
      </c>
      <c r="D42" t="s">
        <v>3068</v>
      </c>
      <c r="E42" t="s">
        <v>3069</v>
      </c>
      <c r="F42" t="s">
        <v>2989</v>
      </c>
      <c r="G42" t="s">
        <v>1684</v>
      </c>
    </row>
    <row r="43" spans="1:7" ht="11.25" customHeight="1">
      <c r="A43" s="309" t="s">
        <v>16</v>
      </c>
      <c r="B43" t="s">
        <v>2985</v>
      </c>
      <c r="C43" t="s">
        <v>2986</v>
      </c>
      <c r="D43" t="s">
        <v>3070</v>
      </c>
      <c r="E43" t="s">
        <v>3071</v>
      </c>
      <c r="F43" t="s">
        <v>2989</v>
      </c>
      <c r="G43" t="s">
        <v>1691</v>
      </c>
    </row>
    <row r="44" spans="1:7" ht="11.25" customHeight="1">
      <c r="A44" s="309" t="s">
        <v>16</v>
      </c>
      <c r="B44" t="s">
        <v>2985</v>
      </c>
      <c r="C44" t="s">
        <v>2986</v>
      </c>
      <c r="D44" t="s">
        <v>3072</v>
      </c>
      <c r="E44" t="s">
        <v>3073</v>
      </c>
      <c r="F44" t="s">
        <v>2989</v>
      </c>
      <c r="G44" t="s">
        <v>1699</v>
      </c>
    </row>
    <row r="45" spans="1:7" ht="11.25" customHeight="1">
      <c r="A45" s="309" t="s">
        <v>16</v>
      </c>
      <c r="B45" t="s">
        <v>2985</v>
      </c>
      <c r="C45" t="s">
        <v>2986</v>
      </c>
      <c r="D45" t="s">
        <v>3074</v>
      </c>
      <c r="E45" t="s">
        <v>3075</v>
      </c>
      <c r="F45" t="s">
        <v>2989</v>
      </c>
      <c r="G45" t="s">
        <v>1704</v>
      </c>
    </row>
    <row r="46" spans="1:7" ht="11.25" customHeight="1">
      <c r="A46" s="309" t="s">
        <v>16</v>
      </c>
      <c r="B46" t="s">
        <v>2985</v>
      </c>
      <c r="C46" t="s">
        <v>2986</v>
      </c>
      <c r="D46" t="s">
        <v>3076</v>
      </c>
      <c r="E46" t="s">
        <v>3077</v>
      </c>
      <c r="F46" t="s">
        <v>2989</v>
      </c>
      <c r="G46" t="s">
        <v>1708</v>
      </c>
    </row>
    <row r="47" spans="1:7" ht="11.25" customHeight="1">
      <c r="A47" s="309" t="s">
        <v>16</v>
      </c>
      <c r="B47" t="s">
        <v>2985</v>
      </c>
      <c r="C47" t="s">
        <v>2986</v>
      </c>
      <c r="D47" t="s">
        <v>3078</v>
      </c>
      <c r="E47" t="s">
        <v>3079</v>
      </c>
      <c r="F47" t="s">
        <v>2989</v>
      </c>
      <c r="G47" t="s">
        <v>1714</v>
      </c>
    </row>
    <row r="48" spans="1:7" ht="11.25" customHeight="1">
      <c r="A48" s="309" t="s">
        <v>16</v>
      </c>
      <c r="B48" t="s">
        <v>2985</v>
      </c>
      <c r="C48" t="s">
        <v>2986</v>
      </c>
      <c r="D48" t="s">
        <v>3080</v>
      </c>
      <c r="E48" t="s">
        <v>3081</v>
      </c>
      <c r="F48" t="s">
        <v>3019</v>
      </c>
      <c r="G48" t="s">
        <v>1719</v>
      </c>
    </row>
    <row r="49" spans="1:7" ht="11.25" customHeight="1">
      <c r="A49" s="309" t="s">
        <v>16</v>
      </c>
      <c r="B49" t="s">
        <v>2985</v>
      </c>
      <c r="C49" t="s">
        <v>2986</v>
      </c>
      <c r="D49" t="s">
        <v>3082</v>
      </c>
      <c r="E49" t="s">
        <v>3083</v>
      </c>
      <c r="F49" t="s">
        <v>2989</v>
      </c>
      <c r="G49" t="s">
        <v>1722</v>
      </c>
    </row>
    <row r="50" spans="1:7" ht="11.25" customHeight="1">
      <c r="A50" s="309" t="s">
        <v>16</v>
      </c>
      <c r="B50" t="s">
        <v>2985</v>
      </c>
      <c r="C50" t="s">
        <v>2986</v>
      </c>
      <c r="D50" t="s">
        <v>3084</v>
      </c>
      <c r="E50" t="s">
        <v>3085</v>
      </c>
      <c r="F50" t="s">
        <v>2989</v>
      </c>
      <c r="G50" t="s">
        <v>1726</v>
      </c>
    </row>
    <row r="51" spans="1:7" ht="11.25" customHeight="1">
      <c r="A51" s="309" t="s">
        <v>16</v>
      </c>
      <c r="B51" t="s">
        <v>2985</v>
      </c>
      <c r="C51" t="s">
        <v>2986</v>
      </c>
      <c r="D51" t="s">
        <v>3086</v>
      </c>
      <c r="E51" t="s">
        <v>3087</v>
      </c>
      <c r="F51" t="s">
        <v>3019</v>
      </c>
      <c r="G51" t="s">
        <v>1731</v>
      </c>
    </row>
    <row r="52" spans="1:7" ht="11.25" customHeight="1">
      <c r="A52" s="309" t="s">
        <v>16</v>
      </c>
      <c r="B52" t="s">
        <v>2985</v>
      </c>
      <c r="C52" t="s">
        <v>2986</v>
      </c>
      <c r="D52" t="s">
        <v>3088</v>
      </c>
      <c r="E52" t="s">
        <v>3089</v>
      </c>
      <c r="F52" t="s">
        <v>3019</v>
      </c>
      <c r="G52" t="s">
        <v>1735</v>
      </c>
    </row>
    <row r="53" spans="1:7" ht="11.25" customHeight="1">
      <c r="A53" s="309" t="s">
        <v>16</v>
      </c>
      <c r="B53" t="s">
        <v>2985</v>
      </c>
      <c r="C53" t="s">
        <v>2986</v>
      </c>
      <c r="D53" t="s">
        <v>3090</v>
      </c>
      <c r="E53" t="s">
        <v>3091</v>
      </c>
      <c r="F53" t="s">
        <v>2989</v>
      </c>
      <c r="G53" t="s">
        <v>1737</v>
      </c>
    </row>
    <row r="54" spans="1:7" ht="11.25" customHeight="1">
      <c r="A54" s="309" t="s">
        <v>16</v>
      </c>
      <c r="B54" t="s">
        <v>2985</v>
      </c>
      <c r="C54" t="s">
        <v>2986</v>
      </c>
      <c r="D54" t="s">
        <v>3092</v>
      </c>
      <c r="E54" t="s">
        <v>3093</v>
      </c>
      <c r="F54" t="s">
        <v>2989</v>
      </c>
      <c r="G54" t="s">
        <v>1740</v>
      </c>
    </row>
    <row r="55" spans="1:7" ht="11.25" customHeight="1">
      <c r="A55" s="309" t="s">
        <v>16</v>
      </c>
      <c r="B55" t="s">
        <v>2985</v>
      </c>
      <c r="C55" t="s">
        <v>2986</v>
      </c>
      <c r="D55" t="s">
        <v>3094</v>
      </c>
      <c r="E55" t="s">
        <v>3095</v>
      </c>
      <c r="F55" t="s">
        <v>2989</v>
      </c>
      <c r="G55" t="s">
        <v>1744</v>
      </c>
    </row>
    <row r="56" spans="1:7" ht="11.25" customHeight="1">
      <c r="A56" s="309" t="s">
        <v>16</v>
      </c>
      <c r="B56" t="s">
        <v>2985</v>
      </c>
      <c r="C56" t="s">
        <v>2986</v>
      </c>
      <c r="D56" t="s">
        <v>3096</v>
      </c>
      <c r="E56" t="s">
        <v>3097</v>
      </c>
      <c r="F56" t="s">
        <v>2989</v>
      </c>
      <c r="G56" t="s">
        <v>1747</v>
      </c>
    </row>
    <row r="57" spans="1:7" ht="11.25" customHeight="1">
      <c r="A57" s="309" t="s">
        <v>16</v>
      </c>
      <c r="B57" t="s">
        <v>2985</v>
      </c>
      <c r="C57" t="s">
        <v>2986</v>
      </c>
      <c r="D57" t="s">
        <v>3098</v>
      </c>
      <c r="E57" t="s">
        <v>3099</v>
      </c>
      <c r="F57" t="s">
        <v>2989</v>
      </c>
      <c r="G57" t="s">
        <v>1750</v>
      </c>
    </row>
    <row r="58" spans="1:7" ht="11.25" customHeight="1">
      <c r="A58" s="309" t="s">
        <v>16</v>
      </c>
      <c r="B58" t="s">
        <v>2985</v>
      </c>
      <c r="C58" t="s">
        <v>2986</v>
      </c>
      <c r="D58" t="s">
        <v>3100</v>
      </c>
      <c r="E58" t="s">
        <v>3101</v>
      </c>
      <c r="F58" t="s">
        <v>2989</v>
      </c>
      <c r="G58" t="s">
        <v>1753</v>
      </c>
    </row>
    <row r="59" spans="1:7" ht="11.25" customHeight="1">
      <c r="A59" s="309" t="s">
        <v>16</v>
      </c>
      <c r="B59" t="s">
        <v>2985</v>
      </c>
      <c r="C59" t="s">
        <v>2986</v>
      </c>
      <c r="D59" t="s">
        <v>3102</v>
      </c>
      <c r="E59" t="s">
        <v>3103</v>
      </c>
      <c r="F59" t="s">
        <v>2989</v>
      </c>
      <c r="G59" t="s">
        <v>1757</v>
      </c>
    </row>
    <row r="60" spans="1:7" ht="11.25" customHeight="1">
      <c r="A60" s="309" t="s">
        <v>16</v>
      </c>
      <c r="B60" t="s">
        <v>2985</v>
      </c>
      <c r="C60" t="s">
        <v>2986</v>
      </c>
      <c r="D60" t="s">
        <v>3104</v>
      </c>
      <c r="E60" t="s">
        <v>3105</v>
      </c>
      <c r="F60" t="s">
        <v>2989</v>
      </c>
      <c r="G60" t="s">
        <v>1760</v>
      </c>
    </row>
    <row r="61" spans="1:7" ht="11.25" customHeight="1">
      <c r="A61" s="309" t="s">
        <v>16</v>
      </c>
      <c r="B61" t="s">
        <v>2985</v>
      </c>
      <c r="C61" t="s">
        <v>2986</v>
      </c>
      <c r="D61" t="s">
        <v>3106</v>
      </c>
      <c r="E61" t="s">
        <v>3107</v>
      </c>
      <c r="F61" t="s">
        <v>2989</v>
      </c>
      <c r="G61" t="s">
        <v>3108</v>
      </c>
    </row>
    <row r="62" spans="1:7" ht="11.25" customHeight="1">
      <c r="A62" s="309" t="s">
        <v>16</v>
      </c>
      <c r="B62" t="s">
        <v>2985</v>
      </c>
      <c r="C62" t="s">
        <v>2986</v>
      </c>
      <c r="D62" t="s">
        <v>3109</v>
      </c>
      <c r="E62" t="s">
        <v>3110</v>
      </c>
      <c r="F62" t="s">
        <v>2989</v>
      </c>
      <c r="G62" t="s">
        <v>3111</v>
      </c>
    </row>
    <row r="63" spans="1:7" ht="11.25" customHeight="1">
      <c r="A63" s="309" t="s">
        <v>16</v>
      </c>
      <c r="B63" t="s">
        <v>2985</v>
      </c>
      <c r="C63" t="s">
        <v>2986</v>
      </c>
      <c r="D63" t="s">
        <v>3112</v>
      </c>
      <c r="E63" t="s">
        <v>3113</v>
      </c>
      <c r="F63" t="s">
        <v>2989</v>
      </c>
      <c r="G63" t="s">
        <v>3114</v>
      </c>
    </row>
    <row r="64" spans="1:7" ht="11.25" customHeight="1">
      <c r="A64" s="309" t="s">
        <v>16</v>
      </c>
      <c r="B64" t="s">
        <v>2985</v>
      </c>
      <c r="C64" t="s">
        <v>2986</v>
      </c>
      <c r="D64" t="s">
        <v>3115</v>
      </c>
      <c r="E64" t="s">
        <v>3116</v>
      </c>
      <c r="F64" t="s">
        <v>2989</v>
      </c>
      <c r="G64" t="s">
        <v>3117</v>
      </c>
    </row>
    <row r="65" spans="1:7" ht="11.25" customHeight="1">
      <c r="A65" s="309" t="s">
        <v>16</v>
      </c>
      <c r="B65" t="s">
        <v>2985</v>
      </c>
      <c r="C65" t="s">
        <v>2986</v>
      </c>
      <c r="D65" t="s">
        <v>3118</v>
      </c>
      <c r="E65" t="s">
        <v>3119</v>
      </c>
      <c r="F65" t="s">
        <v>2989</v>
      </c>
      <c r="G65" t="s">
        <v>3120</v>
      </c>
    </row>
    <row r="66" spans="1:7" ht="11.25" customHeight="1">
      <c r="A66" s="309" t="s">
        <v>16</v>
      </c>
      <c r="B66" t="s">
        <v>2985</v>
      </c>
      <c r="C66" t="s">
        <v>2986</v>
      </c>
      <c r="D66" t="s">
        <v>3121</v>
      </c>
      <c r="E66" t="s">
        <v>3122</v>
      </c>
      <c r="F66" t="s">
        <v>2989</v>
      </c>
      <c r="G66" t="s">
        <v>3123</v>
      </c>
    </row>
    <row r="67" spans="1:7" ht="11.25" customHeight="1">
      <c r="A67" s="309" t="s">
        <v>16</v>
      </c>
      <c r="B67" t="s">
        <v>2985</v>
      </c>
      <c r="C67" t="s">
        <v>2986</v>
      </c>
      <c r="D67" t="s">
        <v>3124</v>
      </c>
      <c r="E67" t="s">
        <v>3125</v>
      </c>
      <c r="F67" t="s">
        <v>2989</v>
      </c>
      <c r="G67" t="s">
        <v>2071</v>
      </c>
    </row>
    <row r="68" spans="1:7" ht="11.25" customHeight="1">
      <c r="A68" s="309" t="s">
        <v>16</v>
      </c>
      <c r="B68" t="s">
        <v>2985</v>
      </c>
      <c r="C68" t="s">
        <v>2986</v>
      </c>
      <c r="D68" t="s">
        <v>3126</v>
      </c>
      <c r="E68" t="s">
        <v>3127</v>
      </c>
      <c r="F68" t="s">
        <v>2989</v>
      </c>
      <c r="G68" t="s">
        <v>3128</v>
      </c>
    </row>
    <row r="69" spans="1:7" ht="11.25" customHeight="1">
      <c r="A69" s="309" t="s">
        <v>16</v>
      </c>
      <c r="B69" t="s">
        <v>2985</v>
      </c>
      <c r="C69" t="s">
        <v>2986</v>
      </c>
      <c r="D69" t="s">
        <v>3129</v>
      </c>
      <c r="E69" t="s">
        <v>3130</v>
      </c>
      <c r="F69" t="s">
        <v>2989</v>
      </c>
      <c r="G69" t="s">
        <v>2274</v>
      </c>
    </row>
    <row r="70" spans="1:7" ht="11.25" customHeight="1">
      <c r="A70" s="309" t="s">
        <v>16</v>
      </c>
      <c r="B70" t="s">
        <v>2985</v>
      </c>
      <c r="C70" t="s">
        <v>2986</v>
      </c>
      <c r="D70" t="s">
        <v>3131</v>
      </c>
      <c r="E70" t="s">
        <v>3132</v>
      </c>
      <c r="F70" t="s">
        <v>2989</v>
      </c>
      <c r="G70" t="s">
        <v>3133</v>
      </c>
    </row>
    <row r="71" spans="1:7" ht="11.25" customHeight="1">
      <c r="A71" s="309" t="s">
        <v>16</v>
      </c>
      <c r="B71" t="s">
        <v>2985</v>
      </c>
      <c r="C71" t="s">
        <v>2986</v>
      </c>
      <c r="D71" t="s">
        <v>3134</v>
      </c>
      <c r="E71" t="s">
        <v>3135</v>
      </c>
      <c r="F71" t="s">
        <v>2989</v>
      </c>
      <c r="G71" t="s">
        <v>3136</v>
      </c>
    </row>
    <row r="72" spans="1:7" ht="11.25" customHeight="1">
      <c r="A72" s="309" t="s">
        <v>16</v>
      </c>
      <c r="B72" t="s">
        <v>2985</v>
      </c>
      <c r="C72" t="s">
        <v>2986</v>
      </c>
      <c r="D72" t="s">
        <v>3137</v>
      </c>
      <c r="E72" t="s">
        <v>3138</v>
      </c>
      <c r="F72" t="s">
        <v>2989</v>
      </c>
      <c r="G72" t="s">
        <v>3139</v>
      </c>
    </row>
    <row r="73" spans="1:7" ht="11.25" customHeight="1">
      <c r="A73" s="309" t="s">
        <v>16</v>
      </c>
      <c r="B73" t="s">
        <v>2985</v>
      </c>
      <c r="C73" t="s">
        <v>2986</v>
      </c>
      <c r="D73" t="s">
        <v>3140</v>
      </c>
      <c r="E73" t="s">
        <v>3141</v>
      </c>
      <c r="F73" t="s">
        <v>2989</v>
      </c>
      <c r="G73" t="s">
        <v>3142</v>
      </c>
    </row>
    <row r="74" spans="1:7" ht="11.25" customHeight="1">
      <c r="A74" s="309" t="s">
        <v>16</v>
      </c>
      <c r="B74" t="s">
        <v>2985</v>
      </c>
      <c r="C74" t="s">
        <v>2986</v>
      </c>
      <c r="D74" t="s">
        <v>3143</v>
      </c>
      <c r="E74" t="s">
        <v>3144</v>
      </c>
      <c r="F74" t="s">
        <v>2989</v>
      </c>
      <c r="G74" t="s">
        <v>3145</v>
      </c>
    </row>
    <row r="75" spans="1:7" ht="11.25" customHeight="1">
      <c r="A75" s="309" t="s">
        <v>16</v>
      </c>
      <c r="B75" t="s">
        <v>2985</v>
      </c>
      <c r="C75" t="s">
        <v>2986</v>
      </c>
      <c r="D75" t="s">
        <v>3146</v>
      </c>
      <c r="E75" t="s">
        <v>3147</v>
      </c>
      <c r="F75" t="s">
        <v>2989</v>
      </c>
      <c r="G75" t="s">
        <v>3148</v>
      </c>
    </row>
    <row r="76" spans="1:7" ht="11.25" customHeight="1">
      <c r="A76" s="309" t="s">
        <v>16</v>
      </c>
      <c r="B76" t="s">
        <v>2985</v>
      </c>
      <c r="C76" t="s">
        <v>2986</v>
      </c>
      <c r="D76" t="s">
        <v>3149</v>
      </c>
      <c r="E76" t="s">
        <v>3150</v>
      </c>
      <c r="F76" t="s">
        <v>2989</v>
      </c>
      <c r="G76" t="s">
        <v>3151</v>
      </c>
    </row>
    <row r="77" spans="1:7" ht="11.25" customHeight="1">
      <c r="A77" s="309" t="s">
        <v>16</v>
      </c>
      <c r="B77" t="s">
        <v>2985</v>
      </c>
      <c r="C77" t="s">
        <v>2986</v>
      </c>
      <c r="D77" t="s">
        <v>3152</v>
      </c>
      <c r="E77" t="s">
        <v>3153</v>
      </c>
      <c r="F77" t="s">
        <v>2989</v>
      </c>
      <c r="G77" t="s">
        <v>3154</v>
      </c>
    </row>
    <row r="78" spans="1:7" ht="11.25" customHeight="1">
      <c r="A78" s="309" t="s">
        <v>16</v>
      </c>
      <c r="B78" t="s">
        <v>2985</v>
      </c>
      <c r="C78" t="s">
        <v>2986</v>
      </c>
      <c r="D78" t="s">
        <v>3155</v>
      </c>
      <c r="E78" t="s">
        <v>3156</v>
      </c>
      <c r="F78" t="s">
        <v>2989</v>
      </c>
      <c r="G78" t="s">
        <v>3157</v>
      </c>
    </row>
    <row r="79" spans="1:7" ht="11.25" customHeight="1">
      <c r="A79" s="309" t="s">
        <v>16</v>
      </c>
      <c r="B79" t="s">
        <v>2985</v>
      </c>
      <c r="C79" t="s">
        <v>2986</v>
      </c>
      <c r="D79" t="s">
        <v>3158</v>
      </c>
      <c r="E79" t="s">
        <v>3159</v>
      </c>
      <c r="F79" t="s">
        <v>2989</v>
      </c>
      <c r="G79" t="s">
        <v>3160</v>
      </c>
    </row>
    <row r="80" spans="1:7" ht="11.25" customHeight="1">
      <c r="A80" s="309" t="s">
        <v>16</v>
      </c>
      <c r="B80" t="s">
        <v>2985</v>
      </c>
      <c r="C80" t="s">
        <v>2986</v>
      </c>
      <c r="D80" t="s">
        <v>3161</v>
      </c>
      <c r="E80" t="s">
        <v>3162</v>
      </c>
      <c r="F80" t="s">
        <v>2989</v>
      </c>
      <c r="G80" t="s">
        <v>3163</v>
      </c>
    </row>
    <row r="81" spans="1:7" ht="11.25" customHeight="1">
      <c r="A81" s="309" t="s">
        <v>16</v>
      </c>
      <c r="B81" t="s">
        <v>2985</v>
      </c>
      <c r="C81" t="s">
        <v>2986</v>
      </c>
      <c r="D81" t="s">
        <v>3164</v>
      </c>
      <c r="E81" t="s">
        <v>3165</v>
      </c>
      <c r="F81" t="s">
        <v>3019</v>
      </c>
      <c r="G81" t="s">
        <v>3166</v>
      </c>
    </row>
    <row r="82" spans="1:7" ht="11.25" customHeight="1">
      <c r="A82" s="309" t="s">
        <v>16</v>
      </c>
      <c r="B82" t="s">
        <v>2985</v>
      </c>
      <c r="C82" t="s">
        <v>2986</v>
      </c>
      <c r="D82" t="s">
        <v>3167</v>
      </c>
      <c r="E82" t="s">
        <v>3168</v>
      </c>
      <c r="F82" t="s">
        <v>2989</v>
      </c>
      <c r="G82" t="s">
        <v>3169</v>
      </c>
    </row>
    <row r="83" spans="1:7" ht="11.25" customHeight="1">
      <c r="A83" s="309" t="s">
        <v>16</v>
      </c>
      <c r="B83" t="s">
        <v>2985</v>
      </c>
      <c r="C83" t="s">
        <v>2986</v>
      </c>
      <c r="D83" t="s">
        <v>3170</v>
      </c>
      <c r="E83" t="s">
        <v>3171</v>
      </c>
      <c r="F83" t="s">
        <v>2989</v>
      </c>
      <c r="G83" t="s">
        <v>3172</v>
      </c>
    </row>
    <row r="84" spans="1:7" ht="11.25" customHeight="1">
      <c r="A84" s="309" t="s">
        <v>16</v>
      </c>
      <c r="B84" t="s">
        <v>2985</v>
      </c>
      <c r="C84" t="s">
        <v>2986</v>
      </c>
      <c r="D84" t="s">
        <v>3173</v>
      </c>
      <c r="E84" t="s">
        <v>3174</v>
      </c>
      <c r="F84" t="s">
        <v>2989</v>
      </c>
      <c r="G84" t="s">
        <v>3175</v>
      </c>
    </row>
    <row r="85" spans="1:7" ht="11.25" customHeight="1">
      <c r="A85" s="309" t="s">
        <v>16</v>
      </c>
      <c r="B85" t="s">
        <v>2985</v>
      </c>
      <c r="C85" t="s">
        <v>2986</v>
      </c>
      <c r="D85" t="s">
        <v>3176</v>
      </c>
      <c r="E85" t="s">
        <v>3177</v>
      </c>
      <c r="F85" t="s">
        <v>2989</v>
      </c>
      <c r="G85" t="s">
        <v>3178</v>
      </c>
    </row>
    <row r="86" spans="1:7" ht="11.25" customHeight="1">
      <c r="A86" s="309" t="s">
        <v>16</v>
      </c>
      <c r="B86" t="s">
        <v>2985</v>
      </c>
      <c r="C86" t="s">
        <v>2986</v>
      </c>
      <c r="D86" t="s">
        <v>3179</v>
      </c>
      <c r="E86" t="s">
        <v>3180</v>
      </c>
      <c r="F86" t="s">
        <v>2989</v>
      </c>
      <c r="G86" t="s">
        <v>3181</v>
      </c>
    </row>
    <row r="87" spans="1:7" ht="11.25" customHeight="1">
      <c r="A87" s="309" t="s">
        <v>16</v>
      </c>
      <c r="B87" t="s">
        <v>2985</v>
      </c>
      <c r="C87" t="s">
        <v>2986</v>
      </c>
      <c r="D87" t="s">
        <v>3182</v>
      </c>
      <c r="E87" t="s">
        <v>3183</v>
      </c>
      <c r="F87" t="s">
        <v>2989</v>
      </c>
      <c r="G87" t="s">
        <v>3184</v>
      </c>
    </row>
    <row r="88" spans="1:7" ht="11.25" customHeight="1">
      <c r="A88" s="309" t="s">
        <v>16</v>
      </c>
      <c r="B88" t="s">
        <v>2985</v>
      </c>
      <c r="C88" t="s">
        <v>2986</v>
      </c>
      <c r="D88" t="s">
        <v>3185</v>
      </c>
      <c r="E88" t="s">
        <v>3186</v>
      </c>
      <c r="F88" t="s">
        <v>2989</v>
      </c>
      <c r="G88" t="s">
        <v>3187</v>
      </c>
    </row>
    <row r="89" spans="1:7" ht="11.25" customHeight="1">
      <c r="A89" s="309" t="s">
        <v>16</v>
      </c>
      <c r="B89" t="s">
        <v>2985</v>
      </c>
      <c r="C89" t="s">
        <v>2986</v>
      </c>
      <c r="D89" t="s">
        <v>3188</v>
      </c>
      <c r="E89" t="s">
        <v>3189</v>
      </c>
      <c r="F89" t="s">
        <v>2989</v>
      </c>
      <c r="G89" t="s">
        <v>3190</v>
      </c>
    </row>
    <row r="90" spans="1:7" ht="11.25" customHeight="1">
      <c r="A90" s="309" t="s">
        <v>16</v>
      </c>
      <c r="B90" t="s">
        <v>2985</v>
      </c>
      <c r="C90" t="s">
        <v>2986</v>
      </c>
      <c r="D90" t="s">
        <v>3191</v>
      </c>
      <c r="E90" t="s">
        <v>3192</v>
      </c>
      <c r="F90" t="s">
        <v>2989</v>
      </c>
      <c r="G90" t="s">
        <v>3193</v>
      </c>
    </row>
    <row r="91" spans="1:7" ht="11.25" customHeight="1">
      <c r="A91" s="309" t="s">
        <v>16</v>
      </c>
      <c r="B91" t="s">
        <v>2985</v>
      </c>
      <c r="C91" t="s">
        <v>2986</v>
      </c>
      <c r="D91" t="s">
        <v>3194</v>
      </c>
      <c r="E91" t="s">
        <v>3195</v>
      </c>
      <c r="F91" t="s">
        <v>2989</v>
      </c>
      <c r="G91" t="s">
        <v>3196</v>
      </c>
    </row>
    <row r="92" spans="1:7" ht="11.25" customHeight="1">
      <c r="A92" s="309" t="s">
        <v>16</v>
      </c>
      <c r="B92" t="s">
        <v>2985</v>
      </c>
      <c r="C92" t="s">
        <v>2986</v>
      </c>
      <c r="D92" t="s">
        <v>3197</v>
      </c>
      <c r="E92" t="s">
        <v>3198</v>
      </c>
      <c r="F92" t="s">
        <v>2989</v>
      </c>
      <c r="G92" t="s">
        <v>3199</v>
      </c>
    </row>
    <row r="93" spans="1:7" ht="11.25" customHeight="1">
      <c r="A93" s="309" t="s">
        <v>16</v>
      </c>
      <c r="B93" t="s">
        <v>2985</v>
      </c>
      <c r="C93" t="s">
        <v>2986</v>
      </c>
      <c r="D93" t="s">
        <v>3200</v>
      </c>
      <c r="E93" t="s">
        <v>3201</v>
      </c>
      <c r="F93" t="s">
        <v>2989</v>
      </c>
      <c r="G93" t="s">
        <v>3202</v>
      </c>
    </row>
    <row r="94" spans="1:7" ht="11.25" customHeight="1">
      <c r="A94" s="309" t="s">
        <v>16</v>
      </c>
      <c r="B94" t="s">
        <v>2985</v>
      </c>
      <c r="C94" t="s">
        <v>2986</v>
      </c>
      <c r="D94" t="s">
        <v>3203</v>
      </c>
      <c r="E94" t="s">
        <v>3204</v>
      </c>
      <c r="F94" t="s">
        <v>2989</v>
      </c>
      <c r="G94" t="s">
        <v>3205</v>
      </c>
    </row>
    <row r="95" spans="1:7" ht="11.25" customHeight="1">
      <c r="A95" s="309" t="s">
        <v>16</v>
      </c>
      <c r="B95" t="s">
        <v>2985</v>
      </c>
      <c r="C95" t="s">
        <v>2986</v>
      </c>
      <c r="D95" t="s">
        <v>3206</v>
      </c>
      <c r="E95" t="s">
        <v>3207</v>
      </c>
      <c r="F95" t="s">
        <v>2989</v>
      </c>
      <c r="G95" t="s">
        <v>3208</v>
      </c>
    </row>
    <row r="96" spans="1:7" ht="11.25" customHeight="1">
      <c r="A96" s="309" t="s">
        <v>16</v>
      </c>
      <c r="B96" t="s">
        <v>2985</v>
      </c>
      <c r="C96" t="s">
        <v>2986</v>
      </c>
      <c r="D96" t="s">
        <v>3209</v>
      </c>
      <c r="E96" t="s">
        <v>3210</v>
      </c>
      <c r="F96" t="s">
        <v>2989</v>
      </c>
      <c r="G96" t="s">
        <v>3211</v>
      </c>
    </row>
    <row r="97" spans="1:7" ht="11.25" customHeight="1">
      <c r="A97" s="309" t="s">
        <v>16</v>
      </c>
      <c r="B97" t="s">
        <v>2985</v>
      </c>
      <c r="C97" t="s">
        <v>2986</v>
      </c>
      <c r="D97" t="s">
        <v>3212</v>
      </c>
      <c r="E97" t="s">
        <v>3213</v>
      </c>
      <c r="F97" t="s">
        <v>2989</v>
      </c>
      <c r="G97" t="s">
        <v>3214</v>
      </c>
    </row>
    <row r="98" spans="1:7" ht="11.25" customHeight="1">
      <c r="A98" s="309" t="s">
        <v>16</v>
      </c>
      <c r="B98" t="s">
        <v>2985</v>
      </c>
      <c r="C98" t="s">
        <v>2986</v>
      </c>
      <c r="D98" t="s">
        <v>3215</v>
      </c>
      <c r="E98" t="s">
        <v>3216</v>
      </c>
      <c r="F98" t="s">
        <v>2989</v>
      </c>
      <c r="G98" t="s">
        <v>3217</v>
      </c>
    </row>
    <row r="99" spans="1:7" ht="11.25" customHeight="1">
      <c r="A99" s="309" t="s">
        <v>16</v>
      </c>
      <c r="B99" t="s">
        <v>2985</v>
      </c>
      <c r="C99" t="s">
        <v>2986</v>
      </c>
      <c r="D99" t="s">
        <v>3218</v>
      </c>
      <c r="E99" t="s">
        <v>3219</v>
      </c>
      <c r="F99" t="s">
        <v>2989</v>
      </c>
      <c r="G99" t="s">
        <v>3220</v>
      </c>
    </row>
    <row r="100" spans="1:7" ht="11.25" customHeight="1">
      <c r="A100" s="309" t="s">
        <v>16</v>
      </c>
      <c r="B100" t="s">
        <v>2985</v>
      </c>
      <c r="C100" t="s">
        <v>2986</v>
      </c>
      <c r="D100" t="s">
        <v>3221</v>
      </c>
      <c r="E100" t="s">
        <v>3222</v>
      </c>
      <c r="F100" t="s">
        <v>2989</v>
      </c>
      <c r="G100" t="s">
        <v>3223</v>
      </c>
    </row>
    <row r="101" spans="1:7" ht="11.25" customHeight="1">
      <c r="A101" s="309" t="s">
        <v>16</v>
      </c>
      <c r="B101" t="s">
        <v>2985</v>
      </c>
      <c r="C101" t="s">
        <v>2986</v>
      </c>
      <c r="D101" t="s">
        <v>3224</v>
      </c>
      <c r="E101" t="s">
        <v>3225</v>
      </c>
      <c r="F101" t="s">
        <v>2989</v>
      </c>
      <c r="G101" t="s">
        <v>3226</v>
      </c>
    </row>
    <row r="102" spans="1:7" ht="11.25" customHeight="1">
      <c r="A102" s="309" t="s">
        <v>16</v>
      </c>
      <c r="B102" t="s">
        <v>2985</v>
      </c>
      <c r="C102" t="s">
        <v>2986</v>
      </c>
      <c r="D102" t="s">
        <v>3227</v>
      </c>
      <c r="E102" t="s">
        <v>3228</v>
      </c>
      <c r="F102" t="s">
        <v>2989</v>
      </c>
      <c r="G102" t="s">
        <v>3229</v>
      </c>
    </row>
    <row r="103" spans="1:7" ht="11.25" customHeight="1">
      <c r="A103" s="309" t="s">
        <v>16</v>
      </c>
      <c r="B103" t="s">
        <v>2985</v>
      </c>
      <c r="C103" t="s">
        <v>2986</v>
      </c>
      <c r="D103" t="s">
        <v>3230</v>
      </c>
      <c r="E103" t="s">
        <v>3231</v>
      </c>
      <c r="F103" t="s">
        <v>2989</v>
      </c>
      <c r="G103" t="s">
        <v>3232</v>
      </c>
    </row>
    <row r="104" spans="1:7" ht="11.25" customHeight="1">
      <c r="A104" s="309" t="s">
        <v>16</v>
      </c>
      <c r="B104" t="s">
        <v>2985</v>
      </c>
      <c r="C104" t="s">
        <v>2986</v>
      </c>
      <c r="D104" t="s">
        <v>3233</v>
      </c>
      <c r="E104" t="s">
        <v>3234</v>
      </c>
      <c r="F104" t="s">
        <v>2989</v>
      </c>
      <c r="G104" t="s">
        <v>3235</v>
      </c>
    </row>
    <row r="105" spans="1:7" ht="11.25" customHeight="1">
      <c r="A105" s="309" t="s">
        <v>16</v>
      </c>
      <c r="B105" t="s">
        <v>2985</v>
      </c>
      <c r="C105" t="s">
        <v>2986</v>
      </c>
      <c r="D105" t="s">
        <v>3236</v>
      </c>
      <c r="E105" t="s">
        <v>3237</v>
      </c>
      <c r="F105" t="s">
        <v>2989</v>
      </c>
      <c r="G105" t="s">
        <v>3238</v>
      </c>
    </row>
    <row r="106" spans="1:7" ht="11.25" customHeight="1">
      <c r="A106" s="309" t="s">
        <v>16</v>
      </c>
      <c r="B106" t="s">
        <v>2985</v>
      </c>
      <c r="C106" t="s">
        <v>2986</v>
      </c>
      <c r="D106" t="s">
        <v>3239</v>
      </c>
      <c r="E106" t="s">
        <v>3240</v>
      </c>
      <c r="F106" t="s">
        <v>2989</v>
      </c>
      <c r="G106" t="s">
        <v>3241</v>
      </c>
    </row>
    <row r="107" spans="1:7" ht="11.25" customHeight="1">
      <c r="A107" s="309" t="s">
        <v>16</v>
      </c>
      <c r="B107" t="s">
        <v>2985</v>
      </c>
      <c r="C107" t="s">
        <v>2986</v>
      </c>
      <c r="D107" t="s">
        <v>3242</v>
      </c>
      <c r="E107" t="s">
        <v>3243</v>
      </c>
      <c r="F107" t="s">
        <v>2989</v>
      </c>
      <c r="G107" t="s">
        <v>3244</v>
      </c>
    </row>
    <row r="108" spans="1:7" ht="11.25" customHeight="1">
      <c r="A108" s="309" t="s">
        <v>16</v>
      </c>
      <c r="B108" t="s">
        <v>2985</v>
      </c>
      <c r="C108" t="s">
        <v>2986</v>
      </c>
      <c r="D108" t="s">
        <v>3245</v>
      </c>
      <c r="E108" t="s">
        <v>3246</v>
      </c>
      <c r="F108" t="s">
        <v>2989</v>
      </c>
      <c r="G108" t="s">
        <v>3247</v>
      </c>
    </row>
    <row r="109" spans="1:7" ht="11.25" customHeight="1">
      <c r="A109" s="309" t="s">
        <v>16</v>
      </c>
      <c r="B109" t="s">
        <v>2985</v>
      </c>
      <c r="C109" t="s">
        <v>2986</v>
      </c>
      <c r="D109" t="s">
        <v>3248</v>
      </c>
      <c r="E109" t="s">
        <v>3249</v>
      </c>
      <c r="F109" t="s">
        <v>2989</v>
      </c>
      <c r="G109" t="s">
        <v>3250</v>
      </c>
    </row>
    <row r="110" spans="1:7" ht="11.25" customHeight="1">
      <c r="A110" s="309" t="s">
        <v>16</v>
      </c>
      <c r="B110" t="s">
        <v>2985</v>
      </c>
      <c r="C110" t="s">
        <v>2986</v>
      </c>
      <c r="D110" t="s">
        <v>3251</v>
      </c>
      <c r="E110" t="s">
        <v>3252</v>
      </c>
      <c r="F110" t="s">
        <v>2989</v>
      </c>
      <c r="G110" t="s">
        <v>3253</v>
      </c>
    </row>
    <row r="111" spans="1:7" ht="11.25" customHeight="1">
      <c r="A111" s="309" t="s">
        <v>16</v>
      </c>
      <c r="B111" t="s">
        <v>2985</v>
      </c>
      <c r="C111" t="s">
        <v>2986</v>
      </c>
      <c r="D111" t="s">
        <v>3254</v>
      </c>
      <c r="E111" t="s">
        <v>3255</v>
      </c>
      <c r="F111" t="s">
        <v>2989</v>
      </c>
      <c r="G111" t="s">
        <v>3256</v>
      </c>
    </row>
    <row r="112" spans="1:7" ht="11.25" customHeight="1">
      <c r="A112" s="309" t="s">
        <v>16</v>
      </c>
      <c r="B112" t="s">
        <v>2985</v>
      </c>
      <c r="C112" t="s">
        <v>2986</v>
      </c>
      <c r="D112" t="s">
        <v>3257</v>
      </c>
      <c r="E112" t="s">
        <v>3258</v>
      </c>
      <c r="F112" t="s">
        <v>2989</v>
      </c>
      <c r="G112" t="s">
        <v>3259</v>
      </c>
    </row>
    <row r="113" spans="1:7" ht="11.25" customHeight="1">
      <c r="A113" s="309" t="s">
        <v>16</v>
      </c>
      <c r="B113" t="s">
        <v>2985</v>
      </c>
      <c r="C113" t="s">
        <v>2986</v>
      </c>
      <c r="D113" t="s">
        <v>3260</v>
      </c>
      <c r="E113" t="s">
        <v>3261</v>
      </c>
      <c r="F113" t="s">
        <v>3019</v>
      </c>
      <c r="G113" t="s">
        <v>3262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2113" customWidth="1"/>
    <col min="2" max="2" width="10.42578125" style="2113" customWidth="1"/>
    <col min="3" max="3" width="7.5703125" style="2113" customWidth="1"/>
    <col min="4" max="4" width="13.85546875" style="2113" customWidth="1"/>
    <col min="5" max="5" width="11.5703125" style="2113" customWidth="1"/>
    <col min="6" max="6" width="16.28515625" style="2113" customWidth="1"/>
    <col min="7" max="7" width="16" style="2113" customWidth="1"/>
    <col min="8" max="9" width="16.140625" style="2113" customWidth="1"/>
  </cols>
  <sheetData>
    <row r="1" spans="1:9" ht="11.25" customHeight="1">
      <c r="A1" s="765" t="s">
        <v>3263</v>
      </c>
      <c r="B1" s="765" t="s">
        <v>3264</v>
      </c>
      <c r="C1" s="1077" t="s">
        <v>3265</v>
      </c>
      <c r="D1" s="765" t="s">
        <v>3266</v>
      </c>
      <c r="E1" s="765" t="s">
        <v>3267</v>
      </c>
      <c r="F1" s="1077" t="s">
        <v>3268</v>
      </c>
      <c r="G1" s="1077" t="s">
        <v>3269</v>
      </c>
      <c r="H1" s="1077" t="s">
        <v>3270</v>
      </c>
      <c r="I1" s="1077" t="s">
        <v>3271</v>
      </c>
    </row>
    <row r="2" spans="1:9" ht="11.25" customHeight="1">
      <c r="A2" s="2113" t="s">
        <v>108</v>
      </c>
      <c r="B2" s="2113" t="s">
        <v>3272</v>
      </c>
      <c r="C2" s="2113" t="s">
        <v>22</v>
      </c>
      <c r="D2" s="2113" t="s">
        <v>3273</v>
      </c>
      <c r="E2" s="2113" t="s">
        <v>986</v>
      </c>
      <c r="F2" s="2113" t="s">
        <v>22</v>
      </c>
      <c r="G2" s="2113" t="s">
        <v>22</v>
      </c>
      <c r="H2" s="2113" t="s">
        <v>22</v>
      </c>
      <c r="I2" s="2113" t="s">
        <v>22</v>
      </c>
    </row>
    <row r="3" spans="1:9" ht="11.25" customHeight="1">
      <c r="A3" s="2113" t="s">
        <v>109</v>
      </c>
      <c r="B3" s="2113" t="s">
        <v>3274</v>
      </c>
      <c r="C3" s="2113" t="s">
        <v>22</v>
      </c>
      <c r="D3" s="2113" t="s">
        <v>3273</v>
      </c>
      <c r="E3" s="2113" t="s">
        <v>3275</v>
      </c>
      <c r="F3" s="2113" t="s">
        <v>22</v>
      </c>
      <c r="G3" s="2113" t="s">
        <v>22</v>
      </c>
      <c r="H3" s="2113" t="s">
        <v>22</v>
      </c>
      <c r="I3" s="2113" t="s">
        <v>22</v>
      </c>
    </row>
    <row r="4" spans="1:9" ht="11.25" customHeight="1">
      <c r="A4" s="2113" t="s">
        <v>92</v>
      </c>
      <c r="B4" s="2113" t="s">
        <v>3276</v>
      </c>
      <c r="C4" s="2113" t="s">
        <v>22</v>
      </c>
      <c r="D4" s="2113" t="s">
        <v>3273</v>
      </c>
      <c r="E4" s="2113" t="s">
        <v>3277</v>
      </c>
      <c r="F4" s="2113" t="s">
        <v>22</v>
      </c>
      <c r="G4" s="2113" t="s">
        <v>22</v>
      </c>
      <c r="H4" s="2113" t="s">
        <v>22</v>
      </c>
      <c r="I4" s="2113" t="s">
        <v>22</v>
      </c>
    </row>
    <row r="5" spans="1:9" ht="11.25" customHeight="1">
      <c r="A5" s="2113" t="s">
        <v>93</v>
      </c>
      <c r="B5" s="2113" t="s">
        <v>982</v>
      </c>
      <c r="C5" s="2113" t="s">
        <v>3278</v>
      </c>
      <c r="D5" s="2113" t="s">
        <v>985</v>
      </c>
      <c r="E5" s="2113" t="s">
        <v>986</v>
      </c>
      <c r="F5" s="2113" t="s">
        <v>987</v>
      </c>
      <c r="G5" s="2113" t="s">
        <v>3279</v>
      </c>
      <c r="H5" s="2113" t="s">
        <v>989</v>
      </c>
      <c r="I5" s="2113" t="s">
        <v>3280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71" hidden="1" customWidth="1"/>
    <col min="2" max="2" width="9.140625" style="2062" hidden="1" customWidth="1"/>
    <col min="3" max="3" width="3" style="2079" customWidth="1"/>
    <col min="4" max="4" width="5" style="2062" customWidth="1"/>
    <col min="5" max="5" width="48" style="2062" customWidth="1"/>
    <col min="6" max="6" width="38" style="2062" customWidth="1"/>
    <col min="7" max="7" width="1.7109375" style="2062" hidden="1" customWidth="1"/>
    <col min="8" max="11" width="19.85546875" style="2062" customWidth="1"/>
    <col min="12" max="12" width="9.7109375" style="2062" customWidth="1"/>
    <col min="13" max="18" width="19.85546875" style="2062" customWidth="1"/>
    <col min="19" max="19" width="1.7109375" style="2062" hidden="1" customWidth="1"/>
    <col min="20" max="22" width="19.85546875" style="2062" hidden="1" customWidth="1"/>
    <col min="23" max="23" width="1.7109375" style="2062" hidden="1" customWidth="1"/>
    <col min="24" max="26" width="19.85546875" style="2062" hidden="1" customWidth="1"/>
    <col min="27" max="27" width="1.7109375" style="2062" hidden="1" customWidth="1"/>
    <col min="28" max="29" width="19.85546875" style="2062" hidden="1" customWidth="1"/>
    <col min="30" max="30" width="1.7109375" style="2062" hidden="1" customWidth="1"/>
    <col min="31" max="31" width="103.7109375" style="2062" customWidth="1"/>
    <col min="32" max="34" width="103.7109375" style="2062" hidden="1" customWidth="1"/>
    <col min="35" max="35" width="3" style="2022" customWidth="1"/>
    <col min="36" max="38" width="10" style="2034" customWidth="1"/>
    <col min="39" max="39" width="13.7109375" style="2034" hidden="1" customWidth="1"/>
    <col min="40" max="40" width="15" style="2034" customWidth="1"/>
    <col min="41" max="41" width="16" style="2034" customWidth="1"/>
    <col min="42" max="45" width="10" style="2034" customWidth="1"/>
    <col min="46" max="46" width="10.5703125" style="2062" hidden="1"/>
  </cols>
  <sheetData>
    <row r="1" spans="1:46" ht="22.5" hidden="1" customHeight="1">
      <c r="E1" s="348"/>
      <c r="F1" s="348"/>
      <c r="G1" s="348"/>
      <c r="H1" s="2434" t="s">
        <v>349</v>
      </c>
      <c r="I1" s="2434"/>
      <c r="J1" s="2434"/>
      <c r="K1" s="2434"/>
      <c r="L1" s="2434"/>
      <c r="M1" s="2434"/>
      <c r="N1" s="2434"/>
      <c r="O1" s="2434"/>
      <c r="P1" s="2434"/>
      <c r="Q1" s="2434"/>
      <c r="R1" s="2434"/>
      <c r="T1" s="2434" t="s">
        <v>350</v>
      </c>
      <c r="U1" s="2434"/>
      <c r="V1" s="2434"/>
      <c r="X1" s="2434" t="s">
        <v>351</v>
      </c>
      <c r="Y1" s="2434"/>
      <c r="Z1" s="2434"/>
      <c r="AB1" s="2434" t="s">
        <v>352</v>
      </c>
      <c r="AC1" s="2434"/>
      <c r="AT1" s="383" t="s">
        <v>14</v>
      </c>
    </row>
    <row r="2" spans="1:46" ht="14.25" hidden="1" customHeight="1">
      <c r="AT2" s="383">
        <v>0</v>
      </c>
    </row>
    <row r="3" spans="1:46" s="2020" customFormat="1" ht="5.25" customHeight="1">
      <c r="C3" s="637"/>
      <c r="D3" s="638"/>
      <c r="E3" s="638"/>
      <c r="F3" s="638"/>
      <c r="G3" s="638"/>
      <c r="H3" s="638" t="s">
        <v>353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79"/>
      <c r="F4" s="2379"/>
      <c r="G4" s="2379"/>
      <c r="H4" s="2379"/>
      <c r="I4" s="2379"/>
      <c r="J4" s="2379"/>
      <c r="K4" s="2379"/>
      <c r="L4" s="2379"/>
      <c r="M4" s="2379"/>
      <c r="N4" s="2379"/>
      <c r="O4" s="2379"/>
      <c r="P4" s="2379"/>
      <c r="Q4" s="2379"/>
      <c r="R4" s="2380"/>
      <c r="S4" s="779"/>
      <c r="T4" s="635"/>
      <c r="U4" s="635"/>
      <c r="V4" s="635"/>
      <c r="W4" s="635"/>
      <c r="X4" s="635"/>
      <c r="Y4" s="635"/>
      <c r="Z4" s="635"/>
      <c r="AA4" s="635"/>
      <c r="AB4" s="635"/>
      <c r="AC4" s="635"/>
      <c r="AD4" s="635"/>
      <c r="AE4" s="427"/>
      <c r="AF4" s="427"/>
      <c r="AG4" s="427"/>
      <c r="AH4" s="427"/>
      <c r="AI4" s="424"/>
      <c r="AT4" s="383">
        <v>38</v>
      </c>
    </row>
    <row r="5" spans="1:46" s="2062" customFormat="1" ht="18" customHeight="1">
      <c r="A5" s="693"/>
      <c r="C5" s="752"/>
      <c r="D5" s="2431" t="str">
        <f>IF(org=0,"Не определено",org)</f>
        <v>ПАО "ТГК-1" филиал "Невский"</v>
      </c>
      <c r="E5" s="2432"/>
      <c r="F5" s="2432"/>
      <c r="G5" s="2432"/>
      <c r="H5" s="2432"/>
      <c r="I5" s="2432"/>
      <c r="J5" s="2432"/>
      <c r="K5" s="2432"/>
      <c r="L5" s="2432"/>
      <c r="M5" s="2432"/>
      <c r="N5" s="2432"/>
      <c r="O5" s="2432"/>
      <c r="P5" s="2432"/>
      <c r="Q5" s="2432"/>
      <c r="R5" s="2433"/>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22" t="s">
        <v>297</v>
      </c>
      <c r="E7" s="2435"/>
      <c r="F7" s="2435"/>
      <c r="G7" s="2435"/>
      <c r="H7" s="2435"/>
      <c r="I7" s="2435"/>
      <c r="J7" s="2435"/>
      <c r="K7" s="2435"/>
      <c r="L7" s="2435"/>
      <c r="M7" s="2435"/>
      <c r="N7" s="2435"/>
      <c r="O7" s="2435"/>
      <c r="P7" s="2435"/>
      <c r="Q7" s="2435"/>
      <c r="R7" s="2435"/>
      <c r="S7" s="2435"/>
      <c r="T7" s="2435"/>
      <c r="U7" s="2435"/>
      <c r="V7" s="2435"/>
      <c r="W7" s="2435"/>
      <c r="X7" s="2435"/>
      <c r="Y7" s="2435"/>
      <c r="Z7" s="2435"/>
      <c r="AA7" s="2435"/>
      <c r="AB7" s="2435"/>
      <c r="AC7" s="2435"/>
      <c r="AD7" s="2436"/>
      <c r="AE7" s="2385" t="s">
        <v>298</v>
      </c>
      <c r="AF7" s="2385" t="s">
        <v>298</v>
      </c>
      <c r="AG7" s="2385" t="s">
        <v>298</v>
      </c>
      <c r="AH7" s="2385" t="s">
        <v>298</v>
      </c>
      <c r="AT7" s="383">
        <v>14</v>
      </c>
    </row>
    <row r="8" spans="1:46" ht="27.4" customHeight="1">
      <c r="C8" s="386"/>
      <c r="D8" s="2328" t="s">
        <v>90</v>
      </c>
      <c r="E8" s="2385" t="str">
        <f>"Наименование "&amp;IF(TEMPLATE_SPHERE&lt;&gt;"HEAT","централизованной ","")&amp;"системы "&amp;TEMPLATE_SPHERE_RUS</f>
        <v>Наименование системы теплоснабжения</v>
      </c>
      <c r="F8" s="2385" t="str">
        <f>IF(TEMPLATE_SPHERE&lt;&gt;"HEAT","Регулируемый вид деятельности","Вид регулируемой деятельности")</f>
        <v>Вид регулируемой деятельности</v>
      </c>
      <c r="G8" s="758"/>
      <c r="H8" s="2423" t="s">
        <v>354</v>
      </c>
      <c r="I8" s="2427" t="s">
        <v>355</v>
      </c>
      <c r="J8" s="2385" t="s">
        <v>356</v>
      </c>
      <c r="K8" s="2385"/>
      <c r="L8" s="2385"/>
      <c r="M8" s="2422"/>
      <c r="N8" s="2385" t="s">
        <v>357</v>
      </c>
      <c r="O8" s="2385"/>
      <c r="P8" s="2385" t="s">
        <v>358</v>
      </c>
      <c r="Q8" s="2385"/>
      <c r="R8" s="2425" t="s">
        <v>359</v>
      </c>
      <c r="S8" s="754"/>
      <c r="T8" s="2423" t="s">
        <v>360</v>
      </c>
      <c r="U8" s="2423" t="s">
        <v>361</v>
      </c>
      <c r="V8" s="2423" t="s">
        <v>362</v>
      </c>
      <c r="W8" s="756"/>
      <c r="X8" s="2423" t="s">
        <v>363</v>
      </c>
      <c r="Y8" s="2423" t="s">
        <v>364</v>
      </c>
      <c r="Z8" s="2423" t="s">
        <v>365</v>
      </c>
      <c r="AA8" s="756"/>
      <c r="AB8" s="2423" t="s">
        <v>366</v>
      </c>
      <c r="AC8" s="2423" t="s">
        <v>359</v>
      </c>
      <c r="AD8" s="756"/>
      <c r="AE8" s="2385"/>
      <c r="AF8" s="2385"/>
      <c r="AG8" s="2385"/>
      <c r="AH8" s="2385"/>
      <c r="AT8" s="383">
        <v>26</v>
      </c>
    </row>
    <row r="9" spans="1:46" ht="46.15" customHeight="1">
      <c r="C9" s="386"/>
      <c r="D9" s="2328"/>
      <c r="E9" s="2385"/>
      <c r="F9" s="2385"/>
      <c r="G9" s="759"/>
      <c r="H9" s="2424"/>
      <c r="I9" s="2428"/>
      <c r="J9" s="361" t="s">
        <v>367</v>
      </c>
      <c r="K9" s="361" t="s">
        <v>368</v>
      </c>
      <c r="L9" s="361" t="s">
        <v>369</v>
      </c>
      <c r="M9" s="367" t="s">
        <v>370</v>
      </c>
      <c r="N9" s="361" t="s">
        <v>371</v>
      </c>
      <c r="O9" s="361" t="s">
        <v>370</v>
      </c>
      <c r="P9" s="361" t="s">
        <v>372</v>
      </c>
      <c r="Q9" s="361" t="s">
        <v>370</v>
      </c>
      <c r="R9" s="2426"/>
      <c r="S9" s="755"/>
      <c r="T9" s="2424"/>
      <c r="U9" s="2424"/>
      <c r="V9" s="2424"/>
      <c r="W9" s="757"/>
      <c r="X9" s="2424"/>
      <c r="Y9" s="2424"/>
      <c r="Z9" s="2424"/>
      <c r="AA9" s="757"/>
      <c r="AB9" s="2424"/>
      <c r="AC9" s="2424"/>
      <c r="AD9" s="757"/>
      <c r="AE9" s="2385"/>
      <c r="AF9" s="2385"/>
      <c r="AG9" s="2385"/>
      <c r="AH9" s="238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28" customFormat="1" ht="11.25" hidden="1" customHeight="1">
      <c r="C11" s="434"/>
      <c r="D11" s="435" t="s">
        <v>373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429" t="s">
        <v>374</v>
      </c>
      <c r="AF12" s="2429" t="s">
        <v>375</v>
      </c>
      <c r="AG12" s="2429" t="s">
        <v>376</v>
      </c>
      <c r="AH12" s="2429" t="s">
        <v>377</v>
      </c>
      <c r="AI12" s="383"/>
      <c r="AM12" s="447"/>
      <c r="AP12" s="436" t="s">
        <v>378</v>
      </c>
      <c r="AQ12" s="436" t="s">
        <v>378</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30"/>
      <c r="AF13" s="2430"/>
      <c r="AG13" s="2430"/>
      <c r="AH13" s="243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10"/>
  </cols>
  <sheetData>
    <row r="1" spans="1:2" ht="11.25" customHeight="1">
      <c r="A1" s="120" t="s">
        <v>129</v>
      </c>
      <c r="B1" s="120" t="s">
        <v>3281</v>
      </c>
    </row>
    <row r="2" spans="1:2" ht="11.25" customHeight="1">
      <c r="A2" s="3" t="s">
        <v>100</v>
      </c>
      <c r="B2" s="3" t="s">
        <v>3282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3"/>
    <col min="2" max="2" width="65.28515625" style="2113" customWidth="1"/>
  </cols>
  <sheetData>
    <row r="1" spans="1:2" ht="11.25" customHeight="1">
      <c r="A1" s="765" t="s">
        <v>3283</v>
      </c>
      <c r="B1" s="765" t="s">
        <v>3284</v>
      </c>
    </row>
    <row r="2" spans="1:2" ht="11.25" customHeight="1">
      <c r="A2" s="765">
        <v>4213775</v>
      </c>
      <c r="B2" s="765" t="s">
        <v>1290</v>
      </c>
    </row>
    <row r="3" spans="1:2" ht="11.25" customHeight="1">
      <c r="A3" s="765">
        <v>4213784</v>
      </c>
      <c r="B3" s="765" t="s">
        <v>1323</v>
      </c>
    </row>
    <row r="4" spans="1:2" ht="11.25" customHeight="1">
      <c r="A4" s="765">
        <v>4213781</v>
      </c>
      <c r="B4" s="765" t="s">
        <v>1316</v>
      </c>
    </row>
    <row r="5" spans="1:2" ht="11.25" customHeight="1">
      <c r="A5" s="765">
        <v>4213776</v>
      </c>
      <c r="B5" s="765" t="s">
        <v>165</v>
      </c>
    </row>
    <row r="6" spans="1:2" ht="11.25" customHeight="1">
      <c r="A6" s="765">
        <v>4213777</v>
      </c>
      <c r="B6" s="765" t="s">
        <v>171</v>
      </c>
    </row>
    <row r="7" spans="1:2" ht="11.25" customHeight="1">
      <c r="A7" s="765">
        <v>4213778</v>
      </c>
      <c r="B7" s="765" t="s">
        <v>177</v>
      </c>
    </row>
    <row r="8" spans="1:2" ht="11.25" customHeight="1">
      <c r="A8" s="765">
        <v>4213780</v>
      </c>
      <c r="B8" s="765" t="s">
        <v>183</v>
      </c>
    </row>
    <row r="9" spans="1:2" ht="11.25" customHeight="1">
      <c r="A9" s="765">
        <v>4213779</v>
      </c>
      <c r="B9" s="765" t="s">
        <v>1456</v>
      </c>
    </row>
    <row r="10" spans="1:2" ht="11.25" customHeight="1">
      <c r="A10" s="765">
        <v>4213783</v>
      </c>
      <c r="B10" s="765" t="s">
        <v>1471</v>
      </c>
    </row>
    <row r="11" spans="1:2" ht="11.25" customHeight="1">
      <c r="A11" s="765">
        <v>4213782</v>
      </c>
      <c r="B11" s="765"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3"/>
    <col min="2" max="2" width="65.28515625" style="2113" customWidth="1"/>
  </cols>
  <sheetData>
    <row r="1" spans="1:2" ht="11.25" customHeight="1">
      <c r="A1" s="765" t="s">
        <v>3283</v>
      </c>
      <c r="B1" s="765" t="s">
        <v>3285</v>
      </c>
    </row>
    <row r="2" spans="1:2" ht="11.25" customHeight="1">
      <c r="A2" s="765" t="s">
        <v>3286</v>
      </c>
      <c r="B2" s="765" t="s">
        <v>1563</v>
      </c>
    </row>
    <row r="3" spans="1:2" ht="11.25" customHeight="1">
      <c r="A3" s="765" t="s">
        <v>3287</v>
      </c>
      <c r="B3" s="765" t="s">
        <v>1572</v>
      </c>
    </row>
    <row r="4" spans="1:2" ht="11.25" customHeight="1">
      <c r="A4" s="765" t="s">
        <v>3288</v>
      </c>
      <c r="B4" s="765" t="s">
        <v>1580</v>
      </c>
    </row>
    <row r="5" spans="1:2" ht="11.25" customHeight="1">
      <c r="A5" s="765" t="s">
        <v>3289</v>
      </c>
      <c r="B5" s="765" t="s">
        <v>1589</v>
      </c>
    </row>
    <row r="6" spans="1:2" ht="11.25" customHeight="1">
      <c r="A6" s="765" t="s">
        <v>3290</v>
      </c>
      <c r="B6" s="765" t="s">
        <v>1594</v>
      </c>
    </row>
    <row r="7" spans="1:2" ht="11.25" customHeight="1">
      <c r="A7" s="765" t="s">
        <v>3291</v>
      </c>
      <c r="B7" s="765" t="s">
        <v>1601</v>
      </c>
    </row>
    <row r="8" spans="1:2" ht="11.25" customHeight="1">
      <c r="A8" s="765" t="s">
        <v>3292</v>
      </c>
      <c r="B8" s="765" t="s">
        <v>1607</v>
      </c>
    </row>
    <row r="9" spans="1:2" ht="11.25" customHeight="1">
      <c r="A9" s="765" t="s">
        <v>3293</v>
      </c>
      <c r="B9" s="765" t="s">
        <v>1612</v>
      </c>
    </row>
    <row r="10" spans="1:2" ht="11.25" customHeight="1">
      <c r="A10" s="765" t="s">
        <v>3294</v>
      </c>
      <c r="B10" s="765" t="s">
        <v>1616</v>
      </c>
    </row>
    <row r="11" spans="1:2" ht="11.25" customHeight="1">
      <c r="A11" s="765" t="s">
        <v>3295</v>
      </c>
      <c r="B11" s="765" t="s">
        <v>1623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9" t="s">
        <v>2984</v>
      </c>
      <c r="B1" s="309" t="s">
        <v>2979</v>
      </c>
      <c r="C1" s="309" t="s">
        <v>2981</v>
      </c>
      <c r="D1" s="309" t="s">
        <v>2982</v>
      </c>
    </row>
    <row r="2" spans="1:4" ht="11.25" customHeight="1">
      <c r="A2">
        <v>1</v>
      </c>
      <c r="B2" t="s">
        <v>3296</v>
      </c>
      <c r="C2" t="s">
        <v>3296</v>
      </c>
      <c r="D2" t="s">
        <v>3297</v>
      </c>
    </row>
    <row r="3" spans="1:4" ht="11.25" customHeight="1">
      <c r="A3">
        <v>2</v>
      </c>
      <c r="B3" t="s">
        <v>3296</v>
      </c>
      <c r="C3" t="s">
        <v>3298</v>
      </c>
      <c r="D3" t="s">
        <v>3299</v>
      </c>
    </row>
    <row r="4" spans="1:4" ht="11.25" customHeight="1">
      <c r="A4">
        <v>3</v>
      </c>
      <c r="B4" t="s">
        <v>3296</v>
      </c>
      <c r="C4" t="s">
        <v>3300</v>
      </c>
      <c r="D4" t="s">
        <v>3301</v>
      </c>
    </row>
    <row r="5" spans="1:4" ht="11.25" customHeight="1">
      <c r="A5">
        <v>4</v>
      </c>
      <c r="B5" t="s">
        <v>3296</v>
      </c>
      <c r="C5" t="s">
        <v>3302</v>
      </c>
      <c r="D5" t="s">
        <v>3303</v>
      </c>
    </row>
    <row r="6" spans="1:4" ht="11.25" customHeight="1">
      <c r="A6">
        <v>5</v>
      </c>
      <c r="B6" t="s">
        <v>3296</v>
      </c>
      <c r="C6" t="s">
        <v>3304</v>
      </c>
      <c r="D6" t="s">
        <v>3305</v>
      </c>
    </row>
    <row r="7" spans="1:4" ht="11.25" customHeight="1">
      <c r="A7">
        <v>6</v>
      </c>
      <c r="B7" t="s">
        <v>3296</v>
      </c>
      <c r="C7" t="s">
        <v>3306</v>
      </c>
      <c r="D7" t="s">
        <v>3307</v>
      </c>
    </row>
    <row r="8" spans="1:4" ht="11.25" customHeight="1">
      <c r="A8">
        <v>7</v>
      </c>
      <c r="B8" t="s">
        <v>3296</v>
      </c>
      <c r="C8" t="s">
        <v>3308</v>
      </c>
      <c r="D8" t="s">
        <v>3309</v>
      </c>
    </row>
    <row r="9" spans="1:4" ht="11.25" customHeight="1">
      <c r="A9">
        <v>8</v>
      </c>
      <c r="B9" t="s">
        <v>3296</v>
      </c>
      <c r="C9" t="s">
        <v>3310</v>
      </c>
      <c r="D9" t="s">
        <v>3311</v>
      </c>
    </row>
    <row r="10" spans="1:4" ht="11.25" customHeight="1">
      <c r="A10">
        <v>9</v>
      </c>
      <c r="B10" t="s">
        <v>3296</v>
      </c>
      <c r="C10" t="s">
        <v>3312</v>
      </c>
      <c r="D10" t="s">
        <v>3313</v>
      </c>
    </row>
    <row r="11" spans="1:4" ht="11.25" customHeight="1">
      <c r="A11">
        <v>10</v>
      </c>
      <c r="B11" t="s">
        <v>3296</v>
      </c>
      <c r="C11" t="s">
        <v>3314</v>
      </c>
      <c r="D11" t="s">
        <v>3315</v>
      </c>
    </row>
    <row r="12" spans="1:4" ht="11.25" customHeight="1">
      <c r="A12">
        <v>11</v>
      </c>
      <c r="B12" t="s">
        <v>3296</v>
      </c>
      <c r="C12" t="s">
        <v>3316</v>
      </c>
      <c r="D12" t="s">
        <v>3317</v>
      </c>
    </row>
    <row r="13" spans="1:4" ht="11.25" customHeight="1">
      <c r="A13">
        <v>13</v>
      </c>
      <c r="B13" t="s">
        <v>3296</v>
      </c>
      <c r="C13" t="s">
        <v>3318</v>
      </c>
      <c r="D13" t="s">
        <v>3319</v>
      </c>
    </row>
    <row r="14" spans="1:4" ht="11.25" customHeight="1">
      <c r="A14">
        <v>14</v>
      </c>
      <c r="B14" t="s">
        <v>3296</v>
      </c>
      <c r="C14" t="s">
        <v>3320</v>
      </c>
      <c r="D14" t="s">
        <v>3321</v>
      </c>
    </row>
    <row r="15" spans="1:4" ht="11.25" customHeight="1">
      <c r="A15">
        <v>15</v>
      </c>
      <c r="B15" t="s">
        <v>3296</v>
      </c>
      <c r="C15" t="s">
        <v>3322</v>
      </c>
      <c r="D15" t="s">
        <v>3323</v>
      </c>
    </row>
    <row r="16" spans="1:4" ht="11.25" customHeight="1">
      <c r="A16">
        <v>16</v>
      </c>
      <c r="B16" t="s">
        <v>3296</v>
      </c>
      <c r="C16" t="s">
        <v>3324</v>
      </c>
      <c r="D16" t="s">
        <v>3325</v>
      </c>
    </row>
    <row r="17" spans="1:4" ht="11.25" customHeight="1">
      <c r="A17">
        <v>17</v>
      </c>
      <c r="B17" t="s">
        <v>3296</v>
      </c>
      <c r="C17" t="s">
        <v>3326</v>
      </c>
      <c r="D17" t="s">
        <v>3327</v>
      </c>
    </row>
    <row r="18" spans="1:4" ht="11.25" customHeight="1">
      <c r="A18">
        <v>18</v>
      </c>
      <c r="B18" t="s">
        <v>3296</v>
      </c>
      <c r="C18" t="s">
        <v>3328</v>
      </c>
      <c r="D18" t="s">
        <v>3329</v>
      </c>
    </row>
    <row r="19" spans="1:4" ht="11.25" customHeight="1">
      <c r="A19">
        <v>19</v>
      </c>
      <c r="B19" t="s">
        <v>3296</v>
      </c>
      <c r="C19" t="s">
        <v>3330</v>
      </c>
      <c r="D19" t="s">
        <v>3331</v>
      </c>
    </row>
    <row r="20" spans="1:4" ht="11.25" customHeight="1">
      <c r="A20">
        <v>20</v>
      </c>
      <c r="B20" t="s">
        <v>3296</v>
      </c>
      <c r="C20" t="s">
        <v>3332</v>
      </c>
      <c r="D20" t="s">
        <v>3333</v>
      </c>
    </row>
    <row r="21" spans="1:4" ht="11.25" customHeight="1">
      <c r="A21">
        <v>21</v>
      </c>
      <c r="B21" t="s">
        <v>3334</v>
      </c>
      <c r="C21" t="s">
        <v>3335</v>
      </c>
      <c r="D21" t="s">
        <v>3336</v>
      </c>
    </row>
    <row r="22" spans="1:4" ht="11.25" customHeight="1">
      <c r="A22">
        <v>22</v>
      </c>
      <c r="B22" t="s">
        <v>3334</v>
      </c>
      <c r="C22" t="s">
        <v>3334</v>
      </c>
      <c r="D22" t="s">
        <v>3337</v>
      </c>
    </row>
    <row r="23" spans="1:4" ht="11.25" customHeight="1">
      <c r="A23">
        <v>23</v>
      </c>
      <c r="B23" t="s">
        <v>3334</v>
      </c>
      <c r="C23" t="s">
        <v>3338</v>
      </c>
      <c r="D23" t="s">
        <v>3339</v>
      </c>
    </row>
    <row r="24" spans="1:4" ht="11.25" customHeight="1">
      <c r="A24">
        <v>24</v>
      </c>
      <c r="B24" t="s">
        <v>3334</v>
      </c>
      <c r="C24" t="s">
        <v>3340</v>
      </c>
      <c r="D24" t="s">
        <v>3341</v>
      </c>
    </row>
    <row r="25" spans="1:4" ht="11.25" customHeight="1">
      <c r="A25">
        <v>25</v>
      </c>
      <c r="B25" t="s">
        <v>3334</v>
      </c>
      <c r="C25" t="s">
        <v>3342</v>
      </c>
      <c r="D25" t="s">
        <v>3343</v>
      </c>
    </row>
    <row r="26" spans="1:4" ht="11.25" customHeight="1">
      <c r="A26">
        <v>26</v>
      </c>
      <c r="B26" t="s">
        <v>3334</v>
      </c>
      <c r="C26" t="s">
        <v>3344</v>
      </c>
      <c r="D26" t="s">
        <v>3345</v>
      </c>
    </row>
    <row r="27" spans="1:4" ht="11.25" customHeight="1">
      <c r="A27">
        <v>27</v>
      </c>
      <c r="B27" t="s">
        <v>3334</v>
      </c>
      <c r="C27" t="s">
        <v>3346</v>
      </c>
      <c r="D27" t="s">
        <v>3347</v>
      </c>
    </row>
    <row r="28" spans="1:4" ht="11.25" customHeight="1">
      <c r="A28">
        <v>28</v>
      </c>
      <c r="B28" t="s">
        <v>3334</v>
      </c>
      <c r="C28" t="s">
        <v>3348</v>
      </c>
      <c r="D28" t="s">
        <v>3349</v>
      </c>
    </row>
    <row r="29" spans="1:4" ht="11.25" customHeight="1">
      <c r="A29">
        <v>29</v>
      </c>
      <c r="B29" t="s">
        <v>3334</v>
      </c>
      <c r="C29" t="s">
        <v>3350</v>
      </c>
      <c r="D29" t="s">
        <v>3351</v>
      </c>
    </row>
    <row r="30" spans="1:4" ht="11.25" customHeight="1">
      <c r="A30">
        <v>30</v>
      </c>
      <c r="B30" t="s">
        <v>3334</v>
      </c>
      <c r="C30" t="s">
        <v>3352</v>
      </c>
      <c r="D30" t="s">
        <v>3353</v>
      </c>
    </row>
    <row r="31" spans="1:4" ht="11.25" customHeight="1">
      <c r="A31">
        <v>31</v>
      </c>
      <c r="B31" t="s">
        <v>3334</v>
      </c>
      <c r="C31" t="s">
        <v>3354</v>
      </c>
      <c r="D31" t="s">
        <v>3355</v>
      </c>
    </row>
    <row r="32" spans="1:4" ht="11.25" customHeight="1">
      <c r="A32">
        <v>32</v>
      </c>
      <c r="B32" t="s">
        <v>3356</v>
      </c>
      <c r="C32" t="s">
        <v>3356</v>
      </c>
      <c r="D32" t="s">
        <v>3357</v>
      </c>
    </row>
    <row r="33" spans="1:4" ht="11.25" customHeight="1">
      <c r="A33">
        <v>33</v>
      </c>
      <c r="B33" t="s">
        <v>3356</v>
      </c>
      <c r="C33" t="s">
        <v>3358</v>
      </c>
      <c r="D33" t="s">
        <v>3359</v>
      </c>
    </row>
    <row r="34" spans="1:4" ht="11.25" customHeight="1">
      <c r="A34">
        <v>34</v>
      </c>
      <c r="B34" t="s">
        <v>3356</v>
      </c>
      <c r="C34" t="s">
        <v>3360</v>
      </c>
      <c r="D34" t="s">
        <v>3361</v>
      </c>
    </row>
    <row r="35" spans="1:4" ht="11.25" customHeight="1">
      <c r="A35">
        <v>35</v>
      </c>
      <c r="B35" t="s">
        <v>3356</v>
      </c>
      <c r="C35" t="s">
        <v>3362</v>
      </c>
      <c r="D35" t="s">
        <v>3363</v>
      </c>
    </row>
    <row r="36" spans="1:4" ht="11.25" customHeight="1">
      <c r="A36">
        <v>36</v>
      </c>
      <c r="B36" t="s">
        <v>3356</v>
      </c>
      <c r="C36" t="s">
        <v>3364</v>
      </c>
      <c r="D36" t="s">
        <v>3365</v>
      </c>
    </row>
    <row r="37" spans="1:4" ht="11.25" customHeight="1">
      <c r="A37">
        <v>37</v>
      </c>
      <c r="B37" t="s">
        <v>3356</v>
      </c>
      <c r="C37" t="s">
        <v>3366</v>
      </c>
      <c r="D37" t="s">
        <v>3367</v>
      </c>
    </row>
    <row r="38" spans="1:4" ht="11.25" customHeight="1">
      <c r="A38">
        <v>38</v>
      </c>
      <c r="B38" t="s">
        <v>3356</v>
      </c>
      <c r="C38" t="s">
        <v>3322</v>
      </c>
      <c r="D38" t="s">
        <v>3368</v>
      </c>
    </row>
    <row r="39" spans="1:4" ht="11.25" customHeight="1">
      <c r="A39">
        <v>39</v>
      </c>
      <c r="B39" t="s">
        <v>3356</v>
      </c>
      <c r="C39" t="s">
        <v>3369</v>
      </c>
      <c r="D39" t="s">
        <v>3370</v>
      </c>
    </row>
    <row r="40" spans="1:4" ht="11.25" customHeight="1">
      <c r="A40">
        <v>40</v>
      </c>
      <c r="B40" t="s">
        <v>3356</v>
      </c>
      <c r="C40" t="s">
        <v>3371</v>
      </c>
      <c r="D40" t="s">
        <v>3372</v>
      </c>
    </row>
    <row r="41" spans="1:4" ht="11.25" customHeight="1">
      <c r="A41">
        <v>41</v>
      </c>
      <c r="B41" t="s">
        <v>3373</v>
      </c>
      <c r="C41" t="s">
        <v>3373</v>
      </c>
      <c r="D41" t="s">
        <v>3374</v>
      </c>
    </row>
    <row r="42" spans="1:4" ht="11.25" customHeight="1">
      <c r="A42">
        <v>42</v>
      </c>
      <c r="B42" t="s">
        <v>3373</v>
      </c>
      <c r="C42" t="s">
        <v>3375</v>
      </c>
      <c r="D42" t="s">
        <v>3376</v>
      </c>
    </row>
    <row r="43" spans="1:4" ht="11.25" customHeight="1">
      <c r="A43">
        <v>43</v>
      </c>
      <c r="B43" t="s">
        <v>3373</v>
      </c>
      <c r="C43" t="s">
        <v>3377</v>
      </c>
      <c r="D43" t="s">
        <v>3378</v>
      </c>
    </row>
    <row r="44" spans="1:4" ht="11.25" customHeight="1">
      <c r="A44">
        <v>44</v>
      </c>
      <c r="B44" t="s">
        <v>3373</v>
      </c>
      <c r="C44" t="s">
        <v>3379</v>
      </c>
      <c r="D44" t="s">
        <v>3380</v>
      </c>
    </row>
    <row r="45" spans="1:4" ht="11.25" customHeight="1">
      <c r="A45">
        <v>45</v>
      </c>
      <c r="B45" t="s">
        <v>3373</v>
      </c>
      <c r="C45" t="s">
        <v>3381</v>
      </c>
      <c r="D45" t="s">
        <v>3382</v>
      </c>
    </row>
    <row r="46" spans="1:4" ht="11.25" customHeight="1">
      <c r="A46">
        <v>46</v>
      </c>
      <c r="B46" t="s">
        <v>3373</v>
      </c>
      <c r="C46" t="s">
        <v>3383</v>
      </c>
      <c r="D46" t="s">
        <v>3384</v>
      </c>
    </row>
    <row r="47" spans="1:4" ht="11.25" customHeight="1">
      <c r="A47">
        <v>47</v>
      </c>
      <c r="B47" t="s">
        <v>3373</v>
      </c>
      <c r="C47" t="s">
        <v>3385</v>
      </c>
      <c r="D47" t="s">
        <v>3386</v>
      </c>
    </row>
    <row r="48" spans="1:4" ht="11.25" customHeight="1">
      <c r="A48">
        <v>48</v>
      </c>
      <c r="B48" t="s">
        <v>3373</v>
      </c>
      <c r="C48" t="s">
        <v>3387</v>
      </c>
      <c r="D48" t="s">
        <v>3388</v>
      </c>
    </row>
    <row r="49" spans="1:4" ht="11.25" customHeight="1">
      <c r="A49">
        <v>49</v>
      </c>
      <c r="B49" t="s">
        <v>3373</v>
      </c>
      <c r="C49" t="s">
        <v>3389</v>
      </c>
      <c r="D49" t="s">
        <v>3390</v>
      </c>
    </row>
    <row r="50" spans="1:4" ht="11.25" customHeight="1">
      <c r="A50">
        <v>50</v>
      </c>
      <c r="B50" t="s">
        <v>3373</v>
      </c>
      <c r="C50" t="s">
        <v>3391</v>
      </c>
      <c r="D50" t="s">
        <v>3392</v>
      </c>
    </row>
    <row r="51" spans="1:4" ht="11.25" customHeight="1">
      <c r="A51">
        <v>51</v>
      </c>
      <c r="B51" t="s">
        <v>3373</v>
      </c>
      <c r="C51" t="s">
        <v>3393</v>
      </c>
      <c r="D51" t="s">
        <v>3394</v>
      </c>
    </row>
    <row r="52" spans="1:4" ht="11.25" customHeight="1">
      <c r="A52">
        <v>52</v>
      </c>
      <c r="B52" t="s">
        <v>3373</v>
      </c>
      <c r="C52" t="s">
        <v>3395</v>
      </c>
      <c r="D52" t="s">
        <v>3396</v>
      </c>
    </row>
    <row r="53" spans="1:4" ht="11.25" customHeight="1">
      <c r="A53">
        <v>53</v>
      </c>
      <c r="B53" t="s">
        <v>3373</v>
      </c>
      <c r="C53" t="s">
        <v>3397</v>
      </c>
      <c r="D53" t="s">
        <v>3398</v>
      </c>
    </row>
    <row r="54" spans="1:4" ht="11.25" customHeight="1">
      <c r="A54">
        <v>54</v>
      </c>
      <c r="B54" t="s">
        <v>3373</v>
      </c>
      <c r="C54" t="s">
        <v>3399</v>
      </c>
      <c r="D54" t="s">
        <v>3400</v>
      </c>
    </row>
    <row r="55" spans="1:4" ht="11.25" customHeight="1">
      <c r="A55">
        <v>55</v>
      </c>
      <c r="B55" t="s">
        <v>3373</v>
      </c>
      <c r="C55" t="s">
        <v>3401</v>
      </c>
      <c r="D55" t="s">
        <v>3402</v>
      </c>
    </row>
    <row r="56" spans="1:4" ht="11.25" customHeight="1">
      <c r="A56">
        <v>56</v>
      </c>
      <c r="B56" t="s">
        <v>3373</v>
      </c>
      <c r="C56" t="s">
        <v>3403</v>
      </c>
      <c r="D56" t="s">
        <v>3404</v>
      </c>
    </row>
    <row r="57" spans="1:4" ht="11.25" customHeight="1">
      <c r="A57">
        <v>57</v>
      </c>
      <c r="B57" t="s">
        <v>3405</v>
      </c>
      <c r="C57" t="s">
        <v>3406</v>
      </c>
      <c r="D57" t="s">
        <v>3407</v>
      </c>
    </row>
    <row r="58" spans="1:4" ht="11.25" customHeight="1">
      <c r="A58">
        <v>58</v>
      </c>
      <c r="B58" t="s">
        <v>3405</v>
      </c>
      <c r="C58" t="s">
        <v>3405</v>
      </c>
      <c r="D58" t="s">
        <v>3408</v>
      </c>
    </row>
    <row r="59" spans="1:4" ht="11.25" customHeight="1">
      <c r="A59">
        <v>59</v>
      </c>
      <c r="B59" t="s">
        <v>3405</v>
      </c>
      <c r="C59" t="s">
        <v>3409</v>
      </c>
      <c r="D59" t="s">
        <v>3410</v>
      </c>
    </row>
    <row r="60" spans="1:4" ht="11.25" customHeight="1">
      <c r="A60">
        <v>60</v>
      </c>
      <c r="B60" t="s">
        <v>3405</v>
      </c>
      <c r="C60" t="s">
        <v>3411</v>
      </c>
      <c r="D60" t="s">
        <v>3412</v>
      </c>
    </row>
    <row r="61" spans="1:4" ht="11.25" customHeight="1">
      <c r="A61">
        <v>61</v>
      </c>
      <c r="B61" t="s">
        <v>3405</v>
      </c>
      <c r="C61" t="s">
        <v>3413</v>
      </c>
      <c r="D61" t="s">
        <v>3414</v>
      </c>
    </row>
    <row r="62" spans="1:4" ht="11.25" customHeight="1">
      <c r="A62">
        <v>62</v>
      </c>
      <c r="B62" t="s">
        <v>3405</v>
      </c>
      <c r="C62" t="s">
        <v>3415</v>
      </c>
      <c r="D62" t="s">
        <v>3416</v>
      </c>
    </row>
    <row r="63" spans="1:4" ht="11.25" customHeight="1">
      <c r="A63">
        <v>63</v>
      </c>
      <c r="B63" t="s">
        <v>3405</v>
      </c>
      <c r="C63" t="s">
        <v>3417</v>
      </c>
      <c r="D63" t="s">
        <v>3418</v>
      </c>
    </row>
    <row r="64" spans="1:4" ht="11.25" customHeight="1">
      <c r="A64">
        <v>64</v>
      </c>
      <c r="B64" t="s">
        <v>3405</v>
      </c>
      <c r="C64" t="s">
        <v>3419</v>
      </c>
      <c r="D64" t="s">
        <v>3420</v>
      </c>
    </row>
    <row r="65" spans="1:4" ht="11.25" customHeight="1">
      <c r="A65">
        <v>65</v>
      </c>
      <c r="B65" t="s">
        <v>3405</v>
      </c>
      <c r="C65" t="s">
        <v>3421</v>
      </c>
      <c r="D65" t="s">
        <v>3422</v>
      </c>
    </row>
    <row r="66" spans="1:4" ht="11.25" customHeight="1">
      <c r="A66">
        <v>66</v>
      </c>
      <c r="B66" t="s">
        <v>3405</v>
      </c>
      <c r="C66" t="s">
        <v>3423</v>
      </c>
      <c r="D66" t="s">
        <v>3424</v>
      </c>
    </row>
    <row r="67" spans="1:4" ht="11.25" customHeight="1">
      <c r="A67">
        <v>67</v>
      </c>
      <c r="B67" t="s">
        <v>3405</v>
      </c>
      <c r="C67" t="s">
        <v>3425</v>
      </c>
      <c r="D67" t="s">
        <v>3426</v>
      </c>
    </row>
    <row r="68" spans="1:4" ht="11.25" customHeight="1">
      <c r="A68">
        <v>68</v>
      </c>
      <c r="B68" t="s">
        <v>3405</v>
      </c>
      <c r="C68" t="s">
        <v>3427</v>
      </c>
      <c r="D68" t="s">
        <v>3428</v>
      </c>
    </row>
    <row r="69" spans="1:4" ht="11.25" customHeight="1">
      <c r="A69">
        <v>69</v>
      </c>
      <c r="B69" t="s">
        <v>3405</v>
      </c>
      <c r="C69" t="s">
        <v>3429</v>
      </c>
      <c r="D69" t="s">
        <v>3430</v>
      </c>
    </row>
    <row r="70" spans="1:4" ht="11.25" customHeight="1">
      <c r="A70">
        <v>70</v>
      </c>
      <c r="B70" t="s">
        <v>3431</v>
      </c>
      <c r="C70" t="s">
        <v>3431</v>
      </c>
      <c r="D70" t="s">
        <v>3432</v>
      </c>
    </row>
    <row r="71" spans="1:4" ht="11.25" customHeight="1">
      <c r="A71">
        <v>71</v>
      </c>
      <c r="B71" t="s">
        <v>3431</v>
      </c>
      <c r="C71" t="s">
        <v>3433</v>
      </c>
      <c r="D71" t="s">
        <v>3434</v>
      </c>
    </row>
    <row r="72" spans="1:4" ht="11.25" customHeight="1">
      <c r="A72">
        <v>72</v>
      </c>
      <c r="B72" t="s">
        <v>3431</v>
      </c>
      <c r="C72" t="s">
        <v>3435</v>
      </c>
      <c r="D72" t="s">
        <v>3436</v>
      </c>
    </row>
    <row r="73" spans="1:4" ht="11.25" customHeight="1">
      <c r="A73">
        <v>73</v>
      </c>
      <c r="B73" t="s">
        <v>3431</v>
      </c>
      <c r="C73" t="s">
        <v>3437</v>
      </c>
      <c r="D73" t="s">
        <v>3438</v>
      </c>
    </row>
    <row r="74" spans="1:4" ht="11.25" customHeight="1">
      <c r="A74">
        <v>74</v>
      </c>
      <c r="B74" t="s">
        <v>3431</v>
      </c>
      <c r="C74" t="s">
        <v>3439</v>
      </c>
      <c r="D74" t="s">
        <v>3440</v>
      </c>
    </row>
    <row r="75" spans="1:4" ht="11.25" customHeight="1">
      <c r="A75">
        <v>75</v>
      </c>
      <c r="B75" t="s">
        <v>3431</v>
      </c>
      <c r="C75" t="s">
        <v>3441</v>
      </c>
      <c r="D75" t="s">
        <v>3442</v>
      </c>
    </row>
    <row r="76" spans="1:4" ht="11.25" customHeight="1">
      <c r="A76">
        <v>76</v>
      </c>
      <c r="B76" t="s">
        <v>3431</v>
      </c>
      <c r="C76" t="s">
        <v>3443</v>
      </c>
      <c r="D76" t="s">
        <v>3444</v>
      </c>
    </row>
    <row r="77" spans="1:4" ht="11.25" customHeight="1">
      <c r="A77">
        <v>77</v>
      </c>
      <c r="B77" t="s">
        <v>3431</v>
      </c>
      <c r="C77" t="s">
        <v>3445</v>
      </c>
      <c r="D77" t="s">
        <v>3446</v>
      </c>
    </row>
    <row r="78" spans="1:4" ht="11.25" customHeight="1">
      <c r="A78">
        <v>78</v>
      </c>
      <c r="B78" t="s">
        <v>3431</v>
      </c>
      <c r="C78" t="s">
        <v>3447</v>
      </c>
      <c r="D78" t="s">
        <v>3448</v>
      </c>
    </row>
    <row r="79" spans="1:4" ht="11.25" customHeight="1">
      <c r="A79">
        <v>79</v>
      </c>
      <c r="B79" t="s">
        <v>3431</v>
      </c>
      <c r="C79" t="s">
        <v>3449</v>
      </c>
      <c r="D79" t="s">
        <v>3450</v>
      </c>
    </row>
    <row r="80" spans="1:4" ht="11.25" customHeight="1">
      <c r="A80">
        <v>80</v>
      </c>
      <c r="B80" t="s">
        <v>3451</v>
      </c>
      <c r="C80" t="s">
        <v>3452</v>
      </c>
      <c r="D80" t="s">
        <v>3453</v>
      </c>
    </row>
    <row r="81" spans="1:4" ht="11.25" customHeight="1">
      <c r="A81">
        <v>81</v>
      </c>
      <c r="B81" t="s">
        <v>3451</v>
      </c>
      <c r="C81" t="s">
        <v>3451</v>
      </c>
      <c r="D81" t="s">
        <v>3454</v>
      </c>
    </row>
    <row r="82" spans="1:4" ht="11.25" customHeight="1">
      <c r="A82">
        <v>82</v>
      </c>
      <c r="B82" t="s">
        <v>3451</v>
      </c>
      <c r="C82" t="s">
        <v>3455</v>
      </c>
      <c r="D82" t="s">
        <v>3456</v>
      </c>
    </row>
    <row r="83" spans="1:4" ht="11.25" customHeight="1">
      <c r="A83">
        <v>83</v>
      </c>
      <c r="B83" t="s">
        <v>3451</v>
      </c>
      <c r="C83" t="s">
        <v>3457</v>
      </c>
      <c r="D83" t="s">
        <v>3458</v>
      </c>
    </row>
    <row r="84" spans="1:4" ht="11.25" customHeight="1">
      <c r="A84">
        <v>84</v>
      </c>
      <c r="B84" t="s">
        <v>3451</v>
      </c>
      <c r="C84" t="s">
        <v>3459</v>
      </c>
      <c r="D84" t="s">
        <v>3460</v>
      </c>
    </row>
    <row r="85" spans="1:4" ht="11.25" customHeight="1">
      <c r="A85">
        <v>85</v>
      </c>
      <c r="B85" t="s">
        <v>3451</v>
      </c>
      <c r="C85" t="s">
        <v>3461</v>
      </c>
      <c r="D85" t="s">
        <v>3462</v>
      </c>
    </row>
    <row r="86" spans="1:4" ht="11.25" customHeight="1">
      <c r="A86">
        <v>86</v>
      </c>
      <c r="B86" t="s">
        <v>3451</v>
      </c>
      <c r="C86" t="s">
        <v>3463</v>
      </c>
      <c r="D86" t="s">
        <v>3464</v>
      </c>
    </row>
    <row r="87" spans="1:4" ht="11.25" customHeight="1">
      <c r="A87">
        <v>87</v>
      </c>
      <c r="B87" t="s">
        <v>3451</v>
      </c>
      <c r="C87" t="s">
        <v>3465</v>
      </c>
      <c r="D87" t="s">
        <v>3466</v>
      </c>
    </row>
    <row r="88" spans="1:4" ht="11.25" customHeight="1">
      <c r="A88">
        <v>88</v>
      </c>
      <c r="B88" t="s">
        <v>3451</v>
      </c>
      <c r="C88" t="s">
        <v>3467</v>
      </c>
      <c r="D88" t="s">
        <v>3468</v>
      </c>
    </row>
    <row r="89" spans="1:4" ht="11.25" customHeight="1">
      <c r="A89">
        <v>89</v>
      </c>
      <c r="B89" t="s">
        <v>3469</v>
      </c>
      <c r="C89" t="s">
        <v>3470</v>
      </c>
      <c r="D89" t="s">
        <v>3471</v>
      </c>
    </row>
    <row r="90" spans="1:4" ht="11.25" customHeight="1">
      <c r="A90">
        <v>90</v>
      </c>
      <c r="B90" t="s">
        <v>3469</v>
      </c>
      <c r="C90" t="s">
        <v>3472</v>
      </c>
      <c r="D90" t="s">
        <v>3473</v>
      </c>
    </row>
    <row r="91" spans="1:4" ht="11.25" customHeight="1">
      <c r="A91">
        <v>91</v>
      </c>
      <c r="B91" t="s">
        <v>3469</v>
      </c>
      <c r="C91" t="s">
        <v>3469</v>
      </c>
      <c r="D91" t="s">
        <v>3474</v>
      </c>
    </row>
    <row r="92" spans="1:4" ht="11.25" customHeight="1">
      <c r="A92">
        <v>92</v>
      </c>
      <c r="B92" t="s">
        <v>3469</v>
      </c>
      <c r="C92" t="s">
        <v>3475</v>
      </c>
      <c r="D92" t="s">
        <v>3476</v>
      </c>
    </row>
    <row r="93" spans="1:4" ht="11.25" customHeight="1">
      <c r="A93">
        <v>93</v>
      </c>
      <c r="B93" t="s">
        <v>3469</v>
      </c>
      <c r="C93" t="s">
        <v>3477</v>
      </c>
      <c r="D93" t="s">
        <v>3478</v>
      </c>
    </row>
    <row r="94" spans="1:4" ht="11.25" customHeight="1">
      <c r="A94">
        <v>94</v>
      </c>
      <c r="B94" t="s">
        <v>3469</v>
      </c>
      <c r="C94" t="s">
        <v>3479</v>
      </c>
      <c r="D94" t="s">
        <v>3480</v>
      </c>
    </row>
    <row r="95" spans="1:4" ht="11.25" customHeight="1">
      <c r="A95">
        <v>95</v>
      </c>
      <c r="B95" t="s">
        <v>3469</v>
      </c>
      <c r="C95" t="s">
        <v>3481</v>
      </c>
      <c r="D95" t="s">
        <v>3482</v>
      </c>
    </row>
    <row r="96" spans="1:4" ht="11.25" customHeight="1">
      <c r="A96">
        <v>96</v>
      </c>
      <c r="B96" t="s">
        <v>3469</v>
      </c>
      <c r="C96" t="s">
        <v>3483</v>
      </c>
      <c r="D96" t="s">
        <v>3484</v>
      </c>
    </row>
    <row r="97" spans="1:4" ht="11.25" customHeight="1">
      <c r="A97">
        <v>97</v>
      </c>
      <c r="B97" t="s">
        <v>3469</v>
      </c>
      <c r="C97" t="s">
        <v>3485</v>
      </c>
      <c r="D97" t="s">
        <v>3486</v>
      </c>
    </row>
    <row r="98" spans="1:4" ht="11.25" customHeight="1">
      <c r="A98">
        <v>98</v>
      </c>
      <c r="B98" t="s">
        <v>3469</v>
      </c>
      <c r="C98" t="s">
        <v>3487</v>
      </c>
      <c r="D98" t="s">
        <v>3488</v>
      </c>
    </row>
    <row r="99" spans="1:4" ht="11.25" customHeight="1">
      <c r="A99">
        <v>99</v>
      </c>
      <c r="B99" t="s">
        <v>3469</v>
      </c>
      <c r="C99" t="s">
        <v>3489</v>
      </c>
      <c r="D99" t="s">
        <v>3490</v>
      </c>
    </row>
    <row r="100" spans="1:4" ht="11.25" customHeight="1">
      <c r="A100">
        <v>100</v>
      </c>
      <c r="B100" t="s">
        <v>3469</v>
      </c>
      <c r="C100" t="s">
        <v>3491</v>
      </c>
      <c r="D100" t="s">
        <v>3492</v>
      </c>
    </row>
    <row r="101" spans="1:4" ht="11.25" customHeight="1">
      <c r="A101">
        <v>101</v>
      </c>
      <c r="B101" t="s">
        <v>3493</v>
      </c>
      <c r="C101" t="s">
        <v>3493</v>
      </c>
      <c r="D101" t="s">
        <v>3494</v>
      </c>
    </row>
    <row r="102" spans="1:4" ht="11.25" customHeight="1">
      <c r="A102">
        <v>102</v>
      </c>
      <c r="B102" t="s">
        <v>3495</v>
      </c>
      <c r="C102" t="s">
        <v>3495</v>
      </c>
      <c r="D102" t="s">
        <v>3496</v>
      </c>
    </row>
    <row r="103" spans="1:4" ht="11.25" customHeight="1">
      <c r="A103">
        <v>103</v>
      </c>
      <c r="B103" t="s">
        <v>3497</v>
      </c>
      <c r="C103" t="s">
        <v>3497</v>
      </c>
      <c r="D103" t="s">
        <v>3498</v>
      </c>
    </row>
    <row r="104" spans="1:4" ht="11.25" customHeight="1">
      <c r="A104">
        <v>104</v>
      </c>
      <c r="B104" t="s">
        <v>3499</v>
      </c>
      <c r="C104" t="s">
        <v>3499</v>
      </c>
      <c r="D104" t="s">
        <v>3500</v>
      </c>
    </row>
    <row r="105" spans="1:4" ht="11.25" customHeight="1">
      <c r="A105">
        <v>105</v>
      </c>
      <c r="B105" t="s">
        <v>3501</v>
      </c>
      <c r="C105" t="s">
        <v>3501</v>
      </c>
      <c r="D105" t="s">
        <v>3502</v>
      </c>
    </row>
    <row r="106" spans="1:4" ht="11.25" customHeight="1">
      <c r="A106">
        <v>106</v>
      </c>
      <c r="B106" t="s">
        <v>3503</v>
      </c>
      <c r="C106" t="s">
        <v>3503</v>
      </c>
      <c r="D106" t="s">
        <v>3504</v>
      </c>
    </row>
    <row r="107" spans="1:4" ht="11.25" customHeight="1">
      <c r="A107">
        <v>107</v>
      </c>
      <c r="B107" t="s">
        <v>3505</v>
      </c>
      <c r="C107" t="s">
        <v>3505</v>
      </c>
      <c r="D107" t="s">
        <v>3506</v>
      </c>
    </row>
    <row r="108" spans="1:4" ht="11.25" customHeight="1">
      <c r="A108">
        <v>108</v>
      </c>
      <c r="B108" t="s">
        <v>3507</v>
      </c>
      <c r="C108" t="s">
        <v>3507</v>
      </c>
      <c r="D108" t="s">
        <v>3508</v>
      </c>
    </row>
    <row r="109" spans="1:4" ht="11.25" customHeight="1">
      <c r="A109">
        <v>109</v>
      </c>
      <c r="B109" t="s">
        <v>3509</v>
      </c>
      <c r="C109" t="s">
        <v>3509</v>
      </c>
      <c r="D109" t="s">
        <v>3510</v>
      </c>
    </row>
    <row r="110" spans="1:4" ht="11.25" customHeight="1">
      <c r="A110">
        <v>110</v>
      </c>
      <c r="B110" t="s">
        <v>3511</v>
      </c>
      <c r="C110" t="s">
        <v>3511</v>
      </c>
      <c r="D110" t="s">
        <v>3512</v>
      </c>
    </row>
    <row r="111" spans="1:4" ht="11.25" customHeight="1">
      <c r="A111">
        <v>111</v>
      </c>
      <c r="B111" t="s">
        <v>3511</v>
      </c>
      <c r="C111" t="s">
        <v>3513</v>
      </c>
      <c r="D111" t="s">
        <v>3514</v>
      </c>
    </row>
    <row r="112" spans="1:4" ht="11.25" customHeight="1">
      <c r="A112">
        <v>112</v>
      </c>
      <c r="B112" t="s">
        <v>3511</v>
      </c>
      <c r="C112" t="s">
        <v>3515</v>
      </c>
      <c r="D112" t="s">
        <v>3516</v>
      </c>
    </row>
    <row r="113" spans="1:4" ht="11.25" customHeight="1">
      <c r="A113">
        <v>113</v>
      </c>
      <c r="B113" t="s">
        <v>3511</v>
      </c>
      <c r="C113" t="s">
        <v>3517</v>
      </c>
      <c r="D113" t="s">
        <v>3518</v>
      </c>
    </row>
    <row r="114" spans="1:4" ht="11.25" customHeight="1">
      <c r="A114">
        <v>114</v>
      </c>
      <c r="B114" t="s">
        <v>3511</v>
      </c>
      <c r="C114" t="s">
        <v>3519</v>
      </c>
      <c r="D114" t="s">
        <v>3520</v>
      </c>
    </row>
    <row r="115" spans="1:4" ht="11.25" customHeight="1">
      <c r="A115">
        <v>115</v>
      </c>
      <c r="B115" t="s">
        <v>3511</v>
      </c>
      <c r="C115" t="s">
        <v>3395</v>
      </c>
      <c r="D115" t="s">
        <v>3521</v>
      </c>
    </row>
    <row r="116" spans="1:4" ht="11.25" customHeight="1">
      <c r="A116">
        <v>116</v>
      </c>
      <c r="B116" t="s">
        <v>3511</v>
      </c>
      <c r="C116" t="s">
        <v>3399</v>
      </c>
      <c r="D116" t="s">
        <v>3522</v>
      </c>
    </row>
    <row r="117" spans="1:4" ht="11.25" customHeight="1">
      <c r="A117">
        <v>117</v>
      </c>
      <c r="B117" t="s">
        <v>3511</v>
      </c>
      <c r="C117" t="s">
        <v>3523</v>
      </c>
      <c r="D117" t="s">
        <v>3524</v>
      </c>
    </row>
    <row r="118" spans="1:4" ht="11.25" customHeight="1">
      <c r="A118">
        <v>118</v>
      </c>
      <c r="B118" t="s">
        <v>3511</v>
      </c>
      <c r="C118" t="s">
        <v>3525</v>
      </c>
      <c r="D118" t="s">
        <v>3526</v>
      </c>
    </row>
    <row r="119" spans="1:4" ht="11.25" customHeight="1">
      <c r="A119">
        <v>119</v>
      </c>
      <c r="B119" t="s">
        <v>3527</v>
      </c>
      <c r="C119" t="s">
        <v>3528</v>
      </c>
      <c r="D119" t="s">
        <v>3529</v>
      </c>
    </row>
    <row r="120" spans="1:4" ht="11.25" customHeight="1">
      <c r="A120">
        <v>120</v>
      </c>
      <c r="B120" t="s">
        <v>3527</v>
      </c>
      <c r="C120" t="s">
        <v>3527</v>
      </c>
      <c r="D120" t="s">
        <v>3530</v>
      </c>
    </row>
    <row r="121" spans="1:4" ht="11.25" customHeight="1">
      <c r="A121">
        <v>121</v>
      </c>
      <c r="B121" t="s">
        <v>3527</v>
      </c>
      <c r="C121" t="s">
        <v>3531</v>
      </c>
      <c r="D121" t="s">
        <v>3532</v>
      </c>
    </row>
    <row r="122" spans="1:4" ht="11.25" customHeight="1">
      <c r="A122">
        <v>122</v>
      </c>
      <c r="B122" t="s">
        <v>3527</v>
      </c>
      <c r="C122" t="s">
        <v>3533</v>
      </c>
      <c r="D122" t="s">
        <v>3534</v>
      </c>
    </row>
    <row r="123" spans="1:4" ht="11.25" customHeight="1">
      <c r="A123">
        <v>123</v>
      </c>
      <c r="B123" t="s">
        <v>3527</v>
      </c>
      <c r="C123" t="s">
        <v>3535</v>
      </c>
      <c r="D123" t="s">
        <v>3536</v>
      </c>
    </row>
    <row r="124" spans="1:4" ht="11.25" customHeight="1">
      <c r="A124">
        <v>124</v>
      </c>
      <c r="B124" t="s">
        <v>3527</v>
      </c>
      <c r="C124" t="s">
        <v>3537</v>
      </c>
      <c r="D124" t="s">
        <v>3538</v>
      </c>
    </row>
    <row r="125" spans="1:4" ht="11.25" customHeight="1">
      <c r="A125">
        <v>125</v>
      </c>
      <c r="B125" t="s">
        <v>3527</v>
      </c>
      <c r="C125" t="s">
        <v>3539</v>
      </c>
      <c r="D125" t="s">
        <v>3540</v>
      </c>
    </row>
    <row r="126" spans="1:4" ht="11.25" customHeight="1">
      <c r="A126">
        <v>126</v>
      </c>
      <c r="B126" t="s">
        <v>3541</v>
      </c>
      <c r="C126" t="s">
        <v>3541</v>
      </c>
      <c r="D126" t="s">
        <v>3542</v>
      </c>
    </row>
    <row r="127" spans="1:4" ht="11.25" customHeight="1">
      <c r="A127">
        <v>127</v>
      </c>
      <c r="B127" t="s">
        <v>3543</v>
      </c>
      <c r="C127" t="s">
        <v>3544</v>
      </c>
      <c r="D127" t="s">
        <v>3545</v>
      </c>
    </row>
    <row r="128" spans="1:4" ht="11.25" customHeight="1">
      <c r="A128">
        <v>128</v>
      </c>
      <c r="B128" t="s">
        <v>3543</v>
      </c>
      <c r="C128" t="s">
        <v>3546</v>
      </c>
      <c r="D128" t="s">
        <v>3547</v>
      </c>
    </row>
    <row r="129" spans="1:4" ht="11.25" customHeight="1">
      <c r="A129">
        <v>129</v>
      </c>
      <c r="B129" t="s">
        <v>3543</v>
      </c>
      <c r="C129" t="s">
        <v>3548</v>
      </c>
      <c r="D129" t="s">
        <v>3549</v>
      </c>
    </row>
    <row r="130" spans="1:4" ht="11.25" customHeight="1">
      <c r="A130">
        <v>130</v>
      </c>
      <c r="B130" t="s">
        <v>3543</v>
      </c>
      <c r="C130" t="s">
        <v>3543</v>
      </c>
      <c r="D130" t="s">
        <v>3550</v>
      </c>
    </row>
    <row r="131" spans="1:4" ht="11.25" customHeight="1">
      <c r="A131">
        <v>131</v>
      </c>
      <c r="B131" t="s">
        <v>3543</v>
      </c>
      <c r="C131" t="s">
        <v>3551</v>
      </c>
      <c r="D131" t="s">
        <v>3552</v>
      </c>
    </row>
    <row r="132" spans="1:4" ht="11.25" customHeight="1">
      <c r="A132">
        <v>132</v>
      </c>
      <c r="B132" t="s">
        <v>3543</v>
      </c>
      <c r="C132" t="s">
        <v>3553</v>
      </c>
      <c r="D132" t="s">
        <v>3554</v>
      </c>
    </row>
    <row r="133" spans="1:4" ht="11.25" customHeight="1">
      <c r="A133">
        <v>133</v>
      </c>
      <c r="B133" t="s">
        <v>3543</v>
      </c>
      <c r="C133" t="s">
        <v>3555</v>
      </c>
      <c r="D133" t="s">
        <v>3556</v>
      </c>
    </row>
    <row r="134" spans="1:4" ht="11.25" customHeight="1">
      <c r="A134">
        <v>134</v>
      </c>
      <c r="B134" t="s">
        <v>3543</v>
      </c>
      <c r="C134" t="s">
        <v>3557</v>
      </c>
      <c r="D134" t="s">
        <v>3558</v>
      </c>
    </row>
    <row r="135" spans="1:4" ht="11.25" customHeight="1">
      <c r="A135">
        <v>135</v>
      </c>
      <c r="B135" t="s">
        <v>3543</v>
      </c>
      <c r="C135" t="s">
        <v>3559</v>
      </c>
      <c r="D135" t="s">
        <v>3560</v>
      </c>
    </row>
    <row r="136" spans="1:4" ht="11.25" customHeight="1">
      <c r="A136">
        <v>136</v>
      </c>
      <c r="B136" t="s">
        <v>3543</v>
      </c>
      <c r="C136" t="s">
        <v>3561</v>
      </c>
      <c r="D136" t="s">
        <v>3562</v>
      </c>
    </row>
    <row r="137" spans="1:4" ht="11.25" customHeight="1">
      <c r="A137">
        <v>137</v>
      </c>
      <c r="B137" t="s">
        <v>3543</v>
      </c>
      <c r="C137" t="s">
        <v>3563</v>
      </c>
      <c r="D137" t="s">
        <v>3564</v>
      </c>
    </row>
    <row r="138" spans="1:4" ht="11.25" customHeight="1">
      <c r="A138">
        <v>138</v>
      </c>
      <c r="B138" t="s">
        <v>3543</v>
      </c>
      <c r="C138" t="s">
        <v>3565</v>
      </c>
      <c r="D138" t="s">
        <v>3566</v>
      </c>
    </row>
    <row r="139" spans="1:4" ht="11.25" customHeight="1">
      <c r="A139">
        <v>139</v>
      </c>
      <c r="B139" t="s">
        <v>3543</v>
      </c>
      <c r="C139" t="s">
        <v>3567</v>
      </c>
      <c r="D139" t="s">
        <v>3568</v>
      </c>
    </row>
    <row r="140" spans="1:4" ht="11.25" customHeight="1">
      <c r="A140">
        <v>140</v>
      </c>
      <c r="B140" t="s">
        <v>3569</v>
      </c>
      <c r="C140" t="s">
        <v>3569</v>
      </c>
      <c r="D140" t="s">
        <v>3570</v>
      </c>
    </row>
    <row r="141" spans="1:4" ht="11.25" customHeight="1">
      <c r="A141">
        <v>141</v>
      </c>
      <c r="B141" t="s">
        <v>3571</v>
      </c>
      <c r="C141" t="s">
        <v>3572</v>
      </c>
      <c r="D141" t="s">
        <v>3573</v>
      </c>
    </row>
    <row r="142" spans="1:4" ht="11.25" customHeight="1">
      <c r="A142">
        <v>142</v>
      </c>
      <c r="B142" t="s">
        <v>3571</v>
      </c>
      <c r="C142" t="s">
        <v>3574</v>
      </c>
      <c r="D142" t="s">
        <v>3575</v>
      </c>
    </row>
    <row r="143" spans="1:4" ht="11.25" customHeight="1">
      <c r="A143">
        <v>143</v>
      </c>
      <c r="B143" t="s">
        <v>3571</v>
      </c>
      <c r="C143" t="s">
        <v>3576</v>
      </c>
      <c r="D143" t="s">
        <v>3577</v>
      </c>
    </row>
    <row r="144" spans="1:4" ht="11.25" customHeight="1">
      <c r="A144">
        <v>144</v>
      </c>
      <c r="B144" t="s">
        <v>3571</v>
      </c>
      <c r="C144" t="s">
        <v>3578</v>
      </c>
      <c r="D144" t="s">
        <v>3579</v>
      </c>
    </row>
    <row r="145" spans="1:4" ht="11.25" customHeight="1">
      <c r="A145">
        <v>145</v>
      </c>
      <c r="B145" t="s">
        <v>3571</v>
      </c>
      <c r="C145" t="s">
        <v>3580</v>
      </c>
      <c r="D145" t="s">
        <v>3581</v>
      </c>
    </row>
    <row r="146" spans="1:4" ht="11.25" customHeight="1">
      <c r="A146">
        <v>146</v>
      </c>
      <c r="B146" t="s">
        <v>3571</v>
      </c>
      <c r="C146" t="s">
        <v>3582</v>
      </c>
      <c r="D146" t="s">
        <v>3583</v>
      </c>
    </row>
    <row r="147" spans="1:4" ht="11.25" customHeight="1">
      <c r="A147">
        <v>147</v>
      </c>
      <c r="B147" t="s">
        <v>3571</v>
      </c>
      <c r="C147" t="s">
        <v>3584</v>
      </c>
      <c r="D147" t="s">
        <v>3585</v>
      </c>
    </row>
    <row r="148" spans="1:4" ht="11.25" customHeight="1">
      <c r="A148">
        <v>148</v>
      </c>
      <c r="B148" t="s">
        <v>3571</v>
      </c>
      <c r="C148" t="s">
        <v>3571</v>
      </c>
      <c r="D148" t="s">
        <v>3586</v>
      </c>
    </row>
    <row r="149" spans="1:4" ht="11.25" customHeight="1">
      <c r="A149">
        <v>149</v>
      </c>
      <c r="B149" t="s">
        <v>3571</v>
      </c>
      <c r="C149" t="s">
        <v>3587</v>
      </c>
      <c r="D149" t="s">
        <v>3588</v>
      </c>
    </row>
    <row r="150" spans="1:4" ht="11.25" customHeight="1">
      <c r="A150">
        <v>150</v>
      </c>
      <c r="B150" t="s">
        <v>3571</v>
      </c>
      <c r="C150" t="s">
        <v>3589</v>
      </c>
      <c r="D150" t="s">
        <v>3590</v>
      </c>
    </row>
    <row r="151" spans="1:4" ht="11.25" customHeight="1">
      <c r="A151">
        <v>151</v>
      </c>
      <c r="B151" t="s">
        <v>3571</v>
      </c>
      <c r="C151" t="s">
        <v>3591</v>
      </c>
      <c r="D151" t="s">
        <v>3592</v>
      </c>
    </row>
    <row r="152" spans="1:4" ht="11.25" customHeight="1">
      <c r="A152">
        <v>152</v>
      </c>
      <c r="B152" t="s">
        <v>3571</v>
      </c>
      <c r="C152" t="s">
        <v>3593</v>
      </c>
      <c r="D152" t="s">
        <v>3594</v>
      </c>
    </row>
    <row r="153" spans="1:4" ht="11.25" customHeight="1">
      <c r="A153">
        <v>153</v>
      </c>
      <c r="B153" t="s">
        <v>3571</v>
      </c>
      <c r="C153" t="s">
        <v>3595</v>
      </c>
      <c r="D153" t="s">
        <v>3596</v>
      </c>
    </row>
    <row r="154" spans="1:4" ht="11.25" customHeight="1">
      <c r="A154">
        <v>154</v>
      </c>
      <c r="B154" t="s">
        <v>3571</v>
      </c>
      <c r="C154" t="s">
        <v>3597</v>
      </c>
      <c r="D154" t="s">
        <v>3598</v>
      </c>
    </row>
    <row r="155" spans="1:4" ht="11.25" customHeight="1">
      <c r="A155">
        <v>155</v>
      </c>
      <c r="B155" t="s">
        <v>3571</v>
      </c>
      <c r="C155" t="s">
        <v>3599</v>
      </c>
      <c r="D155" t="s">
        <v>3600</v>
      </c>
    </row>
    <row r="156" spans="1:4" ht="11.25" customHeight="1">
      <c r="A156">
        <v>156</v>
      </c>
      <c r="B156" t="s">
        <v>3571</v>
      </c>
      <c r="C156" t="s">
        <v>3601</v>
      </c>
      <c r="D156" t="s">
        <v>3602</v>
      </c>
    </row>
    <row r="157" spans="1:4" ht="11.25" customHeight="1">
      <c r="A157">
        <v>157</v>
      </c>
      <c r="B157" t="s">
        <v>3571</v>
      </c>
      <c r="C157" t="s">
        <v>3603</v>
      </c>
      <c r="D157" t="s">
        <v>3604</v>
      </c>
    </row>
    <row r="158" spans="1:4" ht="11.25" customHeight="1">
      <c r="A158">
        <v>158</v>
      </c>
      <c r="B158" t="s">
        <v>3571</v>
      </c>
      <c r="C158" t="s">
        <v>3605</v>
      </c>
      <c r="D158" t="s">
        <v>3606</v>
      </c>
    </row>
    <row r="159" spans="1:4" ht="11.25" customHeight="1">
      <c r="A159">
        <v>159</v>
      </c>
      <c r="B159" t="s">
        <v>3571</v>
      </c>
      <c r="C159" t="s">
        <v>3607</v>
      </c>
      <c r="D159" t="s">
        <v>3608</v>
      </c>
    </row>
    <row r="160" spans="1:4" ht="11.25" customHeight="1">
      <c r="A160">
        <v>160</v>
      </c>
      <c r="B160" t="s">
        <v>3571</v>
      </c>
      <c r="C160" t="s">
        <v>3609</v>
      </c>
      <c r="D160" t="s">
        <v>3610</v>
      </c>
    </row>
    <row r="161" spans="1:4" ht="11.25" customHeight="1">
      <c r="A161">
        <v>161</v>
      </c>
      <c r="B161" t="s">
        <v>3571</v>
      </c>
      <c r="C161" t="s">
        <v>3611</v>
      </c>
      <c r="D161" t="s">
        <v>3612</v>
      </c>
    </row>
    <row r="162" spans="1:4" ht="11.25" customHeight="1">
      <c r="A162">
        <v>162</v>
      </c>
      <c r="B162" t="s">
        <v>3613</v>
      </c>
      <c r="C162" t="s">
        <v>3614</v>
      </c>
      <c r="D162" t="s">
        <v>3615</v>
      </c>
    </row>
    <row r="163" spans="1:4" ht="11.25" customHeight="1">
      <c r="A163">
        <v>163</v>
      </c>
      <c r="B163" t="s">
        <v>3613</v>
      </c>
      <c r="C163" t="s">
        <v>3613</v>
      </c>
      <c r="D163" t="s">
        <v>3616</v>
      </c>
    </row>
    <row r="164" spans="1:4" ht="11.25" customHeight="1">
      <c r="A164">
        <v>164</v>
      </c>
      <c r="B164" t="s">
        <v>3613</v>
      </c>
      <c r="C164" t="s">
        <v>3617</v>
      </c>
      <c r="D164" t="s">
        <v>3618</v>
      </c>
    </row>
    <row r="165" spans="1:4" ht="11.25" customHeight="1">
      <c r="A165">
        <v>165</v>
      </c>
      <c r="B165" t="s">
        <v>3613</v>
      </c>
      <c r="C165" t="s">
        <v>3619</v>
      </c>
      <c r="D165" t="s">
        <v>3620</v>
      </c>
    </row>
    <row r="166" spans="1:4" ht="11.25" customHeight="1">
      <c r="A166">
        <v>166</v>
      </c>
      <c r="B166" t="s">
        <v>3613</v>
      </c>
      <c r="C166" t="s">
        <v>3621</v>
      </c>
      <c r="D166" t="s">
        <v>3622</v>
      </c>
    </row>
    <row r="167" spans="1:4" ht="11.25" customHeight="1">
      <c r="A167">
        <v>167</v>
      </c>
      <c r="B167" t="s">
        <v>3613</v>
      </c>
      <c r="C167" t="s">
        <v>3623</v>
      </c>
      <c r="D167" t="s">
        <v>3624</v>
      </c>
    </row>
    <row r="168" spans="1:4" ht="11.25" customHeight="1">
      <c r="A168">
        <v>168</v>
      </c>
      <c r="B168" t="s">
        <v>3613</v>
      </c>
      <c r="C168" t="s">
        <v>3625</v>
      </c>
      <c r="D168" t="s">
        <v>3626</v>
      </c>
    </row>
    <row r="169" spans="1:4" ht="11.25" customHeight="1">
      <c r="A169">
        <v>169</v>
      </c>
      <c r="B169" t="s">
        <v>3613</v>
      </c>
      <c r="C169" t="s">
        <v>3627</v>
      </c>
      <c r="D169" t="s">
        <v>3628</v>
      </c>
    </row>
    <row r="170" spans="1:4" ht="11.25" customHeight="1">
      <c r="A170">
        <v>170</v>
      </c>
      <c r="B170" t="s">
        <v>3613</v>
      </c>
      <c r="C170" t="s">
        <v>3629</v>
      </c>
      <c r="D170" t="s">
        <v>3630</v>
      </c>
    </row>
    <row r="171" spans="1:4" ht="11.25" customHeight="1">
      <c r="A171">
        <v>171</v>
      </c>
      <c r="B171" t="s">
        <v>3631</v>
      </c>
      <c r="C171" t="s">
        <v>3632</v>
      </c>
      <c r="D171" t="s">
        <v>3633</v>
      </c>
    </row>
    <row r="172" spans="1:4" ht="11.25" customHeight="1">
      <c r="A172">
        <v>172</v>
      </c>
      <c r="B172" t="s">
        <v>3631</v>
      </c>
      <c r="C172" t="s">
        <v>3631</v>
      </c>
      <c r="D172" t="s">
        <v>3634</v>
      </c>
    </row>
    <row r="173" spans="1:4" ht="11.25" customHeight="1">
      <c r="A173">
        <v>173</v>
      </c>
      <c r="B173" t="s">
        <v>3631</v>
      </c>
      <c r="C173" t="s">
        <v>3635</v>
      </c>
      <c r="D173" t="s">
        <v>3636</v>
      </c>
    </row>
    <row r="174" spans="1:4" ht="11.25" customHeight="1">
      <c r="A174">
        <v>174</v>
      </c>
      <c r="B174" t="s">
        <v>3631</v>
      </c>
      <c r="C174" t="s">
        <v>3637</v>
      </c>
      <c r="D174" t="s">
        <v>3638</v>
      </c>
    </row>
    <row r="175" spans="1:4" ht="11.25" customHeight="1">
      <c r="A175">
        <v>175</v>
      </c>
      <c r="B175" t="s">
        <v>3631</v>
      </c>
      <c r="C175" t="s">
        <v>3639</v>
      </c>
      <c r="D175" t="s">
        <v>3640</v>
      </c>
    </row>
    <row r="176" spans="1:4" ht="11.25" customHeight="1">
      <c r="A176">
        <v>176</v>
      </c>
      <c r="B176" t="s">
        <v>3631</v>
      </c>
      <c r="C176" t="s">
        <v>3621</v>
      </c>
      <c r="D176" t="s">
        <v>3641</v>
      </c>
    </row>
    <row r="177" spans="1:4" ht="11.25" customHeight="1">
      <c r="A177">
        <v>177</v>
      </c>
      <c r="B177" t="s">
        <v>3631</v>
      </c>
      <c r="C177" t="s">
        <v>3642</v>
      </c>
      <c r="D177" t="s">
        <v>3643</v>
      </c>
    </row>
    <row r="178" spans="1:4" ht="11.25" customHeight="1">
      <c r="A178">
        <v>178</v>
      </c>
      <c r="B178" t="s">
        <v>3631</v>
      </c>
      <c r="C178" t="s">
        <v>3644</v>
      </c>
      <c r="D178" t="s">
        <v>3645</v>
      </c>
    </row>
    <row r="179" spans="1:4" ht="11.25" customHeight="1">
      <c r="A179">
        <v>179</v>
      </c>
      <c r="B179" t="s">
        <v>3631</v>
      </c>
      <c r="C179" t="s">
        <v>3646</v>
      </c>
      <c r="D179" t="s">
        <v>3647</v>
      </c>
    </row>
    <row r="180" spans="1:4" ht="11.25" customHeight="1">
      <c r="A180">
        <v>180</v>
      </c>
      <c r="B180" t="s">
        <v>3631</v>
      </c>
      <c r="C180" t="s">
        <v>3648</v>
      </c>
      <c r="D180" t="s">
        <v>3649</v>
      </c>
    </row>
    <row r="181" spans="1:4" ht="11.25" customHeight="1">
      <c r="A181">
        <v>181</v>
      </c>
      <c r="B181" t="s">
        <v>3650</v>
      </c>
      <c r="C181" t="s">
        <v>3651</v>
      </c>
      <c r="D181" t="s">
        <v>3652</v>
      </c>
    </row>
    <row r="182" spans="1:4" ht="11.25" customHeight="1">
      <c r="A182">
        <v>182</v>
      </c>
      <c r="B182" t="s">
        <v>3650</v>
      </c>
      <c r="C182" t="s">
        <v>3653</v>
      </c>
      <c r="D182" t="s">
        <v>3654</v>
      </c>
    </row>
    <row r="183" spans="1:4" ht="11.25" customHeight="1">
      <c r="A183">
        <v>183</v>
      </c>
      <c r="B183" t="s">
        <v>3650</v>
      </c>
      <c r="C183" t="s">
        <v>3655</v>
      </c>
      <c r="D183" t="s">
        <v>3656</v>
      </c>
    </row>
    <row r="184" spans="1:4" ht="11.25" customHeight="1">
      <c r="A184">
        <v>184</v>
      </c>
      <c r="B184" t="s">
        <v>3650</v>
      </c>
      <c r="C184" t="s">
        <v>3650</v>
      </c>
      <c r="D184" t="s">
        <v>3657</v>
      </c>
    </row>
    <row r="185" spans="1:4" ht="11.25" customHeight="1">
      <c r="A185">
        <v>185</v>
      </c>
      <c r="B185" t="s">
        <v>3650</v>
      </c>
      <c r="C185" t="s">
        <v>3658</v>
      </c>
      <c r="D185" t="s">
        <v>3659</v>
      </c>
    </row>
    <row r="186" spans="1:4" ht="11.25" customHeight="1">
      <c r="A186">
        <v>186</v>
      </c>
      <c r="B186" t="s">
        <v>3650</v>
      </c>
      <c r="C186" t="s">
        <v>3660</v>
      </c>
      <c r="D186" t="s">
        <v>3661</v>
      </c>
    </row>
    <row r="187" spans="1:4" ht="11.25" customHeight="1">
      <c r="A187">
        <v>187</v>
      </c>
      <c r="B187" t="s">
        <v>3650</v>
      </c>
      <c r="C187" t="s">
        <v>3662</v>
      </c>
      <c r="D187" t="s">
        <v>3663</v>
      </c>
    </row>
    <row r="188" spans="1:4" ht="11.25" customHeight="1">
      <c r="A188">
        <v>188</v>
      </c>
      <c r="B188" t="s">
        <v>3650</v>
      </c>
      <c r="C188" t="s">
        <v>3664</v>
      </c>
      <c r="D188" t="s">
        <v>3665</v>
      </c>
    </row>
    <row r="189" spans="1:4" ht="11.25" customHeight="1">
      <c r="A189">
        <v>189</v>
      </c>
      <c r="B189" t="s">
        <v>3650</v>
      </c>
      <c r="C189" t="s">
        <v>3666</v>
      </c>
      <c r="D189" t="s">
        <v>3667</v>
      </c>
    </row>
    <row r="190" spans="1:4" ht="11.25" customHeight="1">
      <c r="A190">
        <v>190</v>
      </c>
      <c r="B190" t="s">
        <v>3650</v>
      </c>
      <c r="C190" t="s">
        <v>3668</v>
      </c>
      <c r="D190" t="s">
        <v>3669</v>
      </c>
    </row>
    <row r="191" spans="1:4" ht="11.25" customHeight="1">
      <c r="A191">
        <v>191</v>
      </c>
      <c r="B191" t="s">
        <v>3650</v>
      </c>
      <c r="C191" t="s">
        <v>3670</v>
      </c>
      <c r="D191" t="s">
        <v>3671</v>
      </c>
    </row>
    <row r="192" spans="1:4" ht="11.25" customHeight="1">
      <c r="A192">
        <v>192</v>
      </c>
      <c r="B192" t="s">
        <v>3672</v>
      </c>
      <c r="C192" t="s">
        <v>3673</v>
      </c>
      <c r="D192" t="s">
        <v>3674</v>
      </c>
    </row>
    <row r="193" spans="1:4" ht="11.25" customHeight="1">
      <c r="A193">
        <v>193</v>
      </c>
      <c r="B193" t="s">
        <v>3672</v>
      </c>
      <c r="C193" t="s">
        <v>3675</v>
      </c>
      <c r="D193" t="s">
        <v>3676</v>
      </c>
    </row>
    <row r="194" spans="1:4" ht="11.25" customHeight="1">
      <c r="A194">
        <v>194</v>
      </c>
      <c r="B194" t="s">
        <v>3672</v>
      </c>
      <c r="C194" t="s">
        <v>3548</v>
      </c>
      <c r="D194" t="s">
        <v>3677</v>
      </c>
    </row>
    <row r="195" spans="1:4" ht="11.25" customHeight="1">
      <c r="A195">
        <v>195</v>
      </c>
      <c r="B195" t="s">
        <v>3672</v>
      </c>
      <c r="C195" t="s">
        <v>3672</v>
      </c>
      <c r="D195" t="s">
        <v>3678</v>
      </c>
    </row>
    <row r="196" spans="1:4" ht="11.25" customHeight="1">
      <c r="A196">
        <v>196</v>
      </c>
      <c r="B196" t="s">
        <v>3672</v>
      </c>
      <c r="C196" t="s">
        <v>3679</v>
      </c>
      <c r="D196" t="s">
        <v>3680</v>
      </c>
    </row>
    <row r="197" spans="1:4" ht="11.25" customHeight="1">
      <c r="A197">
        <v>197</v>
      </c>
      <c r="B197" t="s">
        <v>3672</v>
      </c>
      <c r="C197" t="s">
        <v>3681</v>
      </c>
      <c r="D197" t="s">
        <v>3682</v>
      </c>
    </row>
    <row r="198" spans="1:4" ht="11.25" customHeight="1">
      <c r="A198">
        <v>198</v>
      </c>
      <c r="B198" t="s">
        <v>3672</v>
      </c>
      <c r="C198" t="s">
        <v>3683</v>
      </c>
      <c r="D198" t="s">
        <v>3684</v>
      </c>
    </row>
    <row r="199" spans="1:4" ht="11.25" customHeight="1">
      <c r="A199">
        <v>199</v>
      </c>
      <c r="B199" t="s">
        <v>3672</v>
      </c>
      <c r="C199" t="s">
        <v>3685</v>
      </c>
      <c r="D199" t="s">
        <v>3686</v>
      </c>
    </row>
    <row r="200" spans="1:4" ht="11.25" customHeight="1">
      <c r="A200">
        <v>200</v>
      </c>
      <c r="B200" t="s">
        <v>3672</v>
      </c>
      <c r="C200" t="s">
        <v>3687</v>
      </c>
      <c r="D200" t="s">
        <v>3688</v>
      </c>
    </row>
    <row r="201" spans="1:4" ht="11.25" customHeight="1">
      <c r="A201">
        <v>201</v>
      </c>
      <c r="B201" t="s">
        <v>3672</v>
      </c>
      <c r="C201" t="s">
        <v>3689</v>
      </c>
      <c r="D201" t="s">
        <v>3690</v>
      </c>
    </row>
    <row r="202" spans="1:4" ht="11.25" customHeight="1">
      <c r="A202">
        <v>202</v>
      </c>
      <c r="B202" t="s">
        <v>3672</v>
      </c>
      <c r="C202" t="s">
        <v>3691</v>
      </c>
      <c r="D202" t="s">
        <v>3692</v>
      </c>
    </row>
    <row r="203" spans="1:4" ht="11.25" customHeight="1">
      <c r="A203">
        <v>203</v>
      </c>
      <c r="B203" t="s">
        <v>3672</v>
      </c>
      <c r="C203" t="s">
        <v>3693</v>
      </c>
      <c r="D203" t="s">
        <v>3694</v>
      </c>
    </row>
    <row r="204" spans="1:4" ht="11.25" customHeight="1">
      <c r="A204">
        <v>204</v>
      </c>
      <c r="B204" t="s">
        <v>3672</v>
      </c>
      <c r="C204" t="s">
        <v>3695</v>
      </c>
      <c r="D204" t="s">
        <v>3696</v>
      </c>
    </row>
    <row r="205" spans="1:4" ht="11.25" customHeight="1">
      <c r="A205">
        <v>205</v>
      </c>
      <c r="B205" t="s">
        <v>3672</v>
      </c>
      <c r="C205" t="s">
        <v>3697</v>
      </c>
      <c r="D205" t="s">
        <v>3698</v>
      </c>
    </row>
    <row r="206" spans="1:4" ht="11.25" customHeight="1">
      <c r="A206">
        <v>206</v>
      </c>
      <c r="B206" t="s">
        <v>3672</v>
      </c>
      <c r="C206" t="s">
        <v>3699</v>
      </c>
      <c r="D206" t="s">
        <v>3700</v>
      </c>
    </row>
    <row r="207" spans="1:4" ht="11.25" customHeight="1">
      <c r="A207">
        <v>207</v>
      </c>
      <c r="B207" t="s">
        <v>3701</v>
      </c>
      <c r="C207" t="s">
        <v>3702</v>
      </c>
      <c r="D207" t="s">
        <v>3703</v>
      </c>
    </row>
    <row r="208" spans="1:4" ht="11.25" customHeight="1">
      <c r="A208">
        <v>208</v>
      </c>
      <c r="B208" t="s">
        <v>3701</v>
      </c>
      <c r="C208" t="s">
        <v>3704</v>
      </c>
      <c r="D208" t="s">
        <v>3705</v>
      </c>
    </row>
    <row r="209" spans="1:4" ht="11.25" customHeight="1">
      <c r="A209">
        <v>209</v>
      </c>
      <c r="B209" t="s">
        <v>3701</v>
      </c>
      <c r="C209" t="s">
        <v>3706</v>
      </c>
      <c r="D209" t="s">
        <v>3707</v>
      </c>
    </row>
    <row r="210" spans="1:4" ht="11.25" customHeight="1">
      <c r="A210">
        <v>210</v>
      </c>
      <c r="B210" t="s">
        <v>3701</v>
      </c>
      <c r="C210" t="s">
        <v>3708</v>
      </c>
      <c r="D210" t="s">
        <v>3709</v>
      </c>
    </row>
    <row r="211" spans="1:4" ht="11.25" customHeight="1">
      <c r="A211">
        <v>211</v>
      </c>
      <c r="B211" t="s">
        <v>3701</v>
      </c>
      <c r="C211" t="s">
        <v>3701</v>
      </c>
      <c r="D211" t="s">
        <v>3710</v>
      </c>
    </row>
    <row r="212" spans="1:4" ht="11.25" customHeight="1">
      <c r="A212">
        <v>212</v>
      </c>
      <c r="B212" t="s">
        <v>3701</v>
      </c>
      <c r="C212" t="s">
        <v>3711</v>
      </c>
      <c r="D212" t="s">
        <v>3712</v>
      </c>
    </row>
    <row r="213" spans="1:4" ht="11.25" customHeight="1">
      <c r="A213">
        <v>213</v>
      </c>
      <c r="B213" t="s">
        <v>3701</v>
      </c>
      <c r="C213" t="s">
        <v>3713</v>
      </c>
      <c r="D213" t="s">
        <v>3714</v>
      </c>
    </row>
    <row r="214" spans="1:4" ht="11.25" customHeight="1">
      <c r="A214">
        <v>214</v>
      </c>
      <c r="B214" t="s">
        <v>3701</v>
      </c>
      <c r="C214" t="s">
        <v>3715</v>
      </c>
      <c r="D214" t="s">
        <v>3716</v>
      </c>
    </row>
    <row r="215" spans="1:4" ht="11.25" customHeight="1">
      <c r="A215">
        <v>215</v>
      </c>
      <c r="B215" t="s">
        <v>3701</v>
      </c>
      <c r="C215" t="s">
        <v>3717</v>
      </c>
      <c r="D215" t="s">
        <v>3718</v>
      </c>
    </row>
    <row r="216" spans="1:4" ht="11.25" customHeight="1">
      <c r="A216">
        <v>216</v>
      </c>
      <c r="B216" t="s">
        <v>3701</v>
      </c>
      <c r="C216" t="s">
        <v>3719</v>
      </c>
      <c r="D216" t="s">
        <v>3720</v>
      </c>
    </row>
    <row r="217" spans="1:4" ht="11.25" customHeight="1">
      <c r="A217">
        <v>217</v>
      </c>
      <c r="B217" t="s">
        <v>3701</v>
      </c>
      <c r="C217" t="s">
        <v>3721</v>
      </c>
      <c r="D217" t="s">
        <v>3722</v>
      </c>
    </row>
    <row r="218" spans="1:4" ht="11.25" customHeight="1">
      <c r="A218">
        <v>218</v>
      </c>
      <c r="B218" t="s">
        <v>3723</v>
      </c>
      <c r="C218" t="s">
        <v>3724</v>
      </c>
      <c r="D218" t="s">
        <v>3725</v>
      </c>
    </row>
    <row r="219" spans="1:4" ht="11.25" customHeight="1">
      <c r="A219">
        <v>219</v>
      </c>
      <c r="B219" t="s">
        <v>3723</v>
      </c>
      <c r="C219" t="s">
        <v>3726</v>
      </c>
      <c r="D219" t="s">
        <v>3727</v>
      </c>
    </row>
    <row r="220" spans="1:4" ht="11.25" customHeight="1">
      <c r="A220">
        <v>220</v>
      </c>
      <c r="B220" t="s">
        <v>3723</v>
      </c>
      <c r="C220" t="s">
        <v>3728</v>
      </c>
      <c r="D220" t="s">
        <v>3729</v>
      </c>
    </row>
    <row r="221" spans="1:4" ht="11.25" customHeight="1">
      <c r="A221">
        <v>221</v>
      </c>
      <c r="B221" t="s">
        <v>3723</v>
      </c>
      <c r="C221" t="s">
        <v>3730</v>
      </c>
      <c r="D221" t="s">
        <v>3731</v>
      </c>
    </row>
    <row r="222" spans="1:4" ht="11.25" customHeight="1">
      <c r="A222">
        <v>222</v>
      </c>
      <c r="B222" t="s">
        <v>3723</v>
      </c>
      <c r="C222" t="s">
        <v>3732</v>
      </c>
      <c r="D222" t="s">
        <v>3733</v>
      </c>
    </row>
    <row r="223" spans="1:4" ht="11.25" customHeight="1">
      <c r="A223">
        <v>223</v>
      </c>
      <c r="B223" t="s">
        <v>3723</v>
      </c>
      <c r="C223" t="s">
        <v>3723</v>
      </c>
      <c r="D223" t="s">
        <v>3734</v>
      </c>
    </row>
    <row r="224" spans="1:4" ht="11.25" customHeight="1">
      <c r="A224">
        <v>224</v>
      </c>
      <c r="B224" t="s">
        <v>3723</v>
      </c>
      <c r="C224" t="s">
        <v>3735</v>
      </c>
      <c r="D224" t="s">
        <v>3736</v>
      </c>
    </row>
    <row r="225" spans="1:4" ht="11.25" customHeight="1">
      <c r="A225">
        <v>225</v>
      </c>
      <c r="B225" t="s">
        <v>3723</v>
      </c>
      <c r="C225" t="s">
        <v>3737</v>
      </c>
      <c r="D225" t="s">
        <v>3738</v>
      </c>
    </row>
    <row r="226" spans="1:4" ht="11.25" customHeight="1">
      <c r="A226">
        <v>226</v>
      </c>
      <c r="B226" t="s">
        <v>3723</v>
      </c>
      <c r="C226" t="s">
        <v>3739</v>
      </c>
      <c r="D226" t="s">
        <v>3740</v>
      </c>
    </row>
    <row r="227" spans="1:4" ht="11.25" customHeight="1">
      <c r="A227">
        <v>227</v>
      </c>
      <c r="B227" t="s">
        <v>3723</v>
      </c>
      <c r="C227" t="s">
        <v>3741</v>
      </c>
      <c r="D227" t="s">
        <v>3742</v>
      </c>
    </row>
    <row r="228" spans="1:4" ht="11.25" customHeight="1">
      <c r="A228">
        <v>228</v>
      </c>
      <c r="B228" t="s">
        <v>3723</v>
      </c>
      <c r="C228" t="s">
        <v>3683</v>
      </c>
      <c r="D228" t="s">
        <v>3743</v>
      </c>
    </row>
    <row r="229" spans="1:4" ht="11.25" customHeight="1">
      <c r="A229">
        <v>229</v>
      </c>
      <c r="B229" t="s">
        <v>3723</v>
      </c>
      <c r="C229" t="s">
        <v>3744</v>
      </c>
      <c r="D229" t="s">
        <v>3745</v>
      </c>
    </row>
    <row r="230" spans="1:4" ht="11.25" customHeight="1">
      <c r="A230">
        <v>230</v>
      </c>
      <c r="B230" t="s">
        <v>3746</v>
      </c>
      <c r="C230" t="s">
        <v>3470</v>
      </c>
      <c r="D230" t="s">
        <v>3747</v>
      </c>
    </row>
    <row r="231" spans="1:4" ht="11.25" customHeight="1">
      <c r="A231">
        <v>231</v>
      </c>
      <c r="B231" t="s">
        <v>3746</v>
      </c>
      <c r="C231" t="s">
        <v>3748</v>
      </c>
      <c r="D231" t="s">
        <v>3749</v>
      </c>
    </row>
    <row r="232" spans="1:4" ht="11.25" customHeight="1">
      <c r="A232">
        <v>232</v>
      </c>
      <c r="B232" t="s">
        <v>3746</v>
      </c>
      <c r="C232" t="s">
        <v>3746</v>
      </c>
      <c r="D232" t="s">
        <v>3750</v>
      </c>
    </row>
    <row r="233" spans="1:4" ht="11.25" customHeight="1">
      <c r="A233">
        <v>233</v>
      </c>
      <c r="B233" t="s">
        <v>3746</v>
      </c>
      <c r="C233" t="s">
        <v>3751</v>
      </c>
      <c r="D233" t="s">
        <v>3752</v>
      </c>
    </row>
    <row r="234" spans="1:4" ht="11.25" customHeight="1">
      <c r="A234">
        <v>234</v>
      </c>
      <c r="B234" t="s">
        <v>3746</v>
      </c>
      <c r="C234" t="s">
        <v>3753</v>
      </c>
      <c r="D234" t="s">
        <v>3754</v>
      </c>
    </row>
    <row r="235" spans="1:4" ht="11.25" customHeight="1">
      <c r="A235">
        <v>235</v>
      </c>
      <c r="B235" t="s">
        <v>3746</v>
      </c>
      <c r="C235" t="s">
        <v>3755</v>
      </c>
      <c r="D235" t="s">
        <v>3756</v>
      </c>
    </row>
    <row r="236" spans="1:4" ht="11.25" customHeight="1">
      <c r="A236">
        <v>236</v>
      </c>
      <c r="B236" t="s">
        <v>3746</v>
      </c>
      <c r="C236" t="s">
        <v>3757</v>
      </c>
      <c r="D236" t="s">
        <v>3758</v>
      </c>
    </row>
    <row r="237" spans="1:4" ht="11.25" customHeight="1">
      <c r="A237">
        <v>237</v>
      </c>
      <c r="B237" t="s">
        <v>3746</v>
      </c>
      <c r="C237" t="s">
        <v>3759</v>
      </c>
      <c r="D237" t="s">
        <v>3760</v>
      </c>
    </row>
    <row r="238" spans="1:4" ht="11.25" customHeight="1">
      <c r="A238">
        <v>238</v>
      </c>
      <c r="B238" t="s">
        <v>3746</v>
      </c>
      <c r="C238" t="s">
        <v>3761</v>
      </c>
      <c r="D238" t="s">
        <v>3762</v>
      </c>
    </row>
    <row r="239" spans="1:4" ht="11.25" customHeight="1">
      <c r="A239">
        <v>239</v>
      </c>
      <c r="B239" t="s">
        <v>3763</v>
      </c>
      <c r="C239" t="s">
        <v>3764</v>
      </c>
      <c r="D239" t="s">
        <v>3765</v>
      </c>
    </row>
    <row r="240" spans="1:4" ht="11.25" customHeight="1">
      <c r="A240">
        <v>240</v>
      </c>
      <c r="B240" t="s">
        <v>3763</v>
      </c>
      <c r="C240" t="s">
        <v>3470</v>
      </c>
      <c r="D240" t="s">
        <v>3766</v>
      </c>
    </row>
    <row r="241" spans="1:4" ht="11.25" customHeight="1">
      <c r="A241">
        <v>241</v>
      </c>
      <c r="B241" t="s">
        <v>3763</v>
      </c>
      <c r="C241" t="s">
        <v>3574</v>
      </c>
      <c r="D241" t="s">
        <v>3767</v>
      </c>
    </row>
    <row r="242" spans="1:4" ht="11.25" customHeight="1">
      <c r="A242">
        <v>242</v>
      </c>
      <c r="B242" t="s">
        <v>3763</v>
      </c>
      <c r="C242" t="s">
        <v>3768</v>
      </c>
      <c r="D242" t="s">
        <v>3769</v>
      </c>
    </row>
    <row r="243" spans="1:4" ht="11.25" customHeight="1">
      <c r="A243">
        <v>243</v>
      </c>
      <c r="B243" t="s">
        <v>3763</v>
      </c>
      <c r="C243" t="s">
        <v>3763</v>
      </c>
      <c r="D243" t="s">
        <v>3770</v>
      </c>
    </row>
    <row r="244" spans="1:4" ht="11.25" customHeight="1">
      <c r="A244">
        <v>244</v>
      </c>
      <c r="B244" t="s">
        <v>3763</v>
      </c>
      <c r="C244" t="s">
        <v>3771</v>
      </c>
      <c r="D244" t="s">
        <v>3772</v>
      </c>
    </row>
    <row r="245" spans="1:4" ht="11.25" customHeight="1">
      <c r="A245">
        <v>245</v>
      </c>
      <c r="B245" t="s">
        <v>3763</v>
      </c>
      <c r="C245" t="s">
        <v>3773</v>
      </c>
      <c r="D245" t="s">
        <v>3774</v>
      </c>
    </row>
    <row r="246" spans="1:4" ht="11.25" customHeight="1">
      <c r="A246">
        <v>246</v>
      </c>
      <c r="B246" t="s">
        <v>3763</v>
      </c>
      <c r="C246" t="s">
        <v>3775</v>
      </c>
      <c r="D246" t="s">
        <v>3776</v>
      </c>
    </row>
    <row r="247" spans="1:4" ht="11.25" customHeight="1">
      <c r="A247">
        <v>247</v>
      </c>
      <c r="B247" t="s">
        <v>3763</v>
      </c>
      <c r="C247" t="s">
        <v>3777</v>
      </c>
      <c r="D247" t="s">
        <v>3778</v>
      </c>
    </row>
    <row r="248" spans="1:4" ht="11.25" customHeight="1">
      <c r="A248">
        <v>248</v>
      </c>
      <c r="B248" t="s">
        <v>3763</v>
      </c>
      <c r="C248" t="s">
        <v>3779</v>
      </c>
      <c r="D248" t="s">
        <v>3780</v>
      </c>
    </row>
    <row r="249" spans="1:4" ht="11.25" customHeight="1">
      <c r="A249">
        <v>249</v>
      </c>
      <c r="B249" t="s">
        <v>3763</v>
      </c>
      <c r="C249" t="s">
        <v>3781</v>
      </c>
      <c r="D249" t="s">
        <v>3782</v>
      </c>
    </row>
    <row r="250" spans="1:4" ht="11.25" customHeight="1">
      <c r="A250">
        <v>250</v>
      </c>
      <c r="B250" t="s">
        <v>3763</v>
      </c>
      <c r="C250" t="s">
        <v>3783</v>
      </c>
      <c r="D250" t="s">
        <v>3784</v>
      </c>
    </row>
    <row r="251" spans="1:4" ht="11.25" customHeight="1">
      <c r="A251">
        <v>251</v>
      </c>
      <c r="B251" t="s">
        <v>3763</v>
      </c>
      <c r="C251" t="s">
        <v>3785</v>
      </c>
      <c r="D251" t="s">
        <v>3786</v>
      </c>
    </row>
    <row r="252" spans="1:4" ht="11.25" customHeight="1">
      <c r="A252">
        <v>252</v>
      </c>
      <c r="B252" t="s">
        <v>3763</v>
      </c>
      <c r="C252" t="s">
        <v>3787</v>
      </c>
      <c r="D252" t="s">
        <v>3788</v>
      </c>
    </row>
    <row r="253" spans="1:4" ht="11.25" customHeight="1">
      <c r="A253">
        <v>253</v>
      </c>
      <c r="B253" t="s">
        <v>3789</v>
      </c>
      <c r="C253" t="s">
        <v>3304</v>
      </c>
      <c r="D253" t="s">
        <v>3790</v>
      </c>
    </row>
    <row r="254" spans="1:4" ht="11.25" customHeight="1">
      <c r="A254">
        <v>254</v>
      </c>
      <c r="B254" t="s">
        <v>3789</v>
      </c>
      <c r="C254" t="s">
        <v>3791</v>
      </c>
      <c r="D254" t="s">
        <v>3792</v>
      </c>
    </row>
    <row r="255" spans="1:4" ht="11.25" customHeight="1">
      <c r="A255">
        <v>255</v>
      </c>
      <c r="B255" t="s">
        <v>3789</v>
      </c>
      <c r="C255" t="s">
        <v>3793</v>
      </c>
      <c r="D255" t="s">
        <v>3794</v>
      </c>
    </row>
    <row r="256" spans="1:4" ht="11.25" customHeight="1">
      <c r="A256">
        <v>256</v>
      </c>
      <c r="B256" t="s">
        <v>3789</v>
      </c>
      <c r="C256" t="s">
        <v>3795</v>
      </c>
      <c r="D256" t="s">
        <v>3796</v>
      </c>
    </row>
    <row r="257" spans="1:4" ht="11.25" customHeight="1">
      <c r="A257">
        <v>257</v>
      </c>
      <c r="B257" t="s">
        <v>3789</v>
      </c>
      <c r="C257" t="s">
        <v>3789</v>
      </c>
      <c r="D257" t="s">
        <v>3797</v>
      </c>
    </row>
    <row r="258" spans="1:4" ht="11.25" customHeight="1">
      <c r="A258">
        <v>258</v>
      </c>
      <c r="B258" t="s">
        <v>3789</v>
      </c>
      <c r="C258" t="s">
        <v>3798</v>
      </c>
      <c r="D258" t="s">
        <v>3799</v>
      </c>
    </row>
    <row r="259" spans="1:4" ht="11.25" customHeight="1">
      <c r="A259">
        <v>259</v>
      </c>
      <c r="B259" t="s">
        <v>3789</v>
      </c>
      <c r="C259" t="s">
        <v>3800</v>
      </c>
      <c r="D259" t="s">
        <v>3801</v>
      </c>
    </row>
    <row r="260" spans="1:4" ht="11.25" customHeight="1">
      <c r="A260">
        <v>260</v>
      </c>
      <c r="B260" t="s">
        <v>3789</v>
      </c>
      <c r="C260" t="s">
        <v>3802</v>
      </c>
      <c r="D260" t="s">
        <v>3803</v>
      </c>
    </row>
    <row r="261" spans="1:4" ht="11.25" customHeight="1">
      <c r="A261">
        <v>261</v>
      </c>
      <c r="B261" t="s">
        <v>3789</v>
      </c>
      <c r="C261" t="s">
        <v>3804</v>
      </c>
      <c r="D261" t="s">
        <v>3805</v>
      </c>
    </row>
    <row r="262" spans="1:4" ht="11.25" customHeight="1">
      <c r="A262">
        <v>262</v>
      </c>
      <c r="B262" t="s">
        <v>3789</v>
      </c>
      <c r="C262" t="s">
        <v>3806</v>
      </c>
      <c r="D262" t="s">
        <v>3807</v>
      </c>
    </row>
    <row r="263" spans="1:4" ht="11.25" customHeight="1">
      <c r="A263">
        <v>263</v>
      </c>
      <c r="B263" t="s">
        <v>3808</v>
      </c>
      <c r="C263" t="s">
        <v>3809</v>
      </c>
      <c r="D263" t="s">
        <v>3810</v>
      </c>
    </row>
    <row r="264" spans="1:4" ht="11.25" customHeight="1">
      <c r="A264">
        <v>264</v>
      </c>
      <c r="B264" t="s">
        <v>3808</v>
      </c>
      <c r="C264" t="s">
        <v>3811</v>
      </c>
      <c r="D264" t="s">
        <v>3812</v>
      </c>
    </row>
    <row r="265" spans="1:4" ht="11.25" customHeight="1">
      <c r="A265">
        <v>265</v>
      </c>
      <c r="B265" t="s">
        <v>3808</v>
      </c>
      <c r="C265" t="s">
        <v>3813</v>
      </c>
      <c r="D265" t="s">
        <v>3814</v>
      </c>
    </row>
    <row r="266" spans="1:4" ht="11.25" customHeight="1">
      <c r="A266">
        <v>266</v>
      </c>
      <c r="B266" t="s">
        <v>3808</v>
      </c>
      <c r="C266" t="s">
        <v>3815</v>
      </c>
      <c r="D266" t="s">
        <v>3816</v>
      </c>
    </row>
    <row r="267" spans="1:4" ht="11.25" customHeight="1">
      <c r="A267">
        <v>267</v>
      </c>
      <c r="B267" t="s">
        <v>3808</v>
      </c>
      <c r="C267" t="s">
        <v>3808</v>
      </c>
      <c r="D267" t="s">
        <v>3817</v>
      </c>
    </row>
    <row r="268" spans="1:4" ht="11.25" customHeight="1">
      <c r="A268">
        <v>268</v>
      </c>
      <c r="B268" t="s">
        <v>3808</v>
      </c>
      <c r="C268" t="s">
        <v>3818</v>
      </c>
      <c r="D268" t="s">
        <v>3819</v>
      </c>
    </row>
    <row r="269" spans="1:4" ht="11.25" customHeight="1">
      <c r="A269">
        <v>269</v>
      </c>
      <c r="B269" t="s">
        <v>3808</v>
      </c>
      <c r="C269" t="s">
        <v>3820</v>
      </c>
      <c r="D269" t="s">
        <v>3821</v>
      </c>
    </row>
    <row r="270" spans="1:4" ht="11.25" customHeight="1">
      <c r="A270">
        <v>270</v>
      </c>
      <c r="B270" t="s">
        <v>3808</v>
      </c>
      <c r="C270" t="s">
        <v>3822</v>
      </c>
      <c r="D270" t="s">
        <v>3823</v>
      </c>
    </row>
    <row r="271" spans="1:4" ht="11.25" customHeight="1">
      <c r="A271">
        <v>271</v>
      </c>
      <c r="B271" t="s">
        <v>3808</v>
      </c>
      <c r="C271" t="s">
        <v>3621</v>
      </c>
      <c r="D271" t="s">
        <v>3824</v>
      </c>
    </row>
    <row r="272" spans="1:4" ht="11.25" customHeight="1">
      <c r="A272">
        <v>272</v>
      </c>
      <c r="B272" t="s">
        <v>3808</v>
      </c>
      <c r="C272" t="s">
        <v>3825</v>
      </c>
      <c r="D272" t="s">
        <v>3826</v>
      </c>
    </row>
    <row r="273" spans="1:4" ht="11.25" customHeight="1">
      <c r="A273">
        <v>273</v>
      </c>
      <c r="B273" t="s">
        <v>3827</v>
      </c>
      <c r="C273" t="s">
        <v>3828</v>
      </c>
      <c r="D273" t="s">
        <v>3829</v>
      </c>
    </row>
    <row r="274" spans="1:4" ht="11.25" customHeight="1">
      <c r="A274">
        <v>274</v>
      </c>
      <c r="B274" t="s">
        <v>3827</v>
      </c>
      <c r="C274" t="s">
        <v>3830</v>
      </c>
      <c r="D274" t="s">
        <v>3831</v>
      </c>
    </row>
    <row r="275" spans="1:4" ht="11.25" customHeight="1">
      <c r="A275">
        <v>275</v>
      </c>
      <c r="B275" t="s">
        <v>3827</v>
      </c>
      <c r="C275" t="s">
        <v>3832</v>
      </c>
      <c r="D275" t="s">
        <v>3833</v>
      </c>
    </row>
    <row r="276" spans="1:4" ht="11.25" customHeight="1">
      <c r="A276">
        <v>276</v>
      </c>
      <c r="B276" t="s">
        <v>3827</v>
      </c>
      <c r="C276" t="s">
        <v>3834</v>
      </c>
      <c r="D276" t="s">
        <v>3835</v>
      </c>
    </row>
    <row r="277" spans="1:4" ht="11.25" customHeight="1">
      <c r="A277">
        <v>277</v>
      </c>
      <c r="B277" t="s">
        <v>3827</v>
      </c>
      <c r="C277" t="s">
        <v>3836</v>
      </c>
      <c r="D277" t="s">
        <v>3837</v>
      </c>
    </row>
    <row r="278" spans="1:4" ht="11.25" customHeight="1">
      <c r="A278">
        <v>278</v>
      </c>
      <c r="B278" t="s">
        <v>3827</v>
      </c>
      <c r="C278" t="s">
        <v>3838</v>
      </c>
      <c r="D278" t="s">
        <v>3839</v>
      </c>
    </row>
    <row r="279" spans="1:4" ht="11.25" customHeight="1">
      <c r="A279">
        <v>279</v>
      </c>
      <c r="B279" t="s">
        <v>3827</v>
      </c>
      <c r="C279" t="s">
        <v>3827</v>
      </c>
      <c r="D279" t="s">
        <v>3840</v>
      </c>
    </row>
    <row r="280" spans="1:4" ht="11.25" customHeight="1">
      <c r="A280">
        <v>280</v>
      </c>
      <c r="B280" t="s">
        <v>3827</v>
      </c>
      <c r="C280" t="s">
        <v>3841</v>
      </c>
      <c r="D280" t="s">
        <v>3842</v>
      </c>
    </row>
    <row r="281" spans="1:4" ht="11.25" customHeight="1">
      <c r="A281">
        <v>281</v>
      </c>
      <c r="B281" t="s">
        <v>3827</v>
      </c>
      <c r="C281" t="s">
        <v>3843</v>
      </c>
      <c r="D281" t="s">
        <v>3844</v>
      </c>
    </row>
    <row r="282" spans="1:4" ht="11.25" customHeight="1">
      <c r="A282">
        <v>282</v>
      </c>
      <c r="B282" t="s">
        <v>3827</v>
      </c>
      <c r="C282" t="s">
        <v>3845</v>
      </c>
      <c r="D282" t="s">
        <v>3846</v>
      </c>
    </row>
    <row r="283" spans="1:4" ht="11.25" customHeight="1">
      <c r="A283">
        <v>283</v>
      </c>
      <c r="B283" t="s">
        <v>3827</v>
      </c>
      <c r="C283" t="s">
        <v>3847</v>
      </c>
      <c r="D283" t="s">
        <v>3848</v>
      </c>
    </row>
    <row r="284" spans="1:4" ht="11.25" customHeight="1">
      <c r="A284">
        <v>284</v>
      </c>
      <c r="B284" t="s">
        <v>3849</v>
      </c>
      <c r="C284" t="s">
        <v>3850</v>
      </c>
      <c r="D284" t="s">
        <v>3851</v>
      </c>
    </row>
    <row r="285" spans="1:4" ht="11.25" customHeight="1">
      <c r="A285">
        <v>285</v>
      </c>
      <c r="B285" t="s">
        <v>3849</v>
      </c>
      <c r="C285" t="s">
        <v>3849</v>
      </c>
      <c r="D285" t="s">
        <v>3852</v>
      </c>
    </row>
    <row r="286" spans="1:4" ht="11.25" customHeight="1">
      <c r="A286">
        <v>286</v>
      </c>
      <c r="B286" t="s">
        <v>3849</v>
      </c>
      <c r="C286" t="s">
        <v>3853</v>
      </c>
      <c r="D286" t="s">
        <v>3854</v>
      </c>
    </row>
    <row r="287" spans="1:4" ht="11.25" customHeight="1">
      <c r="A287">
        <v>287</v>
      </c>
      <c r="B287" t="s">
        <v>3849</v>
      </c>
      <c r="C287" t="s">
        <v>3855</v>
      </c>
      <c r="D287" t="s">
        <v>3856</v>
      </c>
    </row>
    <row r="288" spans="1:4" ht="11.25" customHeight="1">
      <c r="A288">
        <v>288</v>
      </c>
      <c r="B288" t="s">
        <v>3849</v>
      </c>
      <c r="C288" t="s">
        <v>3621</v>
      </c>
      <c r="D288" t="s">
        <v>3857</v>
      </c>
    </row>
    <row r="289" spans="1:4" ht="11.25" customHeight="1">
      <c r="A289">
        <v>289</v>
      </c>
      <c r="B289" t="s">
        <v>3849</v>
      </c>
      <c r="C289" t="s">
        <v>3858</v>
      </c>
      <c r="D289" t="s">
        <v>3859</v>
      </c>
    </row>
    <row r="290" spans="1:4" ht="11.25" customHeight="1">
      <c r="A290">
        <v>290</v>
      </c>
      <c r="B290" t="s">
        <v>3849</v>
      </c>
      <c r="C290" t="s">
        <v>3860</v>
      </c>
      <c r="D290" t="s">
        <v>3861</v>
      </c>
    </row>
    <row r="291" spans="1:4" ht="11.25" customHeight="1">
      <c r="A291">
        <v>291</v>
      </c>
      <c r="B291" t="s">
        <v>3849</v>
      </c>
      <c r="C291" t="s">
        <v>3862</v>
      </c>
      <c r="D291" t="s">
        <v>3863</v>
      </c>
    </row>
    <row r="292" spans="1:4" ht="11.25" customHeight="1">
      <c r="A292">
        <v>292</v>
      </c>
      <c r="B292" t="s">
        <v>3849</v>
      </c>
      <c r="C292" t="s">
        <v>3605</v>
      </c>
      <c r="D292" t="s">
        <v>3864</v>
      </c>
    </row>
    <row r="293" spans="1:4" ht="11.25" customHeight="1">
      <c r="A293">
        <v>293</v>
      </c>
      <c r="B293" t="s">
        <v>3849</v>
      </c>
      <c r="C293" t="s">
        <v>3865</v>
      </c>
      <c r="D293" t="s">
        <v>3866</v>
      </c>
    </row>
    <row r="294" spans="1:4" ht="11.25" customHeight="1">
      <c r="A294">
        <v>294</v>
      </c>
      <c r="B294" t="s">
        <v>3849</v>
      </c>
      <c r="C294" t="s">
        <v>3867</v>
      </c>
      <c r="D294" t="s">
        <v>3868</v>
      </c>
    </row>
    <row r="295" spans="1:4" ht="11.25" customHeight="1">
      <c r="A295">
        <v>295</v>
      </c>
      <c r="B295" t="s">
        <v>3869</v>
      </c>
      <c r="C295" t="s">
        <v>3870</v>
      </c>
      <c r="D295" t="s">
        <v>3871</v>
      </c>
    </row>
    <row r="296" spans="1:4" ht="11.25" customHeight="1">
      <c r="A296">
        <v>296</v>
      </c>
      <c r="B296" t="s">
        <v>3869</v>
      </c>
      <c r="C296" t="s">
        <v>3872</v>
      </c>
      <c r="D296" t="s">
        <v>3873</v>
      </c>
    </row>
    <row r="297" spans="1:4" ht="11.25" customHeight="1">
      <c r="A297">
        <v>297</v>
      </c>
      <c r="B297" t="s">
        <v>3869</v>
      </c>
      <c r="C297" t="s">
        <v>3874</v>
      </c>
      <c r="D297" t="s">
        <v>3875</v>
      </c>
    </row>
    <row r="298" spans="1:4" ht="11.25" customHeight="1">
      <c r="A298">
        <v>298</v>
      </c>
      <c r="B298" t="s">
        <v>3869</v>
      </c>
      <c r="C298" t="s">
        <v>3544</v>
      </c>
      <c r="D298" t="s">
        <v>3876</v>
      </c>
    </row>
    <row r="299" spans="1:4" ht="11.25" customHeight="1">
      <c r="A299">
        <v>299</v>
      </c>
      <c r="B299" t="s">
        <v>3869</v>
      </c>
      <c r="C299" t="s">
        <v>3877</v>
      </c>
      <c r="D299" t="s">
        <v>3878</v>
      </c>
    </row>
    <row r="300" spans="1:4" ht="11.25" customHeight="1">
      <c r="A300">
        <v>300</v>
      </c>
      <c r="B300" t="s">
        <v>3869</v>
      </c>
      <c r="C300" t="s">
        <v>3879</v>
      </c>
      <c r="D300" t="s">
        <v>3880</v>
      </c>
    </row>
    <row r="301" spans="1:4" ht="11.25" customHeight="1">
      <c r="A301">
        <v>301</v>
      </c>
      <c r="B301" t="s">
        <v>3869</v>
      </c>
      <c r="C301" t="s">
        <v>3881</v>
      </c>
      <c r="D301" t="s">
        <v>3882</v>
      </c>
    </row>
    <row r="302" spans="1:4" ht="11.25" customHeight="1">
      <c r="A302">
        <v>302</v>
      </c>
      <c r="B302" t="s">
        <v>3869</v>
      </c>
      <c r="C302" t="s">
        <v>3314</v>
      </c>
      <c r="D302" t="s">
        <v>3883</v>
      </c>
    </row>
    <row r="303" spans="1:4" ht="11.25" customHeight="1">
      <c r="A303">
        <v>303</v>
      </c>
      <c r="B303" t="s">
        <v>3869</v>
      </c>
      <c r="C303" t="s">
        <v>3869</v>
      </c>
      <c r="D303" t="s">
        <v>3884</v>
      </c>
    </row>
    <row r="304" spans="1:4" ht="11.25" customHeight="1">
      <c r="A304">
        <v>304</v>
      </c>
      <c r="B304" t="s">
        <v>3869</v>
      </c>
      <c r="C304" t="s">
        <v>3885</v>
      </c>
      <c r="D304" t="s">
        <v>3886</v>
      </c>
    </row>
    <row r="305" spans="1:4" ht="11.25" customHeight="1">
      <c r="A305">
        <v>305</v>
      </c>
      <c r="B305" t="s">
        <v>3869</v>
      </c>
      <c r="C305" t="s">
        <v>3887</v>
      </c>
      <c r="D305" t="s">
        <v>3888</v>
      </c>
    </row>
    <row r="306" spans="1:4" ht="11.25" customHeight="1">
      <c r="A306">
        <v>306</v>
      </c>
      <c r="B306" t="s">
        <v>3869</v>
      </c>
      <c r="C306" t="s">
        <v>3417</v>
      </c>
      <c r="D306" t="s">
        <v>3889</v>
      </c>
    </row>
    <row r="307" spans="1:4" ht="11.25" customHeight="1">
      <c r="A307">
        <v>307</v>
      </c>
      <c r="B307" t="s">
        <v>3869</v>
      </c>
      <c r="C307" t="s">
        <v>3890</v>
      </c>
      <c r="D307" t="s">
        <v>3891</v>
      </c>
    </row>
    <row r="308" spans="1:4" ht="11.25" customHeight="1">
      <c r="A308">
        <v>308</v>
      </c>
      <c r="B308" t="s">
        <v>3869</v>
      </c>
      <c r="C308" t="s">
        <v>3892</v>
      </c>
      <c r="D308" t="s">
        <v>3893</v>
      </c>
    </row>
    <row r="309" spans="1:4" ht="11.25" customHeight="1">
      <c r="A309">
        <v>309</v>
      </c>
      <c r="B309" t="s">
        <v>3869</v>
      </c>
      <c r="C309" t="s">
        <v>3719</v>
      </c>
      <c r="D309" t="s">
        <v>3894</v>
      </c>
    </row>
    <row r="310" spans="1:4" ht="11.25" customHeight="1">
      <c r="A310">
        <v>310</v>
      </c>
      <c r="B310" t="s">
        <v>3869</v>
      </c>
      <c r="C310" t="s">
        <v>3895</v>
      </c>
      <c r="D310" t="s">
        <v>3896</v>
      </c>
    </row>
    <row r="311" spans="1:4" ht="11.25" customHeight="1">
      <c r="A311">
        <v>311</v>
      </c>
      <c r="B311" t="s">
        <v>3869</v>
      </c>
      <c r="C311" t="s">
        <v>3897</v>
      </c>
      <c r="D311" t="s">
        <v>3898</v>
      </c>
    </row>
    <row r="312" spans="1:4" ht="11.25" customHeight="1">
      <c r="A312">
        <v>312</v>
      </c>
      <c r="B312" t="s">
        <v>3869</v>
      </c>
      <c r="C312" t="s">
        <v>3899</v>
      </c>
      <c r="D312" t="s">
        <v>3900</v>
      </c>
    </row>
    <row r="313" spans="1:4" ht="11.25" customHeight="1">
      <c r="A313">
        <v>313</v>
      </c>
      <c r="B313" t="s">
        <v>3869</v>
      </c>
      <c r="C313" t="s">
        <v>3449</v>
      </c>
      <c r="D313" t="s">
        <v>3901</v>
      </c>
    </row>
    <row r="314" spans="1:4" ht="11.25" customHeight="1">
      <c r="A314">
        <v>314</v>
      </c>
      <c r="B314" t="s">
        <v>3902</v>
      </c>
      <c r="C314" t="s">
        <v>3903</v>
      </c>
      <c r="D314" t="s">
        <v>3904</v>
      </c>
    </row>
    <row r="315" spans="1:4" ht="11.25" customHeight="1">
      <c r="A315">
        <v>315</v>
      </c>
      <c r="B315" t="s">
        <v>3902</v>
      </c>
      <c r="C315" t="s">
        <v>3905</v>
      </c>
      <c r="D315" t="s">
        <v>3906</v>
      </c>
    </row>
    <row r="316" spans="1:4" ht="11.25" customHeight="1">
      <c r="A316">
        <v>316</v>
      </c>
      <c r="B316" t="s">
        <v>3902</v>
      </c>
      <c r="C316" t="s">
        <v>3907</v>
      </c>
      <c r="D316" t="s">
        <v>3908</v>
      </c>
    </row>
    <row r="317" spans="1:4" ht="11.25" customHeight="1">
      <c r="A317">
        <v>317</v>
      </c>
      <c r="B317" t="s">
        <v>3902</v>
      </c>
      <c r="C317" t="s">
        <v>3909</v>
      </c>
      <c r="D317" t="s">
        <v>3910</v>
      </c>
    </row>
    <row r="318" spans="1:4" ht="11.25" customHeight="1">
      <c r="A318">
        <v>318</v>
      </c>
      <c r="B318" t="s">
        <v>3902</v>
      </c>
      <c r="C318" t="s">
        <v>3911</v>
      </c>
      <c r="D318" t="s">
        <v>3912</v>
      </c>
    </row>
    <row r="319" spans="1:4" ht="11.25" customHeight="1">
      <c r="A319">
        <v>319</v>
      </c>
      <c r="B319" t="s">
        <v>3902</v>
      </c>
      <c r="C319" t="s">
        <v>3913</v>
      </c>
      <c r="D319" t="s">
        <v>3914</v>
      </c>
    </row>
    <row r="320" spans="1:4" ht="11.25" customHeight="1">
      <c r="A320">
        <v>320</v>
      </c>
      <c r="B320" t="s">
        <v>3902</v>
      </c>
      <c r="C320" t="s">
        <v>3915</v>
      </c>
      <c r="D320" t="s">
        <v>3916</v>
      </c>
    </row>
    <row r="321" spans="1:4" ht="11.25" customHeight="1">
      <c r="A321">
        <v>321</v>
      </c>
      <c r="B321" t="s">
        <v>3902</v>
      </c>
      <c r="C321" t="s">
        <v>3902</v>
      </c>
      <c r="D321" t="s">
        <v>3917</v>
      </c>
    </row>
    <row r="322" spans="1:4" ht="11.25" customHeight="1">
      <c r="A322">
        <v>322</v>
      </c>
      <c r="B322" t="s">
        <v>3902</v>
      </c>
      <c r="C322" t="s">
        <v>3918</v>
      </c>
      <c r="D322" t="s">
        <v>3919</v>
      </c>
    </row>
    <row r="323" spans="1:4" ht="11.25" customHeight="1">
      <c r="A323">
        <v>323</v>
      </c>
      <c r="B323" t="s">
        <v>3902</v>
      </c>
      <c r="C323" t="s">
        <v>3920</v>
      </c>
      <c r="D323" t="s">
        <v>3921</v>
      </c>
    </row>
    <row r="324" spans="1:4" ht="11.25" customHeight="1">
      <c r="A324">
        <v>324</v>
      </c>
      <c r="B324" t="s">
        <v>3902</v>
      </c>
      <c r="C324" t="s">
        <v>3719</v>
      </c>
      <c r="D324" t="s">
        <v>3922</v>
      </c>
    </row>
    <row r="325" spans="1:4" ht="11.25" customHeight="1">
      <c r="A325">
        <v>325</v>
      </c>
      <c r="B325" t="s">
        <v>3902</v>
      </c>
      <c r="C325" t="s">
        <v>3923</v>
      </c>
      <c r="D325" t="s">
        <v>3924</v>
      </c>
    </row>
    <row r="326" spans="1:4" ht="11.25" customHeight="1">
      <c r="A326">
        <v>326</v>
      </c>
      <c r="B326" t="s">
        <v>3902</v>
      </c>
      <c r="C326" t="s">
        <v>3925</v>
      </c>
      <c r="D326" t="s">
        <v>3926</v>
      </c>
    </row>
    <row r="327" spans="1:4" ht="11.25" customHeight="1">
      <c r="A327">
        <v>327</v>
      </c>
      <c r="B327" t="s">
        <v>3902</v>
      </c>
      <c r="C327" t="s">
        <v>3927</v>
      </c>
      <c r="D327" t="s">
        <v>3928</v>
      </c>
    </row>
    <row r="328" spans="1:4" ht="11.25" customHeight="1">
      <c r="A328">
        <v>328</v>
      </c>
      <c r="B328" t="s">
        <v>3929</v>
      </c>
      <c r="C328" t="s">
        <v>3930</v>
      </c>
      <c r="D328" t="s">
        <v>3931</v>
      </c>
    </row>
    <row r="329" spans="1:4" ht="11.25" customHeight="1">
      <c r="A329">
        <v>329</v>
      </c>
      <c r="B329" t="s">
        <v>3929</v>
      </c>
      <c r="C329" t="s">
        <v>3932</v>
      </c>
      <c r="D329" t="s">
        <v>3933</v>
      </c>
    </row>
    <row r="330" spans="1:4" ht="11.25" customHeight="1">
      <c r="A330">
        <v>330</v>
      </c>
      <c r="B330" t="s">
        <v>3929</v>
      </c>
      <c r="C330" t="s">
        <v>3934</v>
      </c>
      <c r="D330" t="s">
        <v>3935</v>
      </c>
    </row>
    <row r="331" spans="1:4" ht="11.25" customHeight="1">
      <c r="A331">
        <v>331</v>
      </c>
      <c r="B331" t="s">
        <v>3929</v>
      </c>
      <c r="C331" t="s">
        <v>3929</v>
      </c>
      <c r="D331" t="s">
        <v>3936</v>
      </c>
    </row>
    <row r="332" spans="1:4" ht="11.25" customHeight="1">
      <c r="A332">
        <v>332</v>
      </c>
      <c r="B332" t="s">
        <v>3929</v>
      </c>
      <c r="C332" t="s">
        <v>3435</v>
      </c>
      <c r="D332" t="s">
        <v>3937</v>
      </c>
    </row>
    <row r="333" spans="1:4" ht="11.25" customHeight="1">
      <c r="A333">
        <v>333</v>
      </c>
      <c r="B333" t="s">
        <v>3929</v>
      </c>
      <c r="C333" t="s">
        <v>3938</v>
      </c>
      <c r="D333" t="s">
        <v>3939</v>
      </c>
    </row>
    <row r="334" spans="1:4" ht="11.25" customHeight="1">
      <c r="A334">
        <v>334</v>
      </c>
      <c r="B334" t="s">
        <v>3929</v>
      </c>
      <c r="C334" t="s">
        <v>3417</v>
      </c>
      <c r="D334" t="s">
        <v>3940</v>
      </c>
    </row>
    <row r="335" spans="1:4" ht="11.25" customHeight="1">
      <c r="A335">
        <v>335</v>
      </c>
      <c r="B335" t="s">
        <v>3929</v>
      </c>
      <c r="C335" t="s">
        <v>3941</v>
      </c>
      <c r="D335" t="s">
        <v>3942</v>
      </c>
    </row>
    <row r="336" spans="1:4" ht="11.25" customHeight="1">
      <c r="A336">
        <v>336</v>
      </c>
      <c r="B336" t="s">
        <v>3929</v>
      </c>
      <c r="C336" t="s">
        <v>3943</v>
      </c>
      <c r="D336" t="s">
        <v>3944</v>
      </c>
    </row>
    <row r="337" spans="1:4" ht="11.25" customHeight="1">
      <c r="A337">
        <v>337</v>
      </c>
      <c r="B337" t="s">
        <v>3945</v>
      </c>
      <c r="C337" t="s">
        <v>3946</v>
      </c>
      <c r="D337" t="s">
        <v>3947</v>
      </c>
    </row>
    <row r="338" spans="1:4" ht="11.25" customHeight="1">
      <c r="A338">
        <v>338</v>
      </c>
      <c r="B338" t="s">
        <v>3945</v>
      </c>
      <c r="C338" t="s">
        <v>3948</v>
      </c>
      <c r="D338" t="s">
        <v>3949</v>
      </c>
    </row>
    <row r="339" spans="1:4" ht="11.25" customHeight="1">
      <c r="A339">
        <v>339</v>
      </c>
      <c r="B339" t="s">
        <v>3945</v>
      </c>
      <c r="C339" t="s">
        <v>3950</v>
      </c>
      <c r="D339" t="s">
        <v>3951</v>
      </c>
    </row>
    <row r="340" spans="1:4" ht="11.25" customHeight="1">
      <c r="A340">
        <v>340</v>
      </c>
      <c r="B340" t="s">
        <v>3945</v>
      </c>
      <c r="C340" t="s">
        <v>3952</v>
      </c>
      <c r="D340" t="s">
        <v>3953</v>
      </c>
    </row>
    <row r="341" spans="1:4" ht="11.25" customHeight="1">
      <c r="A341">
        <v>341</v>
      </c>
      <c r="B341" t="s">
        <v>3945</v>
      </c>
      <c r="C341" t="s">
        <v>3954</v>
      </c>
      <c r="D341" t="s">
        <v>3955</v>
      </c>
    </row>
    <row r="342" spans="1:4" ht="11.25" customHeight="1">
      <c r="A342">
        <v>342</v>
      </c>
      <c r="B342" t="s">
        <v>3945</v>
      </c>
      <c r="C342" t="s">
        <v>3945</v>
      </c>
      <c r="D342" t="s">
        <v>3956</v>
      </c>
    </row>
    <row r="343" spans="1:4" ht="11.25" customHeight="1">
      <c r="A343">
        <v>343</v>
      </c>
      <c r="B343" t="s">
        <v>3945</v>
      </c>
      <c r="C343" t="s">
        <v>3417</v>
      </c>
      <c r="D343" t="s">
        <v>3957</v>
      </c>
    </row>
    <row r="344" spans="1:4" ht="11.25" customHeight="1">
      <c r="A344">
        <v>344</v>
      </c>
      <c r="B344" t="s">
        <v>3945</v>
      </c>
      <c r="C344" t="s">
        <v>3958</v>
      </c>
      <c r="D344" t="s">
        <v>3959</v>
      </c>
    </row>
    <row r="345" spans="1:4" ht="11.25" customHeight="1">
      <c r="A345">
        <v>345</v>
      </c>
      <c r="B345" t="s">
        <v>3945</v>
      </c>
      <c r="C345" t="s">
        <v>3960</v>
      </c>
      <c r="D345" t="s">
        <v>3961</v>
      </c>
    </row>
    <row r="346" spans="1:4" ht="11.25" customHeight="1">
      <c r="A346">
        <v>346</v>
      </c>
      <c r="B346" t="s">
        <v>3945</v>
      </c>
      <c r="C346" t="s">
        <v>3962</v>
      </c>
      <c r="D346" t="s">
        <v>3963</v>
      </c>
    </row>
    <row r="347" spans="1:4" ht="11.25" customHeight="1">
      <c r="A347">
        <v>347</v>
      </c>
      <c r="B347" t="s">
        <v>3945</v>
      </c>
      <c r="C347" t="s">
        <v>3964</v>
      </c>
      <c r="D347" t="s">
        <v>3965</v>
      </c>
    </row>
    <row r="348" spans="1:4" ht="11.25" customHeight="1">
      <c r="A348">
        <v>348</v>
      </c>
      <c r="B348" t="s">
        <v>3945</v>
      </c>
      <c r="C348" t="s">
        <v>3966</v>
      </c>
      <c r="D348" t="s">
        <v>3967</v>
      </c>
    </row>
    <row r="349" spans="1:4" ht="11.25" customHeight="1">
      <c r="A349">
        <v>349</v>
      </c>
      <c r="B349" t="s">
        <v>3945</v>
      </c>
      <c r="C349" t="s">
        <v>3968</v>
      </c>
      <c r="D349" t="s">
        <v>3969</v>
      </c>
    </row>
    <row r="350" spans="1:4" ht="11.25" customHeight="1">
      <c r="A350">
        <v>350</v>
      </c>
      <c r="B350" t="s">
        <v>3970</v>
      </c>
      <c r="C350" t="s">
        <v>3971</v>
      </c>
      <c r="D350" t="s">
        <v>3972</v>
      </c>
    </row>
    <row r="351" spans="1:4" ht="11.25" customHeight="1">
      <c r="A351">
        <v>351</v>
      </c>
      <c r="B351" t="s">
        <v>3970</v>
      </c>
      <c r="C351" t="s">
        <v>3973</v>
      </c>
      <c r="D351" t="s">
        <v>3974</v>
      </c>
    </row>
    <row r="352" spans="1:4" ht="11.25" customHeight="1">
      <c r="A352">
        <v>352</v>
      </c>
      <c r="B352" t="s">
        <v>3970</v>
      </c>
      <c r="C352" t="s">
        <v>3975</v>
      </c>
      <c r="D352" t="s">
        <v>3976</v>
      </c>
    </row>
    <row r="353" spans="1:4" ht="11.25" customHeight="1">
      <c r="A353">
        <v>353</v>
      </c>
      <c r="B353" t="s">
        <v>3970</v>
      </c>
      <c r="C353" t="s">
        <v>3970</v>
      </c>
      <c r="D353" t="s">
        <v>3977</v>
      </c>
    </row>
    <row r="354" spans="1:4" ht="11.25" customHeight="1">
      <c r="A354">
        <v>354</v>
      </c>
      <c r="B354" t="s">
        <v>3970</v>
      </c>
      <c r="C354" t="s">
        <v>3978</v>
      </c>
      <c r="D354" t="s">
        <v>3979</v>
      </c>
    </row>
    <row r="355" spans="1:4" ht="11.25" customHeight="1">
      <c r="A355">
        <v>355</v>
      </c>
      <c r="B355" t="s">
        <v>3970</v>
      </c>
      <c r="C355" t="s">
        <v>3980</v>
      </c>
      <c r="D355" t="s">
        <v>3981</v>
      </c>
    </row>
    <row r="356" spans="1:4" ht="11.25" customHeight="1">
      <c r="A356">
        <v>356</v>
      </c>
      <c r="B356" t="s">
        <v>3970</v>
      </c>
      <c r="C356" t="s">
        <v>3489</v>
      </c>
      <c r="D356" t="s">
        <v>3982</v>
      </c>
    </row>
    <row r="357" spans="1:4" ht="11.25" customHeight="1">
      <c r="A357">
        <v>357</v>
      </c>
      <c r="B357" t="s">
        <v>3970</v>
      </c>
      <c r="C357" t="s">
        <v>3983</v>
      </c>
      <c r="D357" t="s">
        <v>3984</v>
      </c>
    </row>
    <row r="358" spans="1:4" ht="11.25" customHeight="1">
      <c r="A358">
        <v>358</v>
      </c>
      <c r="B358" t="s">
        <v>3985</v>
      </c>
      <c r="C358" t="s">
        <v>3986</v>
      </c>
      <c r="D358" t="s">
        <v>3987</v>
      </c>
    </row>
    <row r="359" spans="1:4" ht="11.25" customHeight="1">
      <c r="A359">
        <v>359</v>
      </c>
      <c r="B359" t="s">
        <v>3985</v>
      </c>
      <c r="C359" t="s">
        <v>3651</v>
      </c>
      <c r="D359" t="s">
        <v>3988</v>
      </c>
    </row>
    <row r="360" spans="1:4" ht="11.25" customHeight="1">
      <c r="A360">
        <v>360</v>
      </c>
      <c r="B360" t="s">
        <v>3985</v>
      </c>
      <c r="C360" t="s">
        <v>3989</v>
      </c>
      <c r="D360" t="s">
        <v>3990</v>
      </c>
    </row>
    <row r="361" spans="1:4" ht="11.25" customHeight="1">
      <c r="A361">
        <v>361</v>
      </c>
      <c r="B361" t="s">
        <v>3985</v>
      </c>
      <c r="C361" t="s">
        <v>3834</v>
      </c>
      <c r="D361" t="s">
        <v>3991</v>
      </c>
    </row>
    <row r="362" spans="1:4" ht="11.25" customHeight="1">
      <c r="A362">
        <v>362</v>
      </c>
      <c r="B362" t="s">
        <v>3985</v>
      </c>
      <c r="C362" t="s">
        <v>3909</v>
      </c>
      <c r="D362" t="s">
        <v>3992</v>
      </c>
    </row>
    <row r="363" spans="1:4" ht="11.25" customHeight="1">
      <c r="A363">
        <v>363</v>
      </c>
      <c r="B363" t="s">
        <v>3985</v>
      </c>
      <c r="C363" t="s">
        <v>3515</v>
      </c>
      <c r="D363" t="s">
        <v>3993</v>
      </c>
    </row>
    <row r="364" spans="1:4" ht="11.25" customHeight="1">
      <c r="A364">
        <v>364</v>
      </c>
      <c r="B364" t="s">
        <v>3985</v>
      </c>
      <c r="C364" t="s">
        <v>3994</v>
      </c>
      <c r="D364" t="s">
        <v>3995</v>
      </c>
    </row>
    <row r="365" spans="1:4" ht="11.25" customHeight="1">
      <c r="A365">
        <v>365</v>
      </c>
      <c r="B365" t="s">
        <v>3985</v>
      </c>
      <c r="C365" t="s">
        <v>3985</v>
      </c>
      <c r="D365" t="s">
        <v>3996</v>
      </c>
    </row>
    <row r="366" spans="1:4" ht="11.25" customHeight="1">
      <c r="A366">
        <v>366</v>
      </c>
      <c r="B366" t="s">
        <v>3985</v>
      </c>
      <c r="C366" t="s">
        <v>3997</v>
      </c>
      <c r="D366" t="s">
        <v>3998</v>
      </c>
    </row>
    <row r="367" spans="1:4" ht="11.25" customHeight="1">
      <c r="A367">
        <v>367</v>
      </c>
      <c r="B367" t="s">
        <v>3985</v>
      </c>
      <c r="C367" t="s">
        <v>3999</v>
      </c>
      <c r="D367" t="s">
        <v>4000</v>
      </c>
    </row>
    <row r="368" spans="1:4" ht="11.25" customHeight="1">
      <c r="A368">
        <v>368</v>
      </c>
      <c r="B368" t="s">
        <v>3985</v>
      </c>
      <c r="C368" t="s">
        <v>4001</v>
      </c>
      <c r="D368" t="s">
        <v>4002</v>
      </c>
    </row>
    <row r="369" spans="1:4" ht="11.25" customHeight="1">
      <c r="A369">
        <v>369</v>
      </c>
      <c r="B369" t="s">
        <v>3985</v>
      </c>
      <c r="C369" t="s">
        <v>4003</v>
      </c>
      <c r="D369" t="s">
        <v>4004</v>
      </c>
    </row>
    <row r="370" spans="1:4" ht="11.25" customHeight="1">
      <c r="A370">
        <v>370</v>
      </c>
      <c r="B370" t="s">
        <v>3985</v>
      </c>
      <c r="C370" t="s">
        <v>4005</v>
      </c>
      <c r="D370" t="s">
        <v>4006</v>
      </c>
    </row>
    <row r="371" spans="1:4" ht="11.25" customHeight="1">
      <c r="A371">
        <v>371</v>
      </c>
      <c r="B371" t="s">
        <v>3985</v>
      </c>
      <c r="C371" t="s">
        <v>4007</v>
      </c>
      <c r="D371" t="s">
        <v>4008</v>
      </c>
    </row>
    <row r="372" spans="1:4" ht="11.25" customHeight="1">
      <c r="A372">
        <v>372</v>
      </c>
      <c r="B372" t="s">
        <v>3985</v>
      </c>
      <c r="C372" t="s">
        <v>4009</v>
      </c>
      <c r="D372" t="s">
        <v>4010</v>
      </c>
    </row>
    <row r="373" spans="1:4" ht="11.25" customHeight="1">
      <c r="A373">
        <v>373</v>
      </c>
      <c r="B373" t="s">
        <v>3985</v>
      </c>
      <c r="C373" t="s">
        <v>4011</v>
      </c>
      <c r="D373" t="s">
        <v>4012</v>
      </c>
    </row>
    <row r="374" spans="1:4" ht="11.25" customHeight="1">
      <c r="A374">
        <v>374</v>
      </c>
      <c r="B374" t="s">
        <v>4013</v>
      </c>
      <c r="C374" t="s">
        <v>4014</v>
      </c>
      <c r="D374" t="s">
        <v>4015</v>
      </c>
    </row>
    <row r="375" spans="1:4" ht="11.25" customHeight="1">
      <c r="A375">
        <v>375</v>
      </c>
      <c r="B375" t="s">
        <v>4013</v>
      </c>
      <c r="C375" t="s">
        <v>4016</v>
      </c>
      <c r="D375" t="s">
        <v>4017</v>
      </c>
    </row>
    <row r="376" spans="1:4" ht="11.25" customHeight="1">
      <c r="A376">
        <v>376</v>
      </c>
      <c r="B376" t="s">
        <v>4013</v>
      </c>
      <c r="C376" t="s">
        <v>4018</v>
      </c>
      <c r="D376" t="s">
        <v>4019</v>
      </c>
    </row>
    <row r="377" spans="1:4" ht="11.25" customHeight="1">
      <c r="A377">
        <v>377</v>
      </c>
      <c r="B377" t="s">
        <v>4013</v>
      </c>
      <c r="C377" t="s">
        <v>4020</v>
      </c>
      <c r="D377" t="s">
        <v>4021</v>
      </c>
    </row>
    <row r="378" spans="1:4" ht="11.25" customHeight="1">
      <c r="A378">
        <v>378</v>
      </c>
      <c r="B378" t="s">
        <v>4013</v>
      </c>
      <c r="C378" t="s">
        <v>4022</v>
      </c>
      <c r="D378" t="s">
        <v>4023</v>
      </c>
    </row>
    <row r="379" spans="1:4" ht="11.25" customHeight="1">
      <c r="A379">
        <v>379</v>
      </c>
      <c r="B379" t="s">
        <v>4013</v>
      </c>
      <c r="C379" t="s">
        <v>4013</v>
      </c>
      <c r="D379" t="s">
        <v>4024</v>
      </c>
    </row>
    <row r="380" spans="1:4" ht="11.25" customHeight="1">
      <c r="A380">
        <v>380</v>
      </c>
      <c r="B380" t="s">
        <v>4013</v>
      </c>
      <c r="C380" t="s">
        <v>4025</v>
      </c>
      <c r="D380" t="s">
        <v>4026</v>
      </c>
    </row>
    <row r="381" spans="1:4" ht="11.25" customHeight="1">
      <c r="A381">
        <v>381</v>
      </c>
      <c r="B381" t="s">
        <v>4013</v>
      </c>
      <c r="C381" t="s">
        <v>4027</v>
      </c>
      <c r="D381" t="s">
        <v>4028</v>
      </c>
    </row>
    <row r="382" spans="1:4" ht="11.25" customHeight="1">
      <c r="A382">
        <v>382</v>
      </c>
      <c r="B382" t="s">
        <v>4013</v>
      </c>
      <c r="C382" t="s">
        <v>4029</v>
      </c>
      <c r="D382" t="s">
        <v>4030</v>
      </c>
    </row>
    <row r="383" spans="1:4" ht="11.25" customHeight="1">
      <c r="A383">
        <v>383</v>
      </c>
      <c r="B383" t="s">
        <v>4013</v>
      </c>
      <c r="C383" t="s">
        <v>4031</v>
      </c>
      <c r="D383" t="s">
        <v>4032</v>
      </c>
    </row>
    <row r="384" spans="1:4" ht="11.25" customHeight="1">
      <c r="A384">
        <v>384</v>
      </c>
      <c r="B384" t="s">
        <v>4033</v>
      </c>
      <c r="C384" t="s">
        <v>4034</v>
      </c>
      <c r="D384" t="s">
        <v>4035</v>
      </c>
    </row>
    <row r="385" spans="1:4" ht="11.25" customHeight="1">
      <c r="A385">
        <v>385</v>
      </c>
      <c r="B385" t="s">
        <v>4033</v>
      </c>
      <c r="C385" t="s">
        <v>4036</v>
      </c>
      <c r="D385" t="s">
        <v>4037</v>
      </c>
    </row>
    <row r="386" spans="1:4" ht="11.25" customHeight="1">
      <c r="A386">
        <v>386</v>
      </c>
      <c r="B386" t="s">
        <v>4033</v>
      </c>
      <c r="C386" t="s">
        <v>3470</v>
      </c>
      <c r="D386" t="s">
        <v>4038</v>
      </c>
    </row>
    <row r="387" spans="1:4" ht="11.25" customHeight="1">
      <c r="A387">
        <v>387</v>
      </c>
      <c r="B387" t="s">
        <v>4033</v>
      </c>
      <c r="C387" t="s">
        <v>4039</v>
      </c>
      <c r="D387" t="s">
        <v>4040</v>
      </c>
    </row>
    <row r="388" spans="1:4" ht="11.25" customHeight="1">
      <c r="A388">
        <v>388</v>
      </c>
      <c r="B388" t="s">
        <v>4033</v>
      </c>
      <c r="C388" t="s">
        <v>4041</v>
      </c>
      <c r="D388" t="s">
        <v>4042</v>
      </c>
    </row>
    <row r="389" spans="1:4" ht="11.25" customHeight="1">
      <c r="A389">
        <v>389</v>
      </c>
      <c r="B389" t="s">
        <v>4033</v>
      </c>
      <c r="C389" t="s">
        <v>4043</v>
      </c>
      <c r="D389" t="s">
        <v>4044</v>
      </c>
    </row>
    <row r="390" spans="1:4" ht="11.25" customHeight="1">
      <c r="A390">
        <v>390</v>
      </c>
      <c r="B390" t="s">
        <v>4033</v>
      </c>
      <c r="C390" t="s">
        <v>4045</v>
      </c>
      <c r="D390" t="s">
        <v>4046</v>
      </c>
    </row>
    <row r="391" spans="1:4" ht="11.25" customHeight="1">
      <c r="A391">
        <v>391</v>
      </c>
      <c r="B391" t="s">
        <v>4033</v>
      </c>
      <c r="C391" t="s">
        <v>4047</v>
      </c>
      <c r="D391" t="s">
        <v>4048</v>
      </c>
    </row>
    <row r="392" spans="1:4" ht="11.25" customHeight="1">
      <c r="A392">
        <v>392</v>
      </c>
      <c r="B392" t="s">
        <v>4033</v>
      </c>
      <c r="C392" t="s">
        <v>4049</v>
      </c>
      <c r="D392" t="s">
        <v>4050</v>
      </c>
    </row>
    <row r="393" spans="1:4" ht="11.25" customHeight="1">
      <c r="A393">
        <v>393</v>
      </c>
      <c r="B393" t="s">
        <v>4033</v>
      </c>
      <c r="C393" t="s">
        <v>4051</v>
      </c>
      <c r="D393" t="s">
        <v>4052</v>
      </c>
    </row>
    <row r="394" spans="1:4" ht="11.25" customHeight="1">
      <c r="A394">
        <v>394</v>
      </c>
      <c r="B394" t="s">
        <v>4033</v>
      </c>
      <c r="C394" t="s">
        <v>4033</v>
      </c>
      <c r="D394" t="s">
        <v>4053</v>
      </c>
    </row>
    <row r="395" spans="1:4" ht="11.25" customHeight="1">
      <c r="A395">
        <v>395</v>
      </c>
      <c r="B395" t="s">
        <v>4033</v>
      </c>
      <c r="C395" t="s">
        <v>3395</v>
      </c>
      <c r="D395" t="s">
        <v>4054</v>
      </c>
    </row>
    <row r="396" spans="1:4" ht="11.25" customHeight="1">
      <c r="A396">
        <v>396</v>
      </c>
      <c r="B396" t="s">
        <v>4033</v>
      </c>
      <c r="C396" t="s">
        <v>4055</v>
      </c>
      <c r="D396" t="s">
        <v>4056</v>
      </c>
    </row>
    <row r="397" spans="1:4" ht="11.25" customHeight="1">
      <c r="A397">
        <v>397</v>
      </c>
      <c r="B397" t="s">
        <v>4033</v>
      </c>
      <c r="C397" t="s">
        <v>4057</v>
      </c>
      <c r="D397" t="s">
        <v>4058</v>
      </c>
    </row>
    <row r="398" spans="1:4" ht="11.25" customHeight="1">
      <c r="A398">
        <v>398</v>
      </c>
      <c r="B398" t="s">
        <v>4033</v>
      </c>
      <c r="C398" t="s">
        <v>4059</v>
      </c>
      <c r="D398" t="s">
        <v>4060</v>
      </c>
    </row>
    <row r="399" spans="1:4" ht="11.25" customHeight="1">
      <c r="A399">
        <v>399</v>
      </c>
      <c r="B399" t="s">
        <v>4033</v>
      </c>
      <c r="C399" t="s">
        <v>4061</v>
      </c>
      <c r="D399" t="s">
        <v>4062</v>
      </c>
    </row>
    <row r="400" spans="1:4" ht="11.25" customHeight="1">
      <c r="A400">
        <v>400</v>
      </c>
      <c r="B400" t="s">
        <v>4033</v>
      </c>
      <c r="C400" t="s">
        <v>4063</v>
      </c>
      <c r="D400" t="s">
        <v>4064</v>
      </c>
    </row>
    <row r="401" spans="1:4" ht="11.25" customHeight="1">
      <c r="A401">
        <v>401</v>
      </c>
      <c r="B401" t="s">
        <v>4033</v>
      </c>
      <c r="C401" t="s">
        <v>4065</v>
      </c>
      <c r="D401" t="s">
        <v>4066</v>
      </c>
    </row>
    <row r="402" spans="1:4" ht="11.25" customHeight="1">
      <c r="A402">
        <v>402</v>
      </c>
      <c r="B402" t="s">
        <v>4033</v>
      </c>
      <c r="C402" t="s">
        <v>4067</v>
      </c>
      <c r="D402" t="s">
        <v>4068</v>
      </c>
    </row>
    <row r="403" spans="1:4" ht="11.25" customHeight="1">
      <c r="A403">
        <v>403</v>
      </c>
      <c r="B403" t="s">
        <v>4069</v>
      </c>
      <c r="C403" t="s">
        <v>3406</v>
      </c>
      <c r="D403" t="s">
        <v>4070</v>
      </c>
    </row>
    <row r="404" spans="1:4" ht="11.25" customHeight="1">
      <c r="A404">
        <v>404</v>
      </c>
      <c r="B404" t="s">
        <v>4069</v>
      </c>
      <c r="C404" t="s">
        <v>4071</v>
      </c>
      <c r="D404" t="s">
        <v>4072</v>
      </c>
    </row>
    <row r="405" spans="1:4" ht="11.25" customHeight="1">
      <c r="A405">
        <v>405</v>
      </c>
      <c r="B405" t="s">
        <v>4069</v>
      </c>
      <c r="C405" t="s">
        <v>4073</v>
      </c>
      <c r="D405" t="s">
        <v>4074</v>
      </c>
    </row>
    <row r="406" spans="1:4" ht="11.25" customHeight="1">
      <c r="A406">
        <v>406</v>
      </c>
      <c r="B406" t="s">
        <v>4069</v>
      </c>
      <c r="C406" t="s">
        <v>3553</v>
      </c>
      <c r="D406" t="s">
        <v>4075</v>
      </c>
    </row>
    <row r="407" spans="1:4" ht="11.25" customHeight="1">
      <c r="A407">
        <v>407</v>
      </c>
      <c r="B407" t="s">
        <v>4069</v>
      </c>
      <c r="C407" t="s">
        <v>3417</v>
      </c>
      <c r="D407" t="s">
        <v>4076</v>
      </c>
    </row>
    <row r="408" spans="1:4" ht="11.25" customHeight="1">
      <c r="A408">
        <v>408</v>
      </c>
      <c r="B408" t="s">
        <v>4069</v>
      </c>
      <c r="C408" t="s">
        <v>4077</v>
      </c>
      <c r="D408" t="s">
        <v>4078</v>
      </c>
    </row>
    <row r="409" spans="1:4" ht="11.25" customHeight="1">
      <c r="A409">
        <v>409</v>
      </c>
      <c r="B409" t="s">
        <v>4069</v>
      </c>
      <c r="C409" t="s">
        <v>4079</v>
      </c>
      <c r="D409" t="s">
        <v>4080</v>
      </c>
    </row>
    <row r="410" spans="1:4" ht="11.25" customHeight="1">
      <c r="A410">
        <v>410</v>
      </c>
      <c r="B410" t="s">
        <v>4069</v>
      </c>
      <c r="C410" t="s">
        <v>4069</v>
      </c>
      <c r="D410" t="s">
        <v>4081</v>
      </c>
    </row>
    <row r="411" spans="1:4" ht="11.25" customHeight="1">
      <c r="A411">
        <v>411</v>
      </c>
      <c r="B411" t="s">
        <v>4069</v>
      </c>
      <c r="C411" t="s">
        <v>4082</v>
      </c>
      <c r="D411" t="s">
        <v>4083</v>
      </c>
    </row>
    <row r="412" spans="1:4" ht="11.25" customHeight="1">
      <c r="A412">
        <v>412</v>
      </c>
      <c r="B412" t="s">
        <v>4069</v>
      </c>
      <c r="C412" t="s">
        <v>4084</v>
      </c>
      <c r="D412" t="s">
        <v>4085</v>
      </c>
    </row>
    <row r="413" spans="1:4" ht="11.25" customHeight="1">
      <c r="A413">
        <v>413</v>
      </c>
      <c r="B413" t="s">
        <v>4086</v>
      </c>
      <c r="C413" t="s">
        <v>4087</v>
      </c>
      <c r="D413" t="s">
        <v>4088</v>
      </c>
    </row>
    <row r="414" spans="1:4" ht="11.25" customHeight="1">
      <c r="A414">
        <v>414</v>
      </c>
      <c r="B414" t="s">
        <v>4086</v>
      </c>
      <c r="C414" t="s">
        <v>4089</v>
      </c>
      <c r="D414" t="s">
        <v>4090</v>
      </c>
    </row>
    <row r="415" spans="1:4" ht="11.25" customHeight="1">
      <c r="A415">
        <v>415</v>
      </c>
      <c r="B415" t="s">
        <v>4086</v>
      </c>
      <c r="C415" t="s">
        <v>4091</v>
      </c>
      <c r="D415" t="s">
        <v>4092</v>
      </c>
    </row>
    <row r="416" spans="1:4" ht="11.25" customHeight="1">
      <c r="A416">
        <v>416</v>
      </c>
      <c r="B416" t="s">
        <v>4086</v>
      </c>
      <c r="C416" t="s">
        <v>4093</v>
      </c>
      <c r="D416" t="s">
        <v>4094</v>
      </c>
    </row>
    <row r="417" spans="1:4" ht="11.25" customHeight="1">
      <c r="A417">
        <v>417</v>
      </c>
      <c r="B417" t="s">
        <v>4086</v>
      </c>
      <c r="C417" t="s">
        <v>4095</v>
      </c>
      <c r="D417" t="s">
        <v>4096</v>
      </c>
    </row>
    <row r="418" spans="1:4" ht="11.25" customHeight="1">
      <c r="A418">
        <v>418</v>
      </c>
      <c r="B418" t="s">
        <v>4086</v>
      </c>
      <c r="C418" t="s">
        <v>4097</v>
      </c>
      <c r="D418" t="s">
        <v>4098</v>
      </c>
    </row>
    <row r="419" spans="1:4" ht="11.25" customHeight="1">
      <c r="A419">
        <v>419</v>
      </c>
      <c r="B419" t="s">
        <v>4086</v>
      </c>
      <c r="C419" t="s">
        <v>3918</v>
      </c>
      <c r="D419" t="s">
        <v>4099</v>
      </c>
    </row>
    <row r="420" spans="1:4" ht="11.25" customHeight="1">
      <c r="A420">
        <v>420</v>
      </c>
      <c r="B420" t="s">
        <v>4086</v>
      </c>
      <c r="C420" t="s">
        <v>3417</v>
      </c>
      <c r="D420" t="s">
        <v>4100</v>
      </c>
    </row>
    <row r="421" spans="1:4" ht="11.25" customHeight="1">
      <c r="A421">
        <v>421</v>
      </c>
      <c r="B421" t="s">
        <v>4086</v>
      </c>
      <c r="C421" t="s">
        <v>4101</v>
      </c>
      <c r="D421" t="s">
        <v>4102</v>
      </c>
    </row>
    <row r="422" spans="1:4" ht="11.25" customHeight="1">
      <c r="A422">
        <v>422</v>
      </c>
      <c r="B422" t="s">
        <v>4086</v>
      </c>
      <c r="C422" t="s">
        <v>4103</v>
      </c>
      <c r="D422" t="s">
        <v>4104</v>
      </c>
    </row>
    <row r="423" spans="1:4" ht="11.25" customHeight="1">
      <c r="A423">
        <v>423</v>
      </c>
      <c r="B423" t="s">
        <v>4086</v>
      </c>
      <c r="C423" t="s">
        <v>4086</v>
      </c>
      <c r="D423" t="s">
        <v>4105</v>
      </c>
    </row>
    <row r="424" spans="1:4" ht="11.25" customHeight="1">
      <c r="A424">
        <v>424</v>
      </c>
      <c r="B424" t="s">
        <v>4086</v>
      </c>
      <c r="C424" t="s">
        <v>4106</v>
      </c>
      <c r="D424" t="s">
        <v>4107</v>
      </c>
    </row>
    <row r="425" spans="1:4" ht="11.25" customHeight="1">
      <c r="A425">
        <v>425</v>
      </c>
      <c r="B425" t="s">
        <v>4108</v>
      </c>
      <c r="C425" t="s">
        <v>3340</v>
      </c>
      <c r="D425" t="s">
        <v>4109</v>
      </c>
    </row>
    <row r="426" spans="1:4" ht="11.25" customHeight="1">
      <c r="A426">
        <v>426</v>
      </c>
      <c r="B426" t="s">
        <v>4108</v>
      </c>
      <c r="C426" t="s">
        <v>4110</v>
      </c>
      <c r="D426" t="s">
        <v>4111</v>
      </c>
    </row>
    <row r="427" spans="1:4" ht="11.25" customHeight="1">
      <c r="A427">
        <v>427</v>
      </c>
      <c r="B427" t="s">
        <v>4108</v>
      </c>
      <c r="C427" t="s">
        <v>4112</v>
      </c>
      <c r="D427" t="s">
        <v>4113</v>
      </c>
    </row>
    <row r="428" spans="1:4" ht="11.25" customHeight="1">
      <c r="A428">
        <v>428</v>
      </c>
      <c r="B428" t="s">
        <v>4108</v>
      </c>
      <c r="C428" t="s">
        <v>4114</v>
      </c>
      <c r="D428" t="s">
        <v>4115</v>
      </c>
    </row>
    <row r="429" spans="1:4" ht="11.25" customHeight="1">
      <c r="A429">
        <v>429</v>
      </c>
      <c r="B429" t="s">
        <v>4108</v>
      </c>
      <c r="C429" t="s">
        <v>4116</v>
      </c>
      <c r="D429" t="s">
        <v>4117</v>
      </c>
    </row>
    <row r="430" spans="1:4" ht="11.25" customHeight="1">
      <c r="A430">
        <v>430</v>
      </c>
      <c r="B430" t="s">
        <v>4108</v>
      </c>
      <c r="C430" t="s">
        <v>4118</v>
      </c>
      <c r="D430" t="s">
        <v>4119</v>
      </c>
    </row>
    <row r="431" spans="1:4" ht="11.25" customHeight="1">
      <c r="A431">
        <v>431</v>
      </c>
      <c r="B431" t="s">
        <v>4108</v>
      </c>
      <c r="C431" t="s">
        <v>4120</v>
      </c>
      <c r="D431" t="s">
        <v>4121</v>
      </c>
    </row>
    <row r="432" spans="1:4" ht="11.25" customHeight="1">
      <c r="A432">
        <v>432</v>
      </c>
      <c r="B432" t="s">
        <v>4108</v>
      </c>
      <c r="C432" t="s">
        <v>4122</v>
      </c>
      <c r="D432" t="s">
        <v>4123</v>
      </c>
    </row>
    <row r="433" spans="1:4" ht="11.25" customHeight="1">
      <c r="A433">
        <v>433</v>
      </c>
      <c r="B433" t="s">
        <v>4108</v>
      </c>
      <c r="C433" t="s">
        <v>4124</v>
      </c>
      <c r="D433" t="s">
        <v>4125</v>
      </c>
    </row>
    <row r="434" spans="1:4" ht="11.25" customHeight="1">
      <c r="A434">
        <v>434</v>
      </c>
      <c r="B434" t="s">
        <v>4108</v>
      </c>
      <c r="C434" t="s">
        <v>4108</v>
      </c>
      <c r="D434" t="s">
        <v>4126</v>
      </c>
    </row>
    <row r="435" spans="1:4" ht="11.25" customHeight="1">
      <c r="A435">
        <v>435</v>
      </c>
      <c r="B435" t="s">
        <v>4108</v>
      </c>
      <c r="C435" t="s">
        <v>4127</v>
      </c>
      <c r="D435" t="s">
        <v>4128</v>
      </c>
    </row>
    <row r="436" spans="1:4" ht="11.25" customHeight="1">
      <c r="A436">
        <v>436</v>
      </c>
      <c r="B436" t="s">
        <v>4108</v>
      </c>
      <c r="C436" t="s">
        <v>4129</v>
      </c>
      <c r="D436" t="s">
        <v>4130</v>
      </c>
    </row>
    <row r="437" spans="1:4" ht="11.25" customHeight="1">
      <c r="A437">
        <v>437</v>
      </c>
      <c r="B437" t="s">
        <v>4108</v>
      </c>
      <c r="C437" t="s">
        <v>4131</v>
      </c>
      <c r="D437" t="s">
        <v>4132</v>
      </c>
    </row>
    <row r="438" spans="1:4" ht="11.25" customHeight="1">
      <c r="A438">
        <v>438</v>
      </c>
      <c r="B438" t="s">
        <v>4108</v>
      </c>
      <c r="C438" t="s">
        <v>4133</v>
      </c>
      <c r="D438" t="s">
        <v>4134</v>
      </c>
    </row>
    <row r="439" spans="1:4" ht="11.25" customHeight="1">
      <c r="A439">
        <v>439</v>
      </c>
      <c r="B439" t="s">
        <v>4135</v>
      </c>
      <c r="C439" t="s">
        <v>4136</v>
      </c>
      <c r="D439" t="s">
        <v>4137</v>
      </c>
    </row>
    <row r="440" spans="1:4" ht="11.25" customHeight="1">
      <c r="A440">
        <v>440</v>
      </c>
      <c r="B440" t="s">
        <v>4135</v>
      </c>
      <c r="C440" t="s">
        <v>4138</v>
      </c>
      <c r="D440" t="s">
        <v>4139</v>
      </c>
    </row>
    <row r="441" spans="1:4" ht="11.25" customHeight="1">
      <c r="A441">
        <v>441</v>
      </c>
      <c r="B441" t="s">
        <v>4135</v>
      </c>
      <c r="C441" t="s">
        <v>4140</v>
      </c>
      <c r="D441" t="s">
        <v>4141</v>
      </c>
    </row>
    <row r="442" spans="1:4" ht="11.25" customHeight="1">
      <c r="A442">
        <v>442</v>
      </c>
      <c r="B442" t="s">
        <v>4135</v>
      </c>
      <c r="C442" t="s">
        <v>4142</v>
      </c>
      <c r="D442" t="s">
        <v>4143</v>
      </c>
    </row>
    <row r="443" spans="1:4" ht="11.25" customHeight="1">
      <c r="A443">
        <v>443</v>
      </c>
      <c r="B443" t="s">
        <v>4135</v>
      </c>
      <c r="C443" t="s">
        <v>3719</v>
      </c>
      <c r="D443" t="s">
        <v>4144</v>
      </c>
    </row>
    <row r="444" spans="1:4" ht="11.25" customHeight="1">
      <c r="A444">
        <v>444</v>
      </c>
      <c r="B444" t="s">
        <v>4135</v>
      </c>
      <c r="C444" t="s">
        <v>4145</v>
      </c>
      <c r="D444" t="s">
        <v>4146</v>
      </c>
    </row>
    <row r="445" spans="1:4" ht="11.25" customHeight="1">
      <c r="A445">
        <v>445</v>
      </c>
      <c r="B445" t="s">
        <v>4135</v>
      </c>
      <c r="C445" t="s">
        <v>4135</v>
      </c>
      <c r="D445" t="s">
        <v>4147</v>
      </c>
    </row>
    <row r="446" spans="1:4" ht="11.25" customHeight="1">
      <c r="A446">
        <v>446</v>
      </c>
      <c r="B446" t="s">
        <v>4135</v>
      </c>
      <c r="C446" t="s">
        <v>4148</v>
      </c>
      <c r="D446" t="s">
        <v>4149</v>
      </c>
    </row>
    <row r="447" spans="1:4" ht="11.25" customHeight="1">
      <c r="A447">
        <v>447</v>
      </c>
      <c r="B447" t="s">
        <v>4135</v>
      </c>
      <c r="C447" t="s">
        <v>4150</v>
      </c>
      <c r="D447" t="s">
        <v>4151</v>
      </c>
    </row>
    <row r="448" spans="1:4" ht="11.25" customHeight="1">
      <c r="A448">
        <v>448</v>
      </c>
      <c r="B448" t="s">
        <v>4135</v>
      </c>
      <c r="C448" t="s">
        <v>4152</v>
      </c>
      <c r="D448" t="s">
        <v>4153</v>
      </c>
    </row>
    <row r="449" spans="1:4" ht="11.25" customHeight="1">
      <c r="A449">
        <v>449</v>
      </c>
      <c r="B449" t="s">
        <v>4135</v>
      </c>
      <c r="C449" t="s">
        <v>4154</v>
      </c>
      <c r="D449" t="s">
        <v>4155</v>
      </c>
    </row>
    <row r="450" spans="1:4" ht="11.25" customHeight="1">
      <c r="A450">
        <v>450</v>
      </c>
      <c r="B450" t="s">
        <v>4135</v>
      </c>
      <c r="C450" t="s">
        <v>4156</v>
      </c>
      <c r="D450" t="s">
        <v>4157</v>
      </c>
    </row>
    <row r="451" spans="1:4" ht="11.25" customHeight="1">
      <c r="A451">
        <v>451</v>
      </c>
      <c r="B451" t="s">
        <v>4135</v>
      </c>
      <c r="C451" t="s">
        <v>4158</v>
      </c>
      <c r="D451" t="s">
        <v>4159</v>
      </c>
    </row>
    <row r="452" spans="1:4" ht="11.25" customHeight="1">
      <c r="A452">
        <v>452</v>
      </c>
      <c r="B452" t="s">
        <v>4160</v>
      </c>
      <c r="C452" t="s">
        <v>4161</v>
      </c>
      <c r="D452" t="s">
        <v>4162</v>
      </c>
    </row>
    <row r="453" spans="1:4" ht="11.25" customHeight="1">
      <c r="A453">
        <v>453</v>
      </c>
      <c r="B453" t="s">
        <v>4160</v>
      </c>
      <c r="C453" t="s">
        <v>4163</v>
      </c>
      <c r="D453" t="s">
        <v>4164</v>
      </c>
    </row>
    <row r="454" spans="1:4" ht="11.25" customHeight="1">
      <c r="A454">
        <v>454</v>
      </c>
      <c r="B454" t="s">
        <v>4160</v>
      </c>
      <c r="C454" t="s">
        <v>4165</v>
      </c>
      <c r="D454" t="s">
        <v>4166</v>
      </c>
    </row>
    <row r="455" spans="1:4" ht="11.25" customHeight="1">
      <c r="A455">
        <v>455</v>
      </c>
      <c r="B455" t="s">
        <v>4160</v>
      </c>
      <c r="C455" t="s">
        <v>4167</v>
      </c>
      <c r="D455" t="s">
        <v>4168</v>
      </c>
    </row>
    <row r="456" spans="1:4" ht="11.25" customHeight="1">
      <c r="A456">
        <v>456</v>
      </c>
      <c r="B456" t="s">
        <v>4160</v>
      </c>
      <c r="C456" t="s">
        <v>4169</v>
      </c>
      <c r="D456" t="s">
        <v>4170</v>
      </c>
    </row>
    <row r="457" spans="1:4" ht="11.25" customHeight="1">
      <c r="A457">
        <v>457</v>
      </c>
      <c r="B457" t="s">
        <v>4160</v>
      </c>
      <c r="C457" t="s">
        <v>3832</v>
      </c>
      <c r="D457" t="s">
        <v>4171</v>
      </c>
    </row>
    <row r="458" spans="1:4" ht="11.25" customHeight="1">
      <c r="A458">
        <v>458</v>
      </c>
      <c r="B458" t="s">
        <v>4160</v>
      </c>
      <c r="C458" t="s">
        <v>4172</v>
      </c>
      <c r="D458" t="s">
        <v>4173</v>
      </c>
    </row>
    <row r="459" spans="1:4" ht="11.25" customHeight="1">
      <c r="A459">
        <v>459</v>
      </c>
      <c r="B459" t="s">
        <v>4160</v>
      </c>
      <c r="C459" t="s">
        <v>4174</v>
      </c>
      <c r="D459" t="s">
        <v>4175</v>
      </c>
    </row>
    <row r="460" spans="1:4" ht="11.25" customHeight="1">
      <c r="A460">
        <v>460</v>
      </c>
      <c r="B460" t="s">
        <v>4160</v>
      </c>
      <c r="C460" t="s">
        <v>4176</v>
      </c>
      <c r="D460" t="s">
        <v>4177</v>
      </c>
    </row>
    <row r="461" spans="1:4" ht="11.25" customHeight="1">
      <c r="A461">
        <v>461</v>
      </c>
      <c r="B461" t="s">
        <v>4160</v>
      </c>
      <c r="C461" t="s">
        <v>4160</v>
      </c>
      <c r="D461" t="s">
        <v>4178</v>
      </c>
    </row>
    <row r="462" spans="1:4" ht="11.25" customHeight="1">
      <c r="A462">
        <v>462</v>
      </c>
      <c r="B462" t="s">
        <v>4160</v>
      </c>
      <c r="C462" t="s">
        <v>4029</v>
      </c>
      <c r="D462" t="s">
        <v>4179</v>
      </c>
    </row>
    <row r="463" spans="1:4" ht="11.25" customHeight="1">
      <c r="A463">
        <v>463</v>
      </c>
      <c r="B463" t="s">
        <v>4160</v>
      </c>
      <c r="C463" t="s">
        <v>4180</v>
      </c>
      <c r="D463" t="s">
        <v>4181</v>
      </c>
    </row>
    <row r="464" spans="1:4" ht="11.25" customHeight="1">
      <c r="A464">
        <v>464</v>
      </c>
      <c r="B464" t="s">
        <v>4160</v>
      </c>
      <c r="C464" t="s">
        <v>4182</v>
      </c>
      <c r="D464" t="s">
        <v>4183</v>
      </c>
    </row>
    <row r="465" spans="1:4" ht="11.25" customHeight="1">
      <c r="A465">
        <v>465</v>
      </c>
      <c r="B465" t="s">
        <v>4184</v>
      </c>
      <c r="C465" t="s">
        <v>4185</v>
      </c>
      <c r="D465" t="s">
        <v>4186</v>
      </c>
    </row>
    <row r="466" spans="1:4" ht="11.25" customHeight="1">
      <c r="A466">
        <v>466</v>
      </c>
      <c r="B466" t="s">
        <v>4184</v>
      </c>
      <c r="C466" t="s">
        <v>4187</v>
      </c>
      <c r="D466" t="s">
        <v>4188</v>
      </c>
    </row>
    <row r="467" spans="1:4" ht="11.25" customHeight="1">
      <c r="A467">
        <v>467</v>
      </c>
      <c r="B467" t="s">
        <v>4184</v>
      </c>
      <c r="C467" t="s">
        <v>4189</v>
      </c>
      <c r="D467" t="s">
        <v>4190</v>
      </c>
    </row>
    <row r="468" spans="1:4" ht="11.25" customHeight="1">
      <c r="A468">
        <v>468</v>
      </c>
      <c r="B468" t="s">
        <v>4184</v>
      </c>
      <c r="C468" t="s">
        <v>4191</v>
      </c>
      <c r="D468" t="s">
        <v>4192</v>
      </c>
    </row>
    <row r="469" spans="1:4" ht="11.25" customHeight="1">
      <c r="A469">
        <v>469</v>
      </c>
      <c r="B469" t="s">
        <v>4184</v>
      </c>
      <c r="C469" t="s">
        <v>4193</v>
      </c>
      <c r="D469" t="s">
        <v>4194</v>
      </c>
    </row>
    <row r="470" spans="1:4" ht="11.25" customHeight="1">
      <c r="A470">
        <v>470</v>
      </c>
      <c r="B470" t="s">
        <v>4184</v>
      </c>
      <c r="C470" t="s">
        <v>4195</v>
      </c>
      <c r="D470" t="s">
        <v>4196</v>
      </c>
    </row>
    <row r="471" spans="1:4" ht="11.25" customHeight="1">
      <c r="A471">
        <v>471</v>
      </c>
      <c r="B471" t="s">
        <v>4184</v>
      </c>
      <c r="C471" t="s">
        <v>4197</v>
      </c>
      <c r="D471" t="s">
        <v>4198</v>
      </c>
    </row>
    <row r="472" spans="1:4" ht="11.25" customHeight="1">
      <c r="A472">
        <v>472</v>
      </c>
      <c r="B472" t="s">
        <v>4184</v>
      </c>
      <c r="C472" t="s">
        <v>4199</v>
      </c>
      <c r="D472" t="s">
        <v>4200</v>
      </c>
    </row>
    <row r="473" spans="1:4" ht="11.25" customHeight="1">
      <c r="A473">
        <v>473</v>
      </c>
      <c r="B473" t="s">
        <v>4184</v>
      </c>
      <c r="C473" t="s">
        <v>4201</v>
      </c>
      <c r="D473" t="s">
        <v>4202</v>
      </c>
    </row>
    <row r="474" spans="1:4" ht="11.25" customHeight="1">
      <c r="A474">
        <v>474</v>
      </c>
      <c r="B474" t="s">
        <v>4184</v>
      </c>
      <c r="C474" t="s">
        <v>4203</v>
      </c>
      <c r="D474" t="s">
        <v>4204</v>
      </c>
    </row>
    <row r="475" spans="1:4" ht="11.25" customHeight="1">
      <c r="A475">
        <v>475</v>
      </c>
      <c r="B475" t="s">
        <v>4184</v>
      </c>
      <c r="C475" t="s">
        <v>4205</v>
      </c>
      <c r="D475" t="s">
        <v>4206</v>
      </c>
    </row>
    <row r="476" spans="1:4" ht="11.25" customHeight="1">
      <c r="A476">
        <v>476</v>
      </c>
      <c r="B476" t="s">
        <v>4184</v>
      </c>
      <c r="C476" t="s">
        <v>4207</v>
      </c>
      <c r="D476" t="s">
        <v>4208</v>
      </c>
    </row>
    <row r="477" spans="1:4" ht="11.25" customHeight="1">
      <c r="A477">
        <v>477</v>
      </c>
      <c r="B477" t="s">
        <v>4184</v>
      </c>
      <c r="C477" t="s">
        <v>3943</v>
      </c>
      <c r="D477" t="s">
        <v>4209</v>
      </c>
    </row>
    <row r="478" spans="1:4" ht="11.25" customHeight="1">
      <c r="A478">
        <v>478</v>
      </c>
      <c r="B478" t="s">
        <v>4184</v>
      </c>
      <c r="C478" t="s">
        <v>4184</v>
      </c>
      <c r="D478" t="s">
        <v>4210</v>
      </c>
    </row>
    <row r="479" spans="1:4" ht="11.25" customHeight="1">
      <c r="A479">
        <v>479</v>
      </c>
      <c r="B479" t="s">
        <v>4184</v>
      </c>
      <c r="C479" t="s">
        <v>4211</v>
      </c>
      <c r="D479" t="s">
        <v>4212</v>
      </c>
    </row>
    <row r="480" spans="1:4" ht="11.25" customHeight="1">
      <c r="A480">
        <v>480</v>
      </c>
      <c r="B480" t="s">
        <v>4184</v>
      </c>
      <c r="C480" t="s">
        <v>3897</v>
      </c>
      <c r="D480" t="s">
        <v>4213</v>
      </c>
    </row>
    <row r="481" spans="1:4" ht="11.25" customHeight="1">
      <c r="A481">
        <v>481</v>
      </c>
      <c r="B481" t="s">
        <v>4184</v>
      </c>
      <c r="C481" t="s">
        <v>4214</v>
      </c>
      <c r="D481" t="s">
        <v>4215</v>
      </c>
    </row>
    <row r="482" spans="1:4" ht="11.25" customHeight="1">
      <c r="A482">
        <v>482</v>
      </c>
      <c r="B482" t="s">
        <v>4184</v>
      </c>
      <c r="C482" t="s">
        <v>4216</v>
      </c>
      <c r="D482" t="s">
        <v>4217</v>
      </c>
    </row>
    <row r="483" spans="1:4" ht="11.25" customHeight="1">
      <c r="A483">
        <v>483</v>
      </c>
      <c r="B483" t="s">
        <v>4218</v>
      </c>
      <c r="C483" t="s">
        <v>4219</v>
      </c>
      <c r="D483" t="s">
        <v>4220</v>
      </c>
    </row>
    <row r="484" spans="1:4" ht="11.25" customHeight="1">
      <c r="A484">
        <v>484</v>
      </c>
      <c r="B484" t="s">
        <v>4218</v>
      </c>
      <c r="C484" t="s">
        <v>4221</v>
      </c>
      <c r="D484" t="s">
        <v>4222</v>
      </c>
    </row>
    <row r="485" spans="1:4" ht="11.25" customHeight="1">
      <c r="A485">
        <v>485</v>
      </c>
      <c r="B485" t="s">
        <v>4218</v>
      </c>
      <c r="C485" t="s">
        <v>3314</v>
      </c>
      <c r="D485" t="s">
        <v>4223</v>
      </c>
    </row>
    <row r="486" spans="1:4" ht="11.25" customHeight="1">
      <c r="A486">
        <v>486</v>
      </c>
      <c r="B486" t="s">
        <v>4218</v>
      </c>
      <c r="C486" t="s">
        <v>4224</v>
      </c>
      <c r="D486" t="s">
        <v>4225</v>
      </c>
    </row>
    <row r="487" spans="1:4" ht="11.25" customHeight="1">
      <c r="A487">
        <v>487</v>
      </c>
      <c r="B487" t="s">
        <v>4218</v>
      </c>
      <c r="C487" t="s">
        <v>4226</v>
      </c>
      <c r="D487" t="s">
        <v>4227</v>
      </c>
    </row>
    <row r="488" spans="1:4" ht="11.25" customHeight="1">
      <c r="A488">
        <v>488</v>
      </c>
      <c r="B488" t="s">
        <v>4218</v>
      </c>
      <c r="C488" t="s">
        <v>4218</v>
      </c>
      <c r="D488" t="s">
        <v>4228</v>
      </c>
    </row>
    <row r="489" spans="1:4" ht="11.25" customHeight="1">
      <c r="A489">
        <v>489</v>
      </c>
      <c r="B489" t="s">
        <v>4218</v>
      </c>
      <c r="C489" t="s">
        <v>4229</v>
      </c>
      <c r="D489" t="s">
        <v>4230</v>
      </c>
    </row>
    <row r="490" spans="1:4" ht="11.25" customHeight="1">
      <c r="A490">
        <v>490</v>
      </c>
      <c r="B490" t="s">
        <v>4218</v>
      </c>
      <c r="C490" t="s">
        <v>3489</v>
      </c>
      <c r="D490" t="s">
        <v>4231</v>
      </c>
    </row>
    <row r="491" spans="1:4" ht="11.25" customHeight="1">
      <c r="A491">
        <v>491</v>
      </c>
      <c r="B491" t="s">
        <v>4218</v>
      </c>
      <c r="C491" t="s">
        <v>4232</v>
      </c>
      <c r="D491" t="s">
        <v>4233</v>
      </c>
    </row>
    <row r="492" spans="1:4" ht="11.25" customHeight="1">
      <c r="A492">
        <v>492</v>
      </c>
      <c r="B492" t="s">
        <v>4218</v>
      </c>
      <c r="C492" t="s">
        <v>4234</v>
      </c>
      <c r="D492" t="s">
        <v>4235</v>
      </c>
    </row>
    <row r="493" spans="1:4" ht="11.25" customHeight="1">
      <c r="A493">
        <v>493</v>
      </c>
      <c r="B493" t="s">
        <v>4236</v>
      </c>
      <c r="C493" t="s">
        <v>4237</v>
      </c>
      <c r="D493" t="s">
        <v>4238</v>
      </c>
    </row>
    <row r="494" spans="1:4" ht="11.25" customHeight="1">
      <c r="A494">
        <v>494</v>
      </c>
      <c r="B494" t="s">
        <v>4236</v>
      </c>
      <c r="C494" t="s">
        <v>4239</v>
      </c>
      <c r="D494" t="s">
        <v>4240</v>
      </c>
    </row>
    <row r="495" spans="1:4" ht="11.25" customHeight="1">
      <c r="A495">
        <v>495</v>
      </c>
      <c r="B495" t="s">
        <v>4236</v>
      </c>
      <c r="C495" t="s">
        <v>4097</v>
      </c>
      <c r="D495" t="s">
        <v>4241</v>
      </c>
    </row>
    <row r="496" spans="1:4" ht="11.25" customHeight="1">
      <c r="A496">
        <v>496</v>
      </c>
      <c r="B496" t="s">
        <v>4236</v>
      </c>
      <c r="C496" t="s">
        <v>4242</v>
      </c>
      <c r="D496" t="s">
        <v>4243</v>
      </c>
    </row>
    <row r="497" spans="1:4" ht="11.25" customHeight="1">
      <c r="A497">
        <v>497</v>
      </c>
      <c r="B497" t="s">
        <v>4236</v>
      </c>
      <c r="C497" t="s">
        <v>4244</v>
      </c>
      <c r="D497" t="s">
        <v>4245</v>
      </c>
    </row>
    <row r="498" spans="1:4" ht="11.25" customHeight="1">
      <c r="A498">
        <v>498</v>
      </c>
      <c r="B498" t="s">
        <v>4236</v>
      </c>
      <c r="C498" t="s">
        <v>4246</v>
      </c>
      <c r="D498" t="s">
        <v>4247</v>
      </c>
    </row>
    <row r="499" spans="1:4" ht="11.25" customHeight="1">
      <c r="A499">
        <v>499</v>
      </c>
      <c r="B499" t="s">
        <v>4236</v>
      </c>
      <c r="C499" t="s">
        <v>4248</v>
      </c>
      <c r="D499" t="s">
        <v>4249</v>
      </c>
    </row>
    <row r="500" spans="1:4" ht="11.25" customHeight="1">
      <c r="A500">
        <v>500</v>
      </c>
      <c r="B500" t="s">
        <v>4236</v>
      </c>
      <c r="C500" t="s">
        <v>4236</v>
      </c>
      <c r="D500" t="s">
        <v>4250</v>
      </c>
    </row>
    <row r="501" spans="1:4" ht="11.25" customHeight="1">
      <c r="A501">
        <v>501</v>
      </c>
      <c r="B501" t="s">
        <v>4236</v>
      </c>
      <c r="C501" t="s">
        <v>4251</v>
      </c>
      <c r="D501" t="s">
        <v>4252</v>
      </c>
    </row>
    <row r="502" spans="1:4" ht="11.25" customHeight="1">
      <c r="A502">
        <v>502</v>
      </c>
      <c r="B502" t="s">
        <v>4236</v>
      </c>
      <c r="C502" t="s">
        <v>4253</v>
      </c>
      <c r="D502" t="s">
        <v>4254</v>
      </c>
    </row>
    <row r="503" spans="1:4" ht="11.25" customHeight="1">
      <c r="A503">
        <v>503</v>
      </c>
      <c r="B503" t="s">
        <v>4236</v>
      </c>
      <c r="C503" t="s">
        <v>4255</v>
      </c>
      <c r="D503" t="s">
        <v>4256</v>
      </c>
    </row>
    <row r="504" spans="1:4" ht="11.25" customHeight="1">
      <c r="A504">
        <v>504</v>
      </c>
      <c r="B504" t="s">
        <v>4236</v>
      </c>
      <c r="C504" t="s">
        <v>4257</v>
      </c>
      <c r="D504" t="s">
        <v>4258</v>
      </c>
    </row>
    <row r="505" spans="1:4" ht="11.25" customHeight="1">
      <c r="A505">
        <v>505</v>
      </c>
      <c r="B505" t="s">
        <v>4236</v>
      </c>
      <c r="C505" t="s">
        <v>4259</v>
      </c>
      <c r="D505" t="s">
        <v>4260</v>
      </c>
    </row>
    <row r="506" spans="1:4" ht="11.25" customHeight="1">
      <c r="A506">
        <v>506</v>
      </c>
      <c r="B506" t="s">
        <v>4261</v>
      </c>
      <c r="C506" t="s">
        <v>3470</v>
      </c>
      <c r="D506" t="s">
        <v>4262</v>
      </c>
    </row>
    <row r="507" spans="1:4" ht="11.25" customHeight="1">
      <c r="A507">
        <v>507</v>
      </c>
      <c r="B507" t="s">
        <v>4261</v>
      </c>
      <c r="C507" t="s">
        <v>3768</v>
      </c>
      <c r="D507" t="s">
        <v>4263</v>
      </c>
    </row>
    <row r="508" spans="1:4" ht="11.25" customHeight="1">
      <c r="A508">
        <v>508</v>
      </c>
      <c r="B508" t="s">
        <v>4261</v>
      </c>
      <c r="C508" t="s">
        <v>4264</v>
      </c>
      <c r="D508" t="s">
        <v>4265</v>
      </c>
    </row>
    <row r="509" spans="1:4" ht="11.25" customHeight="1">
      <c r="A509">
        <v>509</v>
      </c>
      <c r="B509" t="s">
        <v>4261</v>
      </c>
      <c r="C509" t="s">
        <v>4266</v>
      </c>
      <c r="D509" t="s">
        <v>4267</v>
      </c>
    </row>
    <row r="510" spans="1:4" ht="11.25" customHeight="1">
      <c r="A510">
        <v>510</v>
      </c>
      <c r="B510" t="s">
        <v>4261</v>
      </c>
      <c r="C510" t="s">
        <v>4261</v>
      </c>
      <c r="D510" t="s">
        <v>4268</v>
      </c>
    </row>
    <row r="511" spans="1:4" ht="11.25" customHeight="1">
      <c r="A511">
        <v>511</v>
      </c>
      <c r="B511" t="s">
        <v>4261</v>
      </c>
      <c r="C511" t="s">
        <v>4269</v>
      </c>
      <c r="D511" t="s">
        <v>4270</v>
      </c>
    </row>
    <row r="512" spans="1:4" ht="11.25" customHeight="1">
      <c r="A512">
        <v>512</v>
      </c>
      <c r="B512" t="s">
        <v>4261</v>
      </c>
      <c r="C512" t="s">
        <v>4271</v>
      </c>
      <c r="D512" t="s">
        <v>4272</v>
      </c>
    </row>
    <row r="513" spans="1:4" ht="11.25" customHeight="1">
      <c r="A513">
        <v>513</v>
      </c>
      <c r="B513" t="s">
        <v>4261</v>
      </c>
      <c r="C513" t="s">
        <v>4273</v>
      </c>
      <c r="D513" t="s">
        <v>4274</v>
      </c>
    </row>
    <row r="514" spans="1:4" ht="11.25" customHeight="1">
      <c r="A514">
        <v>514</v>
      </c>
      <c r="B514" t="s">
        <v>4261</v>
      </c>
      <c r="C514" t="s">
        <v>3561</v>
      </c>
      <c r="D514" t="s">
        <v>4275</v>
      </c>
    </row>
    <row r="515" spans="1:4" ht="11.25" customHeight="1">
      <c r="A515">
        <v>515</v>
      </c>
      <c r="B515" t="s">
        <v>4276</v>
      </c>
      <c r="C515" t="s">
        <v>4277</v>
      </c>
      <c r="D515" t="s">
        <v>4278</v>
      </c>
    </row>
    <row r="516" spans="1:4" ht="11.25" customHeight="1">
      <c r="A516">
        <v>516</v>
      </c>
      <c r="B516" t="s">
        <v>4276</v>
      </c>
      <c r="C516" t="s">
        <v>3346</v>
      </c>
      <c r="D516" t="s">
        <v>4279</v>
      </c>
    </row>
    <row r="517" spans="1:4" ht="11.25" customHeight="1">
      <c r="A517">
        <v>517</v>
      </c>
      <c r="B517" t="s">
        <v>4276</v>
      </c>
      <c r="C517" t="s">
        <v>4280</v>
      </c>
      <c r="D517" t="s">
        <v>4281</v>
      </c>
    </row>
    <row r="518" spans="1:4" ht="11.25" customHeight="1">
      <c r="A518">
        <v>518</v>
      </c>
      <c r="B518" t="s">
        <v>4276</v>
      </c>
      <c r="C518" t="s">
        <v>4282</v>
      </c>
      <c r="D518" t="s">
        <v>4283</v>
      </c>
    </row>
    <row r="519" spans="1:4" ht="11.25" customHeight="1">
      <c r="A519">
        <v>519</v>
      </c>
      <c r="B519" t="s">
        <v>4276</v>
      </c>
      <c r="C519" t="s">
        <v>4276</v>
      </c>
      <c r="D519" t="s">
        <v>4284</v>
      </c>
    </row>
    <row r="520" spans="1:4" ht="11.25" customHeight="1">
      <c r="A520">
        <v>520</v>
      </c>
      <c r="B520" t="s">
        <v>4276</v>
      </c>
      <c r="C520" t="s">
        <v>4285</v>
      </c>
      <c r="D520" t="s">
        <v>4286</v>
      </c>
    </row>
    <row r="521" spans="1:4" ht="11.25" customHeight="1">
      <c r="A521">
        <v>521</v>
      </c>
      <c r="B521" t="s">
        <v>4276</v>
      </c>
      <c r="C521" t="s">
        <v>4287</v>
      </c>
      <c r="D521" t="s">
        <v>4288</v>
      </c>
    </row>
    <row r="522" spans="1:4" ht="11.25" customHeight="1">
      <c r="A522">
        <v>522</v>
      </c>
      <c r="B522" t="s">
        <v>4289</v>
      </c>
      <c r="C522" t="s">
        <v>3870</v>
      </c>
      <c r="D522" t="s">
        <v>4290</v>
      </c>
    </row>
    <row r="523" spans="1:4" ht="11.25" customHeight="1">
      <c r="A523">
        <v>523</v>
      </c>
      <c r="B523" t="s">
        <v>4289</v>
      </c>
      <c r="C523" t="s">
        <v>4291</v>
      </c>
      <c r="D523" t="s">
        <v>4292</v>
      </c>
    </row>
    <row r="524" spans="1:4" ht="11.25" customHeight="1">
      <c r="A524">
        <v>524</v>
      </c>
      <c r="B524" t="s">
        <v>4289</v>
      </c>
      <c r="C524" t="s">
        <v>4293</v>
      </c>
      <c r="D524" t="s">
        <v>4294</v>
      </c>
    </row>
    <row r="525" spans="1:4" ht="11.25" customHeight="1">
      <c r="A525">
        <v>525</v>
      </c>
      <c r="B525" t="s">
        <v>4289</v>
      </c>
      <c r="C525" t="s">
        <v>4295</v>
      </c>
      <c r="D525" t="s">
        <v>4296</v>
      </c>
    </row>
    <row r="526" spans="1:4" ht="11.25" customHeight="1">
      <c r="A526">
        <v>526</v>
      </c>
      <c r="B526" t="s">
        <v>4289</v>
      </c>
      <c r="C526" t="s">
        <v>4289</v>
      </c>
      <c r="D526" t="s">
        <v>4297</v>
      </c>
    </row>
    <row r="527" spans="1:4" ht="11.25" customHeight="1">
      <c r="A527">
        <v>527</v>
      </c>
      <c r="B527" t="s">
        <v>4298</v>
      </c>
      <c r="C527" t="s">
        <v>3338</v>
      </c>
      <c r="D527" t="s">
        <v>4299</v>
      </c>
    </row>
    <row r="528" spans="1:4" ht="11.25" customHeight="1">
      <c r="A528">
        <v>528</v>
      </c>
      <c r="B528" t="s">
        <v>4298</v>
      </c>
      <c r="C528" t="s">
        <v>4300</v>
      </c>
      <c r="D528" t="s">
        <v>4301</v>
      </c>
    </row>
    <row r="529" spans="1:4" ht="11.25" customHeight="1">
      <c r="A529">
        <v>529</v>
      </c>
      <c r="B529" t="s">
        <v>4298</v>
      </c>
      <c r="C529" t="s">
        <v>4302</v>
      </c>
      <c r="D529" t="s">
        <v>4303</v>
      </c>
    </row>
    <row r="530" spans="1:4" ht="11.25" customHeight="1">
      <c r="A530">
        <v>530</v>
      </c>
      <c r="B530" t="s">
        <v>4298</v>
      </c>
      <c r="C530" t="s">
        <v>4304</v>
      </c>
      <c r="D530" t="s">
        <v>4305</v>
      </c>
    </row>
    <row r="531" spans="1:4" ht="11.25" customHeight="1">
      <c r="A531">
        <v>531</v>
      </c>
      <c r="B531" t="s">
        <v>4298</v>
      </c>
      <c r="C531" t="s">
        <v>4298</v>
      </c>
      <c r="D531" t="s">
        <v>4306</v>
      </c>
    </row>
    <row r="532" spans="1:4" ht="11.25" customHeight="1">
      <c r="A532">
        <v>532</v>
      </c>
      <c r="B532" t="s">
        <v>4298</v>
      </c>
      <c r="C532" t="s">
        <v>4307</v>
      </c>
      <c r="D532" t="s">
        <v>4308</v>
      </c>
    </row>
    <row r="533" spans="1:4" ht="11.25" customHeight="1">
      <c r="A533">
        <v>533</v>
      </c>
      <c r="B533" t="s">
        <v>4309</v>
      </c>
      <c r="C533" t="s">
        <v>4310</v>
      </c>
      <c r="D533" t="s">
        <v>4311</v>
      </c>
    </row>
    <row r="534" spans="1:4" ht="11.25" customHeight="1">
      <c r="A534">
        <v>534</v>
      </c>
      <c r="B534" t="s">
        <v>4309</v>
      </c>
      <c r="C534" t="s">
        <v>4312</v>
      </c>
      <c r="D534" t="s">
        <v>4313</v>
      </c>
    </row>
    <row r="535" spans="1:4" ht="11.25" customHeight="1">
      <c r="A535">
        <v>535</v>
      </c>
      <c r="B535" t="s">
        <v>4309</v>
      </c>
      <c r="C535" t="s">
        <v>3832</v>
      </c>
      <c r="D535" t="s">
        <v>4314</v>
      </c>
    </row>
    <row r="536" spans="1:4" ht="11.25" customHeight="1">
      <c r="A536">
        <v>536</v>
      </c>
      <c r="B536" t="s">
        <v>4309</v>
      </c>
      <c r="C536" t="s">
        <v>4315</v>
      </c>
      <c r="D536" t="s">
        <v>4316</v>
      </c>
    </row>
    <row r="537" spans="1:4" ht="11.25" customHeight="1">
      <c r="A537">
        <v>537</v>
      </c>
      <c r="B537" t="s">
        <v>4309</v>
      </c>
      <c r="C537" t="s">
        <v>4317</v>
      </c>
      <c r="D537" t="s">
        <v>4318</v>
      </c>
    </row>
    <row r="538" spans="1:4" ht="11.25" customHeight="1">
      <c r="A538">
        <v>538</v>
      </c>
      <c r="B538" t="s">
        <v>4309</v>
      </c>
      <c r="C538" t="s">
        <v>4319</v>
      </c>
      <c r="D538" t="s">
        <v>4320</v>
      </c>
    </row>
    <row r="539" spans="1:4" ht="11.25" customHeight="1">
      <c r="A539">
        <v>539</v>
      </c>
      <c r="B539" t="s">
        <v>4309</v>
      </c>
      <c r="C539" t="s">
        <v>3637</v>
      </c>
      <c r="D539" t="s">
        <v>4321</v>
      </c>
    </row>
    <row r="540" spans="1:4" ht="11.25" customHeight="1">
      <c r="A540">
        <v>540</v>
      </c>
      <c r="B540" t="s">
        <v>4309</v>
      </c>
      <c r="C540" t="s">
        <v>4322</v>
      </c>
      <c r="D540" t="s">
        <v>4323</v>
      </c>
    </row>
    <row r="541" spans="1:4" ht="11.25" customHeight="1">
      <c r="A541">
        <v>541</v>
      </c>
      <c r="B541" t="s">
        <v>4309</v>
      </c>
      <c r="C541" t="s">
        <v>4324</v>
      </c>
      <c r="D541" t="s">
        <v>4325</v>
      </c>
    </row>
    <row r="542" spans="1:4" ht="11.25" customHeight="1">
      <c r="A542">
        <v>542</v>
      </c>
      <c r="B542" t="s">
        <v>4309</v>
      </c>
      <c r="C542" t="s">
        <v>4326</v>
      </c>
      <c r="D542" t="s">
        <v>4327</v>
      </c>
    </row>
    <row r="543" spans="1:4" ht="11.25" customHeight="1">
      <c r="A543">
        <v>543</v>
      </c>
      <c r="B543" t="s">
        <v>4309</v>
      </c>
      <c r="C543" t="s">
        <v>4328</v>
      </c>
      <c r="D543" t="s">
        <v>4329</v>
      </c>
    </row>
    <row r="544" spans="1:4" ht="11.25" customHeight="1">
      <c r="A544">
        <v>544</v>
      </c>
      <c r="B544" t="s">
        <v>4309</v>
      </c>
      <c r="C544" t="s">
        <v>4330</v>
      </c>
      <c r="D544" t="s">
        <v>4331</v>
      </c>
    </row>
    <row r="545" spans="1:4" ht="11.25" customHeight="1">
      <c r="A545">
        <v>545</v>
      </c>
      <c r="B545" t="s">
        <v>4309</v>
      </c>
      <c r="C545" t="s">
        <v>4332</v>
      </c>
      <c r="D545" t="s">
        <v>4333</v>
      </c>
    </row>
    <row r="546" spans="1:4" ht="11.25" customHeight="1">
      <c r="A546">
        <v>546</v>
      </c>
      <c r="B546" t="s">
        <v>4309</v>
      </c>
      <c r="C546" t="s">
        <v>4334</v>
      </c>
      <c r="D546" t="s">
        <v>4335</v>
      </c>
    </row>
    <row r="547" spans="1:4" ht="11.25" customHeight="1">
      <c r="A547">
        <v>547</v>
      </c>
      <c r="B547" t="s">
        <v>4309</v>
      </c>
      <c r="C547" t="s">
        <v>4336</v>
      </c>
      <c r="D547" t="s">
        <v>4337</v>
      </c>
    </row>
    <row r="548" spans="1:4" ht="11.25" customHeight="1">
      <c r="A548">
        <v>548</v>
      </c>
      <c r="B548" t="s">
        <v>4309</v>
      </c>
      <c r="C548" t="s">
        <v>4309</v>
      </c>
      <c r="D548" t="s">
        <v>4338</v>
      </c>
    </row>
    <row r="549" spans="1:4" ht="11.25" customHeight="1">
      <c r="A549">
        <v>549</v>
      </c>
      <c r="B549" t="s">
        <v>4309</v>
      </c>
      <c r="C549" t="s">
        <v>4339</v>
      </c>
      <c r="D549" t="s">
        <v>4340</v>
      </c>
    </row>
    <row r="550" spans="1:4" ht="11.25" customHeight="1">
      <c r="A550">
        <v>550</v>
      </c>
      <c r="B550" t="s">
        <v>4309</v>
      </c>
      <c r="C550" t="s">
        <v>4341</v>
      </c>
      <c r="D550" t="s">
        <v>4342</v>
      </c>
    </row>
    <row r="551" spans="1:4" ht="11.25" customHeight="1">
      <c r="A551">
        <v>551</v>
      </c>
      <c r="B551" t="s">
        <v>4309</v>
      </c>
      <c r="C551" t="s">
        <v>4343</v>
      </c>
      <c r="D551" t="s">
        <v>4344</v>
      </c>
    </row>
    <row r="552" spans="1:4" ht="11.25" customHeight="1">
      <c r="A552">
        <v>552</v>
      </c>
      <c r="B552" t="s">
        <v>4345</v>
      </c>
      <c r="C552" t="s">
        <v>4346</v>
      </c>
      <c r="D552" t="s">
        <v>4347</v>
      </c>
    </row>
    <row r="553" spans="1:4" ht="11.25" customHeight="1">
      <c r="A553">
        <v>553</v>
      </c>
      <c r="B553" t="s">
        <v>4345</v>
      </c>
      <c r="C553" t="s">
        <v>4348</v>
      </c>
      <c r="D553" t="s">
        <v>4349</v>
      </c>
    </row>
    <row r="554" spans="1:4" ht="11.25" customHeight="1">
      <c r="A554">
        <v>554</v>
      </c>
      <c r="B554" t="s">
        <v>4345</v>
      </c>
      <c r="C554" t="s">
        <v>4350</v>
      </c>
      <c r="D554" t="s">
        <v>4351</v>
      </c>
    </row>
    <row r="555" spans="1:4" ht="11.25" customHeight="1">
      <c r="A555">
        <v>555</v>
      </c>
      <c r="B555" t="s">
        <v>4345</v>
      </c>
      <c r="C555" t="s">
        <v>4345</v>
      </c>
      <c r="D555" t="s">
        <v>4352</v>
      </c>
    </row>
    <row r="556" spans="1:4" ht="11.25" customHeight="1">
      <c r="A556">
        <v>556</v>
      </c>
      <c r="B556" t="s">
        <v>4345</v>
      </c>
      <c r="C556" t="s">
        <v>4353</v>
      </c>
      <c r="D556" t="s">
        <v>4354</v>
      </c>
    </row>
    <row r="557" spans="1:4" ht="11.25" customHeight="1">
      <c r="A557">
        <v>557</v>
      </c>
      <c r="B557" t="s">
        <v>4345</v>
      </c>
      <c r="C557" t="s">
        <v>4355</v>
      </c>
      <c r="D557" t="s">
        <v>4356</v>
      </c>
    </row>
    <row r="558" spans="1:4" ht="11.25" customHeight="1">
      <c r="A558">
        <v>558</v>
      </c>
      <c r="B558" t="s">
        <v>4357</v>
      </c>
      <c r="C558" t="s">
        <v>4358</v>
      </c>
      <c r="D558" t="s">
        <v>4359</v>
      </c>
    </row>
    <row r="559" spans="1:4" ht="11.25" customHeight="1">
      <c r="A559">
        <v>559</v>
      </c>
      <c r="B559" t="s">
        <v>4357</v>
      </c>
      <c r="C559" t="s">
        <v>4360</v>
      </c>
      <c r="D559" t="s">
        <v>4361</v>
      </c>
    </row>
    <row r="560" spans="1:4" ht="11.25" customHeight="1">
      <c r="A560">
        <v>560</v>
      </c>
      <c r="B560" t="s">
        <v>4357</v>
      </c>
      <c r="C560" t="s">
        <v>4116</v>
      </c>
      <c r="D560" t="s">
        <v>4362</v>
      </c>
    </row>
    <row r="561" spans="1:4" ht="11.25" customHeight="1">
      <c r="A561">
        <v>561</v>
      </c>
      <c r="B561" t="s">
        <v>4357</v>
      </c>
      <c r="C561" t="s">
        <v>3314</v>
      </c>
      <c r="D561" t="s">
        <v>4363</v>
      </c>
    </row>
    <row r="562" spans="1:4" ht="11.25" customHeight="1">
      <c r="A562">
        <v>562</v>
      </c>
      <c r="B562" t="s">
        <v>4357</v>
      </c>
      <c r="C562" t="s">
        <v>3711</v>
      </c>
      <c r="D562" t="s">
        <v>4364</v>
      </c>
    </row>
    <row r="563" spans="1:4" ht="11.25" customHeight="1">
      <c r="A563">
        <v>563</v>
      </c>
      <c r="B563" t="s">
        <v>4357</v>
      </c>
      <c r="C563" t="s">
        <v>4097</v>
      </c>
      <c r="D563" t="s">
        <v>4365</v>
      </c>
    </row>
    <row r="564" spans="1:4" ht="11.25" customHeight="1">
      <c r="A564">
        <v>564</v>
      </c>
      <c r="B564" t="s">
        <v>4357</v>
      </c>
      <c r="C564" t="s">
        <v>3346</v>
      </c>
      <c r="D564" t="s">
        <v>4366</v>
      </c>
    </row>
    <row r="565" spans="1:4" ht="11.25" customHeight="1">
      <c r="A565">
        <v>565</v>
      </c>
      <c r="B565" t="s">
        <v>4357</v>
      </c>
      <c r="C565" t="s">
        <v>4367</v>
      </c>
      <c r="D565" t="s">
        <v>4368</v>
      </c>
    </row>
    <row r="566" spans="1:4" ht="11.25" customHeight="1">
      <c r="A566">
        <v>566</v>
      </c>
      <c r="B566" t="s">
        <v>4357</v>
      </c>
      <c r="C566" t="s">
        <v>4369</v>
      </c>
      <c r="D566" t="s">
        <v>4370</v>
      </c>
    </row>
    <row r="567" spans="1:4" ht="11.25" customHeight="1">
      <c r="A567">
        <v>567</v>
      </c>
      <c r="B567" t="s">
        <v>4357</v>
      </c>
      <c r="C567" t="s">
        <v>4371</v>
      </c>
      <c r="D567" t="s">
        <v>4372</v>
      </c>
    </row>
    <row r="568" spans="1:4" ht="11.25" customHeight="1">
      <c r="A568">
        <v>568</v>
      </c>
      <c r="B568" t="s">
        <v>4357</v>
      </c>
      <c r="C568" t="s">
        <v>3719</v>
      </c>
      <c r="D568" t="s">
        <v>4373</v>
      </c>
    </row>
    <row r="569" spans="1:4" ht="11.25" customHeight="1">
      <c r="A569">
        <v>569</v>
      </c>
      <c r="B569" t="s">
        <v>4357</v>
      </c>
      <c r="C569" t="s">
        <v>4180</v>
      </c>
      <c r="D569" t="s">
        <v>4374</v>
      </c>
    </row>
    <row r="570" spans="1:4" ht="11.25" customHeight="1">
      <c r="A570">
        <v>570</v>
      </c>
      <c r="B570" t="s">
        <v>4357</v>
      </c>
      <c r="C570" t="s">
        <v>4357</v>
      </c>
      <c r="D570" t="s">
        <v>4375</v>
      </c>
    </row>
    <row r="571" spans="1:4" ht="11.25" customHeight="1">
      <c r="A571">
        <v>571</v>
      </c>
      <c r="B571" t="s">
        <v>4357</v>
      </c>
      <c r="C571" t="s">
        <v>4376</v>
      </c>
      <c r="D571" t="s">
        <v>4377</v>
      </c>
    </row>
    <row r="572" spans="1:4" ht="11.25" customHeight="1">
      <c r="A572">
        <v>572</v>
      </c>
      <c r="B572" t="s">
        <v>4357</v>
      </c>
      <c r="C572" t="s">
        <v>4378</v>
      </c>
      <c r="D572" t="s">
        <v>4379</v>
      </c>
    </row>
    <row r="573" spans="1:4" ht="11.25" customHeight="1">
      <c r="A573">
        <v>573</v>
      </c>
      <c r="B573" t="s">
        <v>4357</v>
      </c>
      <c r="C573" t="s">
        <v>4380</v>
      </c>
      <c r="D573" t="s">
        <v>4381</v>
      </c>
    </row>
    <row r="574" spans="1:4" ht="11.25" customHeight="1">
      <c r="A574">
        <v>574</v>
      </c>
      <c r="B574" t="s">
        <v>4357</v>
      </c>
      <c r="C574" t="s">
        <v>4382</v>
      </c>
      <c r="D574" t="s">
        <v>4383</v>
      </c>
    </row>
    <row r="575" spans="1:4" ht="11.25" customHeight="1">
      <c r="A575">
        <v>575</v>
      </c>
      <c r="B575" t="s">
        <v>4357</v>
      </c>
      <c r="C575" t="s">
        <v>4384</v>
      </c>
      <c r="D575" t="s">
        <v>4385</v>
      </c>
    </row>
    <row r="576" spans="1:4" ht="11.25" customHeight="1">
      <c r="A576">
        <v>576</v>
      </c>
      <c r="B576" t="s">
        <v>4386</v>
      </c>
      <c r="C576" t="s">
        <v>4387</v>
      </c>
      <c r="D576" t="s">
        <v>4388</v>
      </c>
    </row>
    <row r="577" spans="1:4" ht="11.25" customHeight="1">
      <c r="A577">
        <v>577</v>
      </c>
      <c r="B577" t="s">
        <v>4386</v>
      </c>
      <c r="C577" t="s">
        <v>4389</v>
      </c>
      <c r="D577" t="s">
        <v>4390</v>
      </c>
    </row>
    <row r="578" spans="1:4" ht="11.25" customHeight="1">
      <c r="A578">
        <v>578</v>
      </c>
      <c r="B578" t="s">
        <v>4386</v>
      </c>
      <c r="C578" t="s">
        <v>4391</v>
      </c>
      <c r="D578" t="s">
        <v>4392</v>
      </c>
    </row>
    <row r="579" spans="1:4" ht="11.25" customHeight="1">
      <c r="A579">
        <v>579</v>
      </c>
      <c r="B579" t="s">
        <v>4386</v>
      </c>
      <c r="C579" t="s">
        <v>4393</v>
      </c>
      <c r="D579" t="s">
        <v>4394</v>
      </c>
    </row>
    <row r="580" spans="1:4" ht="11.25" customHeight="1">
      <c r="A580">
        <v>580</v>
      </c>
      <c r="B580" t="s">
        <v>4386</v>
      </c>
      <c r="C580" t="s">
        <v>4395</v>
      </c>
      <c r="D580" t="s">
        <v>4396</v>
      </c>
    </row>
    <row r="581" spans="1:4" ht="11.25" customHeight="1">
      <c r="A581">
        <v>581</v>
      </c>
      <c r="B581" t="s">
        <v>4386</v>
      </c>
      <c r="C581" t="s">
        <v>4397</v>
      </c>
      <c r="D581" t="s">
        <v>4398</v>
      </c>
    </row>
    <row r="582" spans="1:4" ht="11.25" customHeight="1">
      <c r="A582">
        <v>582</v>
      </c>
      <c r="B582" t="s">
        <v>4386</v>
      </c>
      <c r="C582" t="s">
        <v>4399</v>
      </c>
      <c r="D582" t="s">
        <v>4400</v>
      </c>
    </row>
    <row r="583" spans="1:4" ht="11.25" customHeight="1">
      <c r="A583">
        <v>583</v>
      </c>
      <c r="B583" t="s">
        <v>4386</v>
      </c>
      <c r="C583" t="s">
        <v>4386</v>
      </c>
      <c r="D583" t="s">
        <v>4401</v>
      </c>
    </row>
    <row r="584" spans="1:4" ht="11.25" customHeight="1">
      <c r="A584">
        <v>584</v>
      </c>
      <c r="B584" t="s">
        <v>4386</v>
      </c>
      <c r="C584" t="s">
        <v>4402</v>
      </c>
      <c r="D584" t="s">
        <v>4403</v>
      </c>
    </row>
    <row r="585" spans="1:4" ht="11.25" customHeight="1">
      <c r="A585">
        <v>585</v>
      </c>
      <c r="B585" t="s">
        <v>4386</v>
      </c>
      <c r="C585" t="s">
        <v>4404</v>
      </c>
      <c r="D585" t="s">
        <v>4405</v>
      </c>
    </row>
    <row r="586" spans="1:4" ht="11.25" customHeight="1">
      <c r="A586">
        <v>586</v>
      </c>
      <c r="B586" t="s">
        <v>4406</v>
      </c>
      <c r="C586" t="s">
        <v>3340</v>
      </c>
      <c r="D586" t="s">
        <v>4407</v>
      </c>
    </row>
    <row r="587" spans="1:4" ht="11.25" customHeight="1">
      <c r="A587">
        <v>587</v>
      </c>
      <c r="B587" t="s">
        <v>4406</v>
      </c>
      <c r="C587" t="s">
        <v>4110</v>
      </c>
      <c r="D587" t="s">
        <v>4408</v>
      </c>
    </row>
    <row r="588" spans="1:4" ht="11.25" customHeight="1">
      <c r="A588">
        <v>588</v>
      </c>
      <c r="B588" t="s">
        <v>4406</v>
      </c>
      <c r="C588" t="s">
        <v>4409</v>
      </c>
      <c r="D588" t="s">
        <v>4410</v>
      </c>
    </row>
    <row r="589" spans="1:4" ht="11.25" customHeight="1">
      <c r="A589">
        <v>589</v>
      </c>
      <c r="B589" t="s">
        <v>4406</v>
      </c>
      <c r="C589" t="s">
        <v>4411</v>
      </c>
      <c r="D589" t="s">
        <v>4412</v>
      </c>
    </row>
    <row r="590" spans="1:4" ht="11.25" customHeight="1">
      <c r="A590">
        <v>590</v>
      </c>
      <c r="B590" t="s">
        <v>4406</v>
      </c>
      <c r="C590" t="s">
        <v>4413</v>
      </c>
      <c r="D590" t="s">
        <v>4414</v>
      </c>
    </row>
    <row r="591" spans="1:4" ht="11.25" customHeight="1">
      <c r="A591">
        <v>591</v>
      </c>
      <c r="B591" t="s">
        <v>4406</v>
      </c>
      <c r="C591" t="s">
        <v>3704</v>
      </c>
      <c r="D591" t="s">
        <v>4415</v>
      </c>
    </row>
    <row r="592" spans="1:4" ht="11.25" customHeight="1">
      <c r="A592">
        <v>592</v>
      </c>
      <c r="B592" t="s">
        <v>4406</v>
      </c>
      <c r="C592" t="s">
        <v>4416</v>
      </c>
      <c r="D592" t="s">
        <v>4417</v>
      </c>
    </row>
    <row r="593" spans="1:4" ht="11.25" customHeight="1">
      <c r="A593">
        <v>593</v>
      </c>
      <c r="B593" t="s">
        <v>4406</v>
      </c>
      <c r="C593" t="s">
        <v>4418</v>
      </c>
      <c r="D593" t="s">
        <v>4419</v>
      </c>
    </row>
    <row r="594" spans="1:4" ht="11.25" customHeight="1">
      <c r="A594">
        <v>594</v>
      </c>
      <c r="B594" t="s">
        <v>4406</v>
      </c>
      <c r="C594" t="s">
        <v>4406</v>
      </c>
      <c r="D594" t="s">
        <v>4420</v>
      </c>
    </row>
    <row r="595" spans="1:4" ht="11.25" customHeight="1">
      <c r="A595">
        <v>595</v>
      </c>
      <c r="B595" t="s">
        <v>4406</v>
      </c>
      <c r="C595" t="s">
        <v>4421</v>
      </c>
      <c r="D595" t="s">
        <v>4422</v>
      </c>
    </row>
    <row r="596" spans="1:4" ht="11.25" customHeight="1">
      <c r="A596">
        <v>596</v>
      </c>
      <c r="B596" t="s">
        <v>4406</v>
      </c>
      <c r="C596" t="s">
        <v>4423</v>
      </c>
      <c r="D596" t="s">
        <v>4424</v>
      </c>
    </row>
    <row r="597" spans="1:4" ht="11.25" customHeight="1">
      <c r="A597">
        <v>597</v>
      </c>
      <c r="B597" t="s">
        <v>4406</v>
      </c>
      <c r="C597" t="s">
        <v>4425</v>
      </c>
      <c r="D597" t="s">
        <v>4426</v>
      </c>
    </row>
    <row r="598" spans="1:4" ht="11.25" customHeight="1">
      <c r="A598">
        <v>598</v>
      </c>
      <c r="B598" t="s">
        <v>4427</v>
      </c>
      <c r="C598" t="s">
        <v>4428</v>
      </c>
      <c r="D598" t="s">
        <v>4429</v>
      </c>
    </row>
    <row r="599" spans="1:4" ht="11.25" customHeight="1">
      <c r="A599">
        <v>599</v>
      </c>
      <c r="B599" t="s">
        <v>4427</v>
      </c>
      <c r="C599" t="s">
        <v>3470</v>
      </c>
      <c r="D599" t="s">
        <v>4430</v>
      </c>
    </row>
    <row r="600" spans="1:4" ht="11.25" customHeight="1">
      <c r="A600">
        <v>600</v>
      </c>
      <c r="B600" t="s">
        <v>4427</v>
      </c>
      <c r="C600" t="s">
        <v>4431</v>
      </c>
      <c r="D600" t="s">
        <v>4432</v>
      </c>
    </row>
    <row r="601" spans="1:4" ht="11.25" customHeight="1">
      <c r="A601">
        <v>601</v>
      </c>
      <c r="B601" t="s">
        <v>4427</v>
      </c>
      <c r="C601" t="s">
        <v>4433</v>
      </c>
      <c r="D601" t="s">
        <v>4434</v>
      </c>
    </row>
    <row r="602" spans="1:4" ht="11.25" customHeight="1">
      <c r="A602">
        <v>602</v>
      </c>
      <c r="B602" t="s">
        <v>4427</v>
      </c>
      <c r="C602" t="s">
        <v>4413</v>
      </c>
      <c r="D602" t="s">
        <v>4435</v>
      </c>
    </row>
    <row r="603" spans="1:4" ht="11.25" customHeight="1">
      <c r="A603">
        <v>603</v>
      </c>
      <c r="B603" t="s">
        <v>4427</v>
      </c>
      <c r="C603" t="s">
        <v>4436</v>
      </c>
      <c r="D603" t="s">
        <v>4437</v>
      </c>
    </row>
    <row r="604" spans="1:4" ht="11.25" customHeight="1">
      <c r="A604">
        <v>604</v>
      </c>
      <c r="B604" t="s">
        <v>4427</v>
      </c>
      <c r="C604" t="s">
        <v>4438</v>
      </c>
      <c r="D604" t="s">
        <v>4439</v>
      </c>
    </row>
    <row r="605" spans="1:4" ht="11.25" customHeight="1">
      <c r="A605">
        <v>605</v>
      </c>
      <c r="B605" t="s">
        <v>4427</v>
      </c>
      <c r="C605" t="s">
        <v>4440</v>
      </c>
      <c r="D605" t="s">
        <v>4441</v>
      </c>
    </row>
    <row r="606" spans="1:4" ht="11.25" customHeight="1">
      <c r="A606">
        <v>606</v>
      </c>
      <c r="B606" t="s">
        <v>4427</v>
      </c>
      <c r="C606" t="s">
        <v>4442</v>
      </c>
      <c r="D606" t="s">
        <v>4443</v>
      </c>
    </row>
    <row r="607" spans="1:4" ht="11.25" customHeight="1">
      <c r="A607">
        <v>607</v>
      </c>
      <c r="B607" t="s">
        <v>4427</v>
      </c>
      <c r="C607" t="s">
        <v>4427</v>
      </c>
      <c r="D607" t="s">
        <v>4444</v>
      </c>
    </row>
    <row r="608" spans="1:4" ht="11.25" customHeight="1">
      <c r="A608">
        <v>608</v>
      </c>
      <c r="B608" t="s">
        <v>4427</v>
      </c>
      <c r="C608" t="s">
        <v>4445</v>
      </c>
      <c r="D608" t="s">
        <v>4446</v>
      </c>
    </row>
    <row r="609" spans="1:4" ht="11.25" customHeight="1">
      <c r="A609">
        <v>609</v>
      </c>
      <c r="B609" t="s">
        <v>4427</v>
      </c>
      <c r="C609" t="s">
        <v>4447</v>
      </c>
      <c r="D609" t="s">
        <v>4448</v>
      </c>
    </row>
    <row r="610" spans="1:4" ht="11.25" customHeight="1">
      <c r="A610">
        <v>610</v>
      </c>
      <c r="B610" t="s">
        <v>4427</v>
      </c>
      <c r="C610" t="s">
        <v>3539</v>
      </c>
      <c r="D610" t="s">
        <v>4449</v>
      </c>
    </row>
    <row r="611" spans="1:4" ht="11.25" customHeight="1">
      <c r="A611">
        <v>611</v>
      </c>
      <c r="B611" t="s">
        <v>4427</v>
      </c>
      <c r="C611" t="s">
        <v>4450</v>
      </c>
      <c r="D611" t="s">
        <v>4451</v>
      </c>
    </row>
    <row r="612" spans="1:4" ht="11.25" customHeight="1">
      <c r="A612">
        <v>612</v>
      </c>
      <c r="B612" t="s">
        <v>4427</v>
      </c>
      <c r="C612" t="s">
        <v>4452</v>
      </c>
      <c r="D612" t="s">
        <v>4453</v>
      </c>
    </row>
    <row r="613" spans="1:4" ht="11.25" customHeight="1">
      <c r="A613">
        <v>613</v>
      </c>
      <c r="B613" t="s">
        <v>4454</v>
      </c>
      <c r="C613" t="s">
        <v>4455</v>
      </c>
      <c r="D613" t="s">
        <v>4456</v>
      </c>
    </row>
    <row r="614" spans="1:4" ht="11.25" customHeight="1">
      <c r="A614">
        <v>614</v>
      </c>
      <c r="B614" t="s">
        <v>4454</v>
      </c>
      <c r="C614" t="s">
        <v>4457</v>
      </c>
      <c r="D614" t="s">
        <v>4458</v>
      </c>
    </row>
    <row r="615" spans="1:4" ht="11.25" customHeight="1">
      <c r="A615">
        <v>615</v>
      </c>
      <c r="B615" t="s">
        <v>4454</v>
      </c>
      <c r="C615" t="s">
        <v>4459</v>
      </c>
      <c r="D615" t="s">
        <v>4460</v>
      </c>
    </row>
    <row r="616" spans="1:4" ht="11.25" customHeight="1">
      <c r="A616">
        <v>616</v>
      </c>
      <c r="B616" t="s">
        <v>4454</v>
      </c>
      <c r="C616" t="s">
        <v>3997</v>
      </c>
      <c r="D616" t="s">
        <v>4461</v>
      </c>
    </row>
    <row r="617" spans="1:4" ht="11.25" customHeight="1">
      <c r="A617">
        <v>617</v>
      </c>
      <c r="B617" t="s">
        <v>4454</v>
      </c>
      <c r="C617" t="s">
        <v>4462</v>
      </c>
      <c r="D617" t="s">
        <v>4463</v>
      </c>
    </row>
    <row r="618" spans="1:4" ht="11.25" customHeight="1">
      <c r="A618">
        <v>618</v>
      </c>
      <c r="B618" t="s">
        <v>4454</v>
      </c>
      <c r="C618" t="s">
        <v>4273</v>
      </c>
      <c r="D618" t="s">
        <v>4464</v>
      </c>
    </row>
    <row r="619" spans="1:4" ht="11.25" customHeight="1">
      <c r="A619">
        <v>619</v>
      </c>
      <c r="B619" t="s">
        <v>4454</v>
      </c>
      <c r="C619" t="s">
        <v>4454</v>
      </c>
      <c r="D619" t="s">
        <v>4465</v>
      </c>
    </row>
    <row r="620" spans="1:4" ht="11.25" customHeight="1">
      <c r="A620">
        <v>620</v>
      </c>
      <c r="B620" t="s">
        <v>4454</v>
      </c>
      <c r="C620" t="s">
        <v>4466</v>
      </c>
      <c r="D620" t="s">
        <v>4467</v>
      </c>
    </row>
    <row r="621" spans="1:4" ht="11.25" customHeight="1">
      <c r="A621">
        <v>621</v>
      </c>
      <c r="B621" t="s">
        <v>4468</v>
      </c>
      <c r="C621" t="s">
        <v>4469</v>
      </c>
      <c r="D621" t="s">
        <v>4470</v>
      </c>
    </row>
    <row r="622" spans="1:4" ht="11.25" customHeight="1">
      <c r="A622">
        <v>622</v>
      </c>
      <c r="B622" t="s">
        <v>4468</v>
      </c>
      <c r="C622" t="s">
        <v>3435</v>
      </c>
      <c r="D622" t="s">
        <v>4471</v>
      </c>
    </row>
    <row r="623" spans="1:4" ht="11.25" customHeight="1">
      <c r="A623">
        <v>623</v>
      </c>
      <c r="B623" t="s">
        <v>4468</v>
      </c>
      <c r="C623" t="s">
        <v>4472</v>
      </c>
      <c r="D623" t="s">
        <v>4473</v>
      </c>
    </row>
    <row r="624" spans="1:4" ht="11.25" customHeight="1">
      <c r="A624">
        <v>624</v>
      </c>
      <c r="B624" t="s">
        <v>4468</v>
      </c>
      <c r="C624" t="s">
        <v>4474</v>
      </c>
      <c r="D624" t="s">
        <v>4475</v>
      </c>
    </row>
    <row r="625" spans="1:4" ht="11.25" customHeight="1">
      <c r="A625">
        <v>625</v>
      </c>
      <c r="B625" t="s">
        <v>4468</v>
      </c>
      <c r="C625" t="s">
        <v>4476</v>
      </c>
      <c r="D625" t="s">
        <v>4477</v>
      </c>
    </row>
    <row r="626" spans="1:4" ht="11.25" customHeight="1">
      <c r="A626">
        <v>626</v>
      </c>
      <c r="B626" t="s">
        <v>4468</v>
      </c>
      <c r="C626" t="s">
        <v>4478</v>
      </c>
      <c r="D626" t="s">
        <v>4479</v>
      </c>
    </row>
    <row r="627" spans="1:4" ht="11.25" customHeight="1">
      <c r="A627">
        <v>627</v>
      </c>
      <c r="B627" t="s">
        <v>4468</v>
      </c>
      <c r="C627" t="s">
        <v>4480</v>
      </c>
      <c r="D627" t="s">
        <v>4481</v>
      </c>
    </row>
    <row r="628" spans="1:4" ht="11.25" customHeight="1">
      <c r="A628">
        <v>628</v>
      </c>
      <c r="B628" t="s">
        <v>4468</v>
      </c>
      <c r="C628" t="s">
        <v>4468</v>
      </c>
      <c r="D628" t="s">
        <v>4482</v>
      </c>
    </row>
    <row r="629" spans="1:4" ht="11.25" customHeight="1">
      <c r="A629">
        <v>629</v>
      </c>
      <c r="B629" t="s">
        <v>4468</v>
      </c>
      <c r="C629" t="s">
        <v>4483</v>
      </c>
      <c r="D629" t="s">
        <v>4484</v>
      </c>
    </row>
    <row r="630" spans="1:4" ht="11.25" customHeight="1">
      <c r="A630">
        <v>630</v>
      </c>
      <c r="B630" t="s">
        <v>4468</v>
      </c>
      <c r="C630" t="s">
        <v>4485</v>
      </c>
      <c r="D630" t="s">
        <v>4486</v>
      </c>
    </row>
    <row r="631" spans="1:4" ht="11.25" customHeight="1">
      <c r="A631">
        <v>631</v>
      </c>
      <c r="B631" t="s">
        <v>4487</v>
      </c>
      <c r="C631" t="s">
        <v>3340</v>
      </c>
      <c r="D631" t="s">
        <v>4488</v>
      </c>
    </row>
    <row r="632" spans="1:4" ht="11.25" customHeight="1">
      <c r="A632">
        <v>632</v>
      </c>
      <c r="B632" t="s">
        <v>4487</v>
      </c>
      <c r="C632" t="s">
        <v>4489</v>
      </c>
      <c r="D632" t="s">
        <v>4490</v>
      </c>
    </row>
    <row r="633" spans="1:4" ht="11.25" customHeight="1">
      <c r="A633">
        <v>633</v>
      </c>
      <c r="B633" t="s">
        <v>4487</v>
      </c>
      <c r="C633" t="s">
        <v>4491</v>
      </c>
      <c r="D633" t="s">
        <v>4492</v>
      </c>
    </row>
    <row r="634" spans="1:4" ht="11.25" customHeight="1">
      <c r="A634">
        <v>634</v>
      </c>
      <c r="B634" t="s">
        <v>4487</v>
      </c>
      <c r="C634" t="s">
        <v>4493</v>
      </c>
      <c r="D634" t="s">
        <v>4494</v>
      </c>
    </row>
    <row r="635" spans="1:4" ht="11.25" customHeight="1">
      <c r="A635">
        <v>635</v>
      </c>
      <c r="B635" t="s">
        <v>4487</v>
      </c>
      <c r="C635" t="s">
        <v>4495</v>
      </c>
      <c r="D635" t="s">
        <v>4496</v>
      </c>
    </row>
    <row r="636" spans="1:4" ht="11.25" customHeight="1">
      <c r="A636">
        <v>636</v>
      </c>
      <c r="B636" t="s">
        <v>4487</v>
      </c>
      <c r="C636" t="s">
        <v>4497</v>
      </c>
      <c r="D636" t="s">
        <v>4498</v>
      </c>
    </row>
    <row r="637" spans="1:4" ht="11.25" customHeight="1">
      <c r="A637">
        <v>637</v>
      </c>
      <c r="B637" t="s">
        <v>4487</v>
      </c>
      <c r="C637" t="s">
        <v>4499</v>
      </c>
      <c r="D637" t="s">
        <v>4500</v>
      </c>
    </row>
    <row r="638" spans="1:4" ht="11.25" customHeight="1">
      <c r="A638">
        <v>638</v>
      </c>
      <c r="B638" t="s">
        <v>4487</v>
      </c>
      <c r="C638" t="s">
        <v>4097</v>
      </c>
      <c r="D638" t="s">
        <v>4501</v>
      </c>
    </row>
    <row r="639" spans="1:4" ht="11.25" customHeight="1">
      <c r="A639">
        <v>639</v>
      </c>
      <c r="B639" t="s">
        <v>4487</v>
      </c>
      <c r="C639" t="s">
        <v>4502</v>
      </c>
      <c r="D639" t="s">
        <v>4503</v>
      </c>
    </row>
    <row r="640" spans="1:4" ht="11.25" customHeight="1">
      <c r="A640">
        <v>640</v>
      </c>
      <c r="B640" t="s">
        <v>4487</v>
      </c>
      <c r="C640" t="s">
        <v>4504</v>
      </c>
      <c r="D640" t="s">
        <v>4505</v>
      </c>
    </row>
    <row r="641" spans="1:4" ht="11.25" customHeight="1">
      <c r="A641">
        <v>641</v>
      </c>
      <c r="B641" t="s">
        <v>4487</v>
      </c>
      <c r="C641" t="s">
        <v>4421</v>
      </c>
      <c r="D641" t="s">
        <v>4506</v>
      </c>
    </row>
    <row r="642" spans="1:4" ht="11.25" customHeight="1">
      <c r="A642">
        <v>642</v>
      </c>
      <c r="B642" t="s">
        <v>4487</v>
      </c>
      <c r="C642" t="s">
        <v>4487</v>
      </c>
      <c r="D642" t="s">
        <v>4507</v>
      </c>
    </row>
    <row r="643" spans="1:4" ht="11.25" customHeight="1">
      <c r="A643">
        <v>643</v>
      </c>
      <c r="B643" t="s">
        <v>4487</v>
      </c>
      <c r="C643" t="s">
        <v>4508</v>
      </c>
      <c r="D643" t="s">
        <v>4509</v>
      </c>
    </row>
    <row r="644" spans="1:4" ht="11.25" customHeight="1">
      <c r="A644">
        <v>644</v>
      </c>
      <c r="B644" t="s">
        <v>4487</v>
      </c>
      <c r="C644" t="s">
        <v>4510</v>
      </c>
      <c r="D644" t="s">
        <v>4511</v>
      </c>
    </row>
    <row r="645" spans="1:4" ht="11.25" customHeight="1">
      <c r="A645">
        <v>645</v>
      </c>
      <c r="B645" t="s">
        <v>4512</v>
      </c>
      <c r="C645" t="s">
        <v>4513</v>
      </c>
      <c r="D645" t="s">
        <v>4514</v>
      </c>
    </row>
    <row r="646" spans="1:4" ht="11.25" customHeight="1">
      <c r="A646">
        <v>646</v>
      </c>
      <c r="B646" t="s">
        <v>4512</v>
      </c>
      <c r="C646" t="s">
        <v>4515</v>
      </c>
      <c r="D646" t="s">
        <v>4516</v>
      </c>
    </row>
    <row r="647" spans="1:4" ht="11.25" customHeight="1">
      <c r="A647">
        <v>647</v>
      </c>
      <c r="B647" t="s">
        <v>4512</v>
      </c>
      <c r="C647" t="s">
        <v>4517</v>
      </c>
      <c r="D647" t="s">
        <v>4518</v>
      </c>
    </row>
    <row r="648" spans="1:4" ht="11.25" customHeight="1">
      <c r="A648">
        <v>648</v>
      </c>
      <c r="B648" t="s">
        <v>4512</v>
      </c>
      <c r="C648" t="s">
        <v>4519</v>
      </c>
      <c r="D648" t="s">
        <v>4520</v>
      </c>
    </row>
    <row r="649" spans="1:4" ht="11.25" customHeight="1">
      <c r="A649">
        <v>649</v>
      </c>
      <c r="B649" t="s">
        <v>4512</v>
      </c>
      <c r="C649" t="s">
        <v>4521</v>
      </c>
      <c r="D649" t="s">
        <v>4522</v>
      </c>
    </row>
    <row r="650" spans="1:4" ht="11.25" customHeight="1">
      <c r="A650">
        <v>650</v>
      </c>
      <c r="B650" t="s">
        <v>4512</v>
      </c>
      <c r="C650" t="s">
        <v>4523</v>
      </c>
      <c r="D650" t="s">
        <v>4524</v>
      </c>
    </row>
    <row r="651" spans="1:4" ht="11.25" customHeight="1">
      <c r="A651">
        <v>651</v>
      </c>
      <c r="B651" t="s">
        <v>4512</v>
      </c>
      <c r="C651" t="s">
        <v>4525</v>
      </c>
      <c r="D651" t="s">
        <v>4526</v>
      </c>
    </row>
    <row r="652" spans="1:4" ht="11.25" customHeight="1">
      <c r="A652">
        <v>652</v>
      </c>
      <c r="B652" t="s">
        <v>4512</v>
      </c>
      <c r="C652" t="s">
        <v>4273</v>
      </c>
      <c r="D652" t="s">
        <v>4527</v>
      </c>
    </row>
    <row r="653" spans="1:4" ht="11.25" customHeight="1">
      <c r="A653">
        <v>653</v>
      </c>
      <c r="B653" t="s">
        <v>4512</v>
      </c>
      <c r="C653" t="s">
        <v>4528</v>
      </c>
      <c r="D653" t="s">
        <v>4529</v>
      </c>
    </row>
    <row r="654" spans="1:4" ht="11.25" customHeight="1">
      <c r="A654">
        <v>654</v>
      </c>
      <c r="B654" t="s">
        <v>4512</v>
      </c>
      <c r="C654" t="s">
        <v>4512</v>
      </c>
      <c r="D654" t="s">
        <v>4530</v>
      </c>
    </row>
    <row r="655" spans="1:4" ht="11.25" customHeight="1">
      <c r="A655">
        <v>655</v>
      </c>
      <c r="B655" t="s">
        <v>4512</v>
      </c>
      <c r="C655" t="s">
        <v>4531</v>
      </c>
      <c r="D655" t="s">
        <v>4532</v>
      </c>
    </row>
    <row r="656" spans="1:4" ht="11.25" customHeight="1">
      <c r="A656">
        <v>656</v>
      </c>
      <c r="B656" t="s">
        <v>4533</v>
      </c>
      <c r="C656" t="s">
        <v>4534</v>
      </c>
      <c r="D656" t="s">
        <v>4535</v>
      </c>
    </row>
    <row r="657" spans="1:4" ht="11.25" customHeight="1">
      <c r="A657">
        <v>657</v>
      </c>
      <c r="B657" t="s">
        <v>4533</v>
      </c>
      <c r="C657" t="s">
        <v>4536</v>
      </c>
      <c r="D657" t="s">
        <v>4537</v>
      </c>
    </row>
    <row r="658" spans="1:4" ht="11.25" customHeight="1">
      <c r="A658">
        <v>658</v>
      </c>
      <c r="B658" t="s">
        <v>4533</v>
      </c>
      <c r="C658" t="s">
        <v>3306</v>
      </c>
      <c r="D658" t="s">
        <v>4538</v>
      </c>
    </row>
    <row r="659" spans="1:4" ht="11.25" customHeight="1">
      <c r="A659">
        <v>659</v>
      </c>
      <c r="B659" t="s">
        <v>4533</v>
      </c>
      <c r="C659" t="s">
        <v>4539</v>
      </c>
      <c r="D659" t="s">
        <v>4540</v>
      </c>
    </row>
    <row r="660" spans="1:4" ht="11.25" customHeight="1">
      <c r="A660">
        <v>660</v>
      </c>
      <c r="B660" t="s">
        <v>4533</v>
      </c>
      <c r="C660" t="s">
        <v>4541</v>
      </c>
      <c r="D660" t="s">
        <v>4542</v>
      </c>
    </row>
    <row r="661" spans="1:4" ht="11.25" customHeight="1">
      <c r="A661">
        <v>661</v>
      </c>
      <c r="B661" t="s">
        <v>4533</v>
      </c>
      <c r="C661" t="s">
        <v>4543</v>
      </c>
      <c r="D661" t="s">
        <v>4544</v>
      </c>
    </row>
    <row r="662" spans="1:4" ht="11.25" customHeight="1">
      <c r="A662">
        <v>662</v>
      </c>
      <c r="B662" t="s">
        <v>4533</v>
      </c>
      <c r="C662" t="s">
        <v>4545</v>
      </c>
      <c r="D662" t="s">
        <v>4546</v>
      </c>
    </row>
    <row r="663" spans="1:4" ht="11.25" customHeight="1">
      <c r="A663">
        <v>663</v>
      </c>
      <c r="B663" t="s">
        <v>4533</v>
      </c>
      <c r="C663" t="s">
        <v>4547</v>
      </c>
      <c r="D663" t="s">
        <v>4548</v>
      </c>
    </row>
    <row r="664" spans="1:4" ht="11.25" customHeight="1">
      <c r="A664">
        <v>664</v>
      </c>
      <c r="B664" t="s">
        <v>4533</v>
      </c>
      <c r="C664" t="s">
        <v>4549</v>
      </c>
      <c r="D664" t="s">
        <v>4550</v>
      </c>
    </row>
    <row r="665" spans="1:4" ht="11.25" customHeight="1">
      <c r="A665">
        <v>665</v>
      </c>
      <c r="B665" t="s">
        <v>4533</v>
      </c>
      <c r="C665" t="s">
        <v>4551</v>
      </c>
      <c r="D665" t="s">
        <v>4552</v>
      </c>
    </row>
    <row r="666" spans="1:4" ht="11.25" customHeight="1">
      <c r="A666">
        <v>666</v>
      </c>
      <c r="B666" t="s">
        <v>4533</v>
      </c>
      <c r="C666" t="s">
        <v>4533</v>
      </c>
      <c r="D666" t="s">
        <v>4553</v>
      </c>
    </row>
    <row r="667" spans="1:4" ht="11.25" customHeight="1">
      <c r="A667">
        <v>667</v>
      </c>
      <c r="B667" t="s">
        <v>4533</v>
      </c>
      <c r="C667" t="s">
        <v>4554</v>
      </c>
      <c r="D667" t="s">
        <v>4555</v>
      </c>
    </row>
    <row r="668" spans="1:4" ht="11.25" customHeight="1">
      <c r="A668">
        <v>668</v>
      </c>
      <c r="B668" t="s">
        <v>4533</v>
      </c>
      <c r="C668" t="s">
        <v>4556</v>
      </c>
      <c r="D668" t="s">
        <v>4557</v>
      </c>
    </row>
    <row r="669" spans="1:4" ht="11.25" customHeight="1">
      <c r="A669">
        <v>669</v>
      </c>
      <c r="B669" t="s">
        <v>4558</v>
      </c>
      <c r="C669" t="s">
        <v>3406</v>
      </c>
      <c r="D669" t="s">
        <v>4559</v>
      </c>
    </row>
    <row r="670" spans="1:4" ht="11.25" customHeight="1">
      <c r="A670">
        <v>670</v>
      </c>
      <c r="B670" t="s">
        <v>4558</v>
      </c>
      <c r="C670" t="s">
        <v>3470</v>
      </c>
      <c r="D670" t="s">
        <v>4560</v>
      </c>
    </row>
    <row r="671" spans="1:4" ht="11.25" customHeight="1">
      <c r="A671">
        <v>671</v>
      </c>
      <c r="B671" t="s">
        <v>4558</v>
      </c>
      <c r="C671" t="s">
        <v>3316</v>
      </c>
      <c r="D671" t="s">
        <v>4561</v>
      </c>
    </row>
    <row r="672" spans="1:4" ht="11.25" customHeight="1">
      <c r="A672">
        <v>672</v>
      </c>
      <c r="B672" t="s">
        <v>4558</v>
      </c>
      <c r="C672" t="s">
        <v>4562</v>
      </c>
      <c r="D672" t="s">
        <v>4563</v>
      </c>
    </row>
    <row r="673" spans="1:4" ht="11.25" customHeight="1">
      <c r="A673">
        <v>673</v>
      </c>
      <c r="B673" t="s">
        <v>4558</v>
      </c>
      <c r="C673" t="s">
        <v>3773</v>
      </c>
      <c r="D673" t="s">
        <v>4564</v>
      </c>
    </row>
    <row r="674" spans="1:4" ht="11.25" customHeight="1">
      <c r="A674">
        <v>674</v>
      </c>
      <c r="B674" t="s">
        <v>4558</v>
      </c>
      <c r="C674" t="s">
        <v>4565</v>
      </c>
      <c r="D674" t="s">
        <v>4566</v>
      </c>
    </row>
    <row r="675" spans="1:4" ht="11.25" customHeight="1">
      <c r="A675">
        <v>675</v>
      </c>
      <c r="B675" t="s">
        <v>4558</v>
      </c>
      <c r="C675" t="s">
        <v>4567</v>
      </c>
      <c r="D675" t="s">
        <v>4568</v>
      </c>
    </row>
    <row r="676" spans="1:4" ht="11.25" customHeight="1">
      <c r="A676">
        <v>676</v>
      </c>
      <c r="B676" t="s">
        <v>4558</v>
      </c>
      <c r="C676" t="s">
        <v>4569</v>
      </c>
      <c r="D676" t="s">
        <v>4570</v>
      </c>
    </row>
    <row r="677" spans="1:4" ht="11.25" customHeight="1">
      <c r="A677">
        <v>677</v>
      </c>
      <c r="B677" t="s">
        <v>4558</v>
      </c>
      <c r="C677" t="s">
        <v>4558</v>
      </c>
      <c r="D677" t="s">
        <v>4571</v>
      </c>
    </row>
    <row r="678" spans="1:4" ht="11.25" customHeight="1">
      <c r="A678">
        <v>678</v>
      </c>
      <c r="B678" t="s">
        <v>4558</v>
      </c>
      <c r="C678" t="s">
        <v>4485</v>
      </c>
      <c r="D678" t="s">
        <v>4572</v>
      </c>
    </row>
    <row r="679" spans="1:4" ht="11.25" customHeight="1">
      <c r="A679">
        <v>679</v>
      </c>
      <c r="B679" t="s">
        <v>4573</v>
      </c>
      <c r="C679" t="s">
        <v>4574</v>
      </c>
      <c r="D679" t="s">
        <v>4575</v>
      </c>
    </row>
    <row r="680" spans="1:4" ht="11.25" customHeight="1">
      <c r="A680">
        <v>680</v>
      </c>
      <c r="B680" t="s">
        <v>4573</v>
      </c>
      <c r="C680" t="s">
        <v>4576</v>
      </c>
      <c r="D680" t="s">
        <v>4577</v>
      </c>
    </row>
    <row r="681" spans="1:4" ht="11.25" customHeight="1">
      <c r="A681">
        <v>681</v>
      </c>
      <c r="B681" t="s">
        <v>4573</v>
      </c>
      <c r="C681" t="s">
        <v>4578</v>
      </c>
      <c r="D681" t="s">
        <v>4579</v>
      </c>
    </row>
    <row r="682" spans="1:4" ht="11.25" customHeight="1">
      <c r="A682">
        <v>682</v>
      </c>
      <c r="B682" t="s">
        <v>4573</v>
      </c>
      <c r="C682" t="s">
        <v>4580</v>
      </c>
      <c r="D682" t="s">
        <v>4581</v>
      </c>
    </row>
    <row r="683" spans="1:4" ht="11.25" customHeight="1">
      <c r="A683">
        <v>683</v>
      </c>
      <c r="B683" t="s">
        <v>4573</v>
      </c>
      <c r="C683" t="s">
        <v>4582</v>
      </c>
      <c r="D683" t="s">
        <v>4583</v>
      </c>
    </row>
    <row r="684" spans="1:4" ht="11.25" customHeight="1">
      <c r="A684">
        <v>684</v>
      </c>
      <c r="B684" t="s">
        <v>4573</v>
      </c>
      <c r="C684" t="s">
        <v>4584</v>
      </c>
      <c r="D684" t="s">
        <v>4585</v>
      </c>
    </row>
    <row r="685" spans="1:4" ht="11.25" customHeight="1">
      <c r="A685">
        <v>685</v>
      </c>
      <c r="B685" t="s">
        <v>4573</v>
      </c>
      <c r="C685" t="s">
        <v>4586</v>
      </c>
      <c r="D685" t="s">
        <v>4587</v>
      </c>
    </row>
    <row r="686" spans="1:4" ht="11.25" customHeight="1">
      <c r="A686">
        <v>686</v>
      </c>
      <c r="B686" t="s">
        <v>4573</v>
      </c>
      <c r="C686" t="s">
        <v>4588</v>
      </c>
      <c r="D686" t="s">
        <v>4589</v>
      </c>
    </row>
    <row r="687" spans="1:4" ht="11.25" customHeight="1">
      <c r="A687">
        <v>687</v>
      </c>
      <c r="B687" t="s">
        <v>4573</v>
      </c>
      <c r="C687" t="s">
        <v>4573</v>
      </c>
      <c r="D687" t="s">
        <v>4590</v>
      </c>
    </row>
    <row r="688" spans="1:4" ht="11.25" customHeight="1">
      <c r="A688">
        <v>688</v>
      </c>
      <c r="B688" t="s">
        <v>4573</v>
      </c>
      <c r="C688" t="s">
        <v>4591</v>
      </c>
      <c r="D688" t="s">
        <v>4592</v>
      </c>
    </row>
    <row r="689" spans="1:4" ht="11.25" customHeight="1">
      <c r="A689">
        <v>689</v>
      </c>
      <c r="B689" t="s">
        <v>4593</v>
      </c>
      <c r="C689" t="s">
        <v>4594</v>
      </c>
      <c r="D689" t="s">
        <v>4595</v>
      </c>
    </row>
    <row r="690" spans="1:4" ht="11.25" customHeight="1">
      <c r="A690">
        <v>690</v>
      </c>
      <c r="B690" t="s">
        <v>4593</v>
      </c>
      <c r="C690" t="s">
        <v>4039</v>
      </c>
      <c r="D690" t="s">
        <v>4596</v>
      </c>
    </row>
    <row r="691" spans="1:4" ht="11.25" customHeight="1">
      <c r="A691">
        <v>691</v>
      </c>
      <c r="B691" t="s">
        <v>4593</v>
      </c>
      <c r="C691" t="s">
        <v>4597</v>
      </c>
      <c r="D691" t="s">
        <v>4598</v>
      </c>
    </row>
    <row r="692" spans="1:4" ht="11.25" customHeight="1">
      <c r="A692">
        <v>692</v>
      </c>
      <c r="B692" t="s">
        <v>4593</v>
      </c>
      <c r="C692" t="s">
        <v>4599</v>
      </c>
      <c r="D692" t="s">
        <v>4600</v>
      </c>
    </row>
    <row r="693" spans="1:4" ht="11.25" customHeight="1">
      <c r="A693">
        <v>693</v>
      </c>
      <c r="B693" t="s">
        <v>4593</v>
      </c>
      <c r="C693" t="s">
        <v>3531</v>
      </c>
      <c r="D693" t="s">
        <v>4601</v>
      </c>
    </row>
    <row r="694" spans="1:4" ht="11.25" customHeight="1">
      <c r="A694">
        <v>694</v>
      </c>
      <c r="B694" t="s">
        <v>4593</v>
      </c>
      <c r="C694" t="s">
        <v>4602</v>
      </c>
      <c r="D694" t="s">
        <v>4603</v>
      </c>
    </row>
    <row r="695" spans="1:4" ht="11.25" customHeight="1">
      <c r="A695">
        <v>695</v>
      </c>
      <c r="B695" t="s">
        <v>4593</v>
      </c>
      <c r="C695" t="s">
        <v>4576</v>
      </c>
      <c r="D695" t="s">
        <v>4604</v>
      </c>
    </row>
    <row r="696" spans="1:4" ht="11.25" customHeight="1">
      <c r="A696">
        <v>696</v>
      </c>
      <c r="B696" t="s">
        <v>4593</v>
      </c>
      <c r="C696" t="s">
        <v>4605</v>
      </c>
      <c r="D696" t="s">
        <v>4606</v>
      </c>
    </row>
    <row r="697" spans="1:4" ht="11.25" customHeight="1">
      <c r="A697">
        <v>697</v>
      </c>
      <c r="B697" t="s">
        <v>4593</v>
      </c>
      <c r="C697" t="s">
        <v>4607</v>
      </c>
      <c r="D697" t="s">
        <v>4608</v>
      </c>
    </row>
    <row r="698" spans="1:4" ht="11.25" customHeight="1">
      <c r="A698">
        <v>698</v>
      </c>
      <c r="B698" t="s">
        <v>4593</v>
      </c>
      <c r="C698" t="s">
        <v>4609</v>
      </c>
      <c r="D698" t="s">
        <v>4610</v>
      </c>
    </row>
    <row r="699" spans="1:4" ht="11.25" customHeight="1">
      <c r="A699">
        <v>699</v>
      </c>
      <c r="B699" t="s">
        <v>4593</v>
      </c>
      <c r="C699" t="s">
        <v>3395</v>
      </c>
      <c r="D699" t="s">
        <v>4611</v>
      </c>
    </row>
    <row r="700" spans="1:4" ht="11.25" customHeight="1">
      <c r="A700">
        <v>700</v>
      </c>
      <c r="B700" t="s">
        <v>4593</v>
      </c>
      <c r="C700" t="s">
        <v>4612</v>
      </c>
      <c r="D700" t="s">
        <v>4613</v>
      </c>
    </row>
    <row r="701" spans="1:4" ht="11.25" customHeight="1">
      <c r="A701">
        <v>701</v>
      </c>
      <c r="B701" t="s">
        <v>4593</v>
      </c>
      <c r="C701" t="s">
        <v>4148</v>
      </c>
      <c r="D701" t="s">
        <v>4614</v>
      </c>
    </row>
    <row r="702" spans="1:4" ht="11.25" customHeight="1">
      <c r="A702">
        <v>702</v>
      </c>
      <c r="B702" t="s">
        <v>4593</v>
      </c>
      <c r="C702" t="s">
        <v>4615</v>
      </c>
      <c r="D702" t="s">
        <v>4616</v>
      </c>
    </row>
    <row r="703" spans="1:4" ht="11.25" customHeight="1">
      <c r="A703">
        <v>703</v>
      </c>
      <c r="B703" t="s">
        <v>4593</v>
      </c>
      <c r="C703" t="s">
        <v>4617</v>
      </c>
      <c r="D703" t="s">
        <v>4618</v>
      </c>
    </row>
    <row r="704" spans="1:4" ht="11.25" customHeight="1">
      <c r="A704">
        <v>704</v>
      </c>
      <c r="B704" t="s">
        <v>4593</v>
      </c>
      <c r="C704" t="s">
        <v>4619</v>
      </c>
      <c r="D704" t="s">
        <v>4620</v>
      </c>
    </row>
    <row r="705" spans="1:4" ht="11.25" customHeight="1">
      <c r="A705">
        <v>705</v>
      </c>
      <c r="B705" t="s">
        <v>4593</v>
      </c>
      <c r="C705" t="s">
        <v>4621</v>
      </c>
      <c r="D705" t="s">
        <v>4622</v>
      </c>
    </row>
    <row r="706" spans="1:4" ht="11.25" customHeight="1">
      <c r="A706">
        <v>706</v>
      </c>
      <c r="B706" t="s">
        <v>4593</v>
      </c>
      <c r="C706" t="s">
        <v>4623</v>
      </c>
      <c r="D706" t="s">
        <v>4624</v>
      </c>
    </row>
    <row r="707" spans="1:4" ht="11.25" customHeight="1">
      <c r="A707">
        <v>707</v>
      </c>
      <c r="B707" t="s">
        <v>4593</v>
      </c>
      <c r="C707" t="s">
        <v>4593</v>
      </c>
      <c r="D707" t="s">
        <v>4625</v>
      </c>
    </row>
    <row r="708" spans="1:4" ht="11.25" customHeight="1">
      <c r="A708">
        <v>708</v>
      </c>
      <c r="B708" t="s">
        <v>4593</v>
      </c>
      <c r="C708" t="s">
        <v>4626</v>
      </c>
      <c r="D708" t="s">
        <v>4627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13"/>
    <col min="2" max="2" width="84.28515625" style="2113" customWidth="1"/>
    <col min="3" max="3" width="9.140625" style="2113"/>
  </cols>
  <sheetData>
    <row r="1" spans="1:3" ht="11.25" customHeight="1">
      <c r="A1" s="765" t="s">
        <v>4628</v>
      </c>
      <c r="B1" s="765" t="s">
        <v>4629</v>
      </c>
      <c r="C1" s="765" t="s">
        <v>1234</v>
      </c>
    </row>
    <row r="2" spans="1:3" ht="11.25" customHeight="1">
      <c r="A2" s="765">
        <v>4189678</v>
      </c>
      <c r="B2" s="765" t="s">
        <v>4630</v>
      </c>
      <c r="C2" s="765" t="s">
        <v>4631</v>
      </c>
    </row>
    <row r="3" spans="1:3" ht="11.25" customHeight="1">
      <c r="A3" s="765">
        <v>4190415</v>
      </c>
      <c r="B3" s="765" t="s">
        <v>4632</v>
      </c>
      <c r="C3" s="765" t="s">
        <v>4631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11" customWidth="1"/>
    <col min="2" max="5" width="9.140625" style="2111"/>
  </cols>
  <sheetData>
    <row r="1" spans="1:5" ht="15" customHeight="1">
      <c r="A1" s="100" t="s">
        <v>4633</v>
      </c>
      <c r="B1" s="100" t="s">
        <v>4634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4635</v>
      </c>
      <c r="B1" t="b">
        <v>1</v>
      </c>
    </row>
    <row r="2" spans="1:2" ht="11.25" customHeight="1">
      <c r="A2" t="s">
        <v>4636</v>
      </c>
      <c r="B2" t="b">
        <v>0</v>
      </c>
    </row>
    <row r="3" spans="1:2" ht="11.25" customHeight="1">
      <c r="A3" t="s">
        <v>4637</v>
      </c>
      <c r="B3" t="b">
        <v>1</v>
      </c>
    </row>
    <row r="4" spans="1:2" ht="11.25" customHeight="1">
      <c r="A4" t="s">
        <v>4638</v>
      </c>
      <c r="B4" t="b">
        <v>0</v>
      </c>
    </row>
    <row r="5" spans="1:2" ht="11.25" customHeight="1">
      <c r="A5" t="s">
        <v>4639</v>
      </c>
      <c r="B5" t="b">
        <v>0</v>
      </c>
    </row>
    <row r="6" spans="1:2" ht="11.25" customHeight="1">
      <c r="A6" t="s">
        <v>4640</v>
      </c>
      <c r="B6" t="b">
        <v>0</v>
      </c>
    </row>
    <row r="7" spans="1:2" ht="11.25" customHeight="1">
      <c r="A7" t="s">
        <v>4641</v>
      </c>
      <c r="B7" t="b">
        <v>0</v>
      </c>
    </row>
    <row r="8" spans="1:2" ht="11.25" customHeight="1">
      <c r="A8" t="s">
        <v>4642</v>
      </c>
      <c r="B8" t="b">
        <v>0</v>
      </c>
    </row>
    <row r="9" spans="1:2" ht="11.25" customHeight="1">
      <c r="A9" t="s">
        <v>4643</v>
      </c>
      <c r="B9" t="b">
        <v>0</v>
      </c>
    </row>
    <row r="10" spans="1:2" ht="11.25" customHeight="1">
      <c r="A10" t="s">
        <v>4644</v>
      </c>
      <c r="B10" t="b">
        <v>0</v>
      </c>
    </row>
    <row r="11" spans="1:2" ht="11.25" customHeight="1">
      <c r="A11" t="s">
        <v>4645</v>
      </c>
      <c r="B11" t="b">
        <v>0</v>
      </c>
    </row>
    <row r="12" spans="1:2" ht="11.25" customHeight="1">
      <c r="A12" t="s">
        <v>4646</v>
      </c>
      <c r="B12" t="b">
        <v>1</v>
      </c>
    </row>
    <row r="13" spans="1:2" ht="11.25" customHeight="1">
      <c r="A13" t="s">
        <v>4647</v>
      </c>
      <c r="B13" t="b">
        <v>0</v>
      </c>
    </row>
    <row r="14" spans="1:2" ht="11.25" customHeight="1">
      <c r="A14" t="s">
        <v>4648</v>
      </c>
      <c r="B14" t="b">
        <v>0</v>
      </c>
    </row>
    <row r="15" spans="1:2" ht="11.25" customHeight="1">
      <c r="A15" t="s">
        <v>4649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2"/>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14" customWidth="1"/>
    <col min="2" max="2" width="21.140625" style="2114" customWidth="1"/>
  </cols>
  <sheetData>
    <row r="1" spans="1:2" ht="11.25" customHeight="1">
      <c r="A1" s="7" t="s">
        <v>4650</v>
      </c>
      <c r="B1" s="7" t="s">
        <v>4651</v>
      </c>
    </row>
    <row r="2" spans="1:2" ht="11.25" customHeight="1">
      <c r="A2" s="3" t="s">
        <v>4652</v>
      </c>
      <c r="B2" s="3" t="s">
        <v>4653</v>
      </c>
    </row>
    <row r="3" spans="1:2" ht="11.25" customHeight="1">
      <c r="A3" s="3" t="s">
        <v>4654</v>
      </c>
      <c r="B3" s="3" t="s">
        <v>4655</v>
      </c>
    </row>
    <row r="4" spans="1:2" ht="11.25" customHeight="1">
      <c r="A4" s="3" t="s">
        <v>4656</v>
      </c>
      <c r="B4" s="3" t="s">
        <v>4657</v>
      </c>
    </row>
    <row r="5" spans="1:2" ht="11.25" customHeight="1">
      <c r="A5" s="3" t="s">
        <v>4658</v>
      </c>
      <c r="B5" s="3" t="s">
        <v>4659</v>
      </c>
    </row>
    <row r="6" spans="1:2" ht="11.25" customHeight="1">
      <c r="A6" s="3" t="s">
        <v>4660</v>
      </c>
      <c r="B6" s="3" t="s">
        <v>4661</v>
      </c>
    </row>
    <row r="7" spans="1:2" ht="11.25" customHeight="1">
      <c r="A7" s="3" t="s">
        <v>4662</v>
      </c>
      <c r="B7" s="3" t="s">
        <v>4663</v>
      </c>
    </row>
    <row r="8" spans="1:2" ht="11.25" customHeight="1">
      <c r="A8" s="3" t="s">
        <v>4664</v>
      </c>
      <c r="B8" s="3" t="s">
        <v>4665</v>
      </c>
    </row>
    <row r="9" spans="1:2" ht="11.25" customHeight="1">
      <c r="A9" s="3" t="s">
        <v>4666</v>
      </c>
      <c r="B9" s="3" t="s">
        <v>4667</v>
      </c>
    </row>
    <row r="10" spans="1:2" ht="11.25" customHeight="1">
      <c r="A10" s="3" t="s">
        <v>4668</v>
      </c>
      <c r="B10" s="3" t="s">
        <v>4669</v>
      </c>
    </row>
    <row r="11" spans="1:2" ht="11.25" customHeight="1">
      <c r="A11" s="3" t="s">
        <v>4670</v>
      </c>
      <c r="B11" s="3" t="s">
        <v>4671</v>
      </c>
    </row>
    <row r="12" spans="1:2" ht="11.25" customHeight="1">
      <c r="A12" s="3" t="s">
        <v>4672</v>
      </c>
      <c r="B12" s="3" t="s">
        <v>4673</v>
      </c>
    </row>
    <row r="13" spans="1:2" ht="11.25" customHeight="1">
      <c r="A13" s="3" t="s">
        <v>4674</v>
      </c>
      <c r="B13" s="3" t="s">
        <v>4675</v>
      </c>
    </row>
    <row r="14" spans="1:2" ht="11.25" customHeight="1">
      <c r="A14" s="3" t="s">
        <v>4676</v>
      </c>
      <c r="B14" s="3" t="s">
        <v>4677</v>
      </c>
    </row>
    <row r="15" spans="1:2" ht="11.25" customHeight="1">
      <c r="A15" s="3" t="s">
        <v>4678</v>
      </c>
      <c r="B15" s="3" t="s">
        <v>4679</v>
      </c>
    </row>
    <row r="16" spans="1:2" ht="11.25" customHeight="1">
      <c r="A16" s="3" t="s">
        <v>4680</v>
      </c>
      <c r="B16" s="3" t="s">
        <v>4681</v>
      </c>
    </row>
    <row r="17" spans="1:2" ht="11.25" customHeight="1">
      <c r="A17" s="3" t="s">
        <v>4682</v>
      </c>
      <c r="B17" s="3" t="s">
        <v>4683</v>
      </c>
    </row>
    <row r="18" spans="1:2" ht="11.25" customHeight="1">
      <c r="A18" s="3" t="s">
        <v>4684</v>
      </c>
      <c r="B18" s="3" t="s">
        <v>4685</v>
      </c>
    </row>
    <row r="19" spans="1:2" ht="11.25" customHeight="1">
      <c r="A19" s="3" t="s">
        <v>4686</v>
      </c>
      <c r="B19" s="3" t="s">
        <v>4687</v>
      </c>
    </row>
    <row r="20" spans="1:2" ht="11.25" customHeight="1">
      <c r="A20" s="3" t="s">
        <v>4688</v>
      </c>
      <c r="B20" s="3" t="s">
        <v>4689</v>
      </c>
    </row>
    <row r="21" spans="1:2" ht="11.25" customHeight="1">
      <c r="A21" s="3" t="s">
        <v>4690</v>
      </c>
      <c r="B21" s="3" t="s">
        <v>4691</v>
      </c>
    </row>
    <row r="22" spans="1:2" ht="11.25" customHeight="1">
      <c r="A22" s="3" t="s">
        <v>4692</v>
      </c>
      <c r="B22" s="3" t="s">
        <v>4693</v>
      </c>
    </row>
    <row r="23" spans="1:2" ht="11.25" customHeight="1">
      <c r="A23" s="3" t="s">
        <v>4694</v>
      </c>
      <c r="B23" s="3" t="s">
        <v>4695</v>
      </c>
    </row>
    <row r="24" spans="1:2" ht="11.25" customHeight="1">
      <c r="A24" s="3" t="s">
        <v>4696</v>
      </c>
      <c r="B24" s="3" t="s">
        <v>4697</v>
      </c>
    </row>
    <row r="25" spans="1:2" ht="11.25" customHeight="1">
      <c r="A25" s="3" t="s">
        <v>4698</v>
      </c>
      <c r="B25" s="3" t="s">
        <v>4699</v>
      </c>
    </row>
    <row r="26" spans="1:2" ht="11.25" customHeight="1">
      <c r="A26" s="3" t="s">
        <v>4700</v>
      </c>
      <c r="B26" s="3" t="s">
        <v>4701</v>
      </c>
    </row>
    <row r="27" spans="1:2" ht="11.25" customHeight="1">
      <c r="A27" s="3" t="s">
        <v>4702</v>
      </c>
      <c r="B27" s="3" t="s">
        <v>4703</v>
      </c>
    </row>
    <row r="28" spans="1:2" ht="11.25" customHeight="1">
      <c r="A28" s="3" t="s">
        <v>4704</v>
      </c>
      <c r="B28" s="3" t="s">
        <v>4705</v>
      </c>
    </row>
    <row r="29" spans="1:2" ht="11.25" customHeight="1">
      <c r="A29" s="3" t="s">
        <v>4706</v>
      </c>
      <c r="B29" s="3" t="s">
        <v>4707</v>
      </c>
    </row>
    <row r="30" spans="1:2" ht="11.25" customHeight="1">
      <c r="A30" s="3" t="s">
        <v>4708</v>
      </c>
      <c r="B30" s="3" t="s">
        <v>4709</v>
      </c>
    </row>
    <row r="31" spans="1:2" ht="11.25" customHeight="1">
      <c r="A31" s="3" t="s">
        <v>4710</v>
      </c>
      <c r="B31" s="3" t="s">
        <v>4711</v>
      </c>
    </row>
    <row r="32" spans="1:2" ht="11.25" customHeight="1">
      <c r="A32" s="3" t="s">
        <v>4712</v>
      </c>
      <c r="B32" s="3" t="s">
        <v>4713</v>
      </c>
    </row>
    <row r="33" spans="1:2" ht="11.25" customHeight="1">
      <c r="A33" s="3" t="s">
        <v>4714</v>
      </c>
      <c r="B33" s="3" t="s">
        <v>4715</v>
      </c>
    </row>
    <row r="34" spans="1:2" ht="11.25" customHeight="1">
      <c r="A34" s="3" t="s">
        <v>4716</v>
      </c>
      <c r="B34" s="3" t="s">
        <v>4717</v>
      </c>
    </row>
    <row r="35" spans="1:2" ht="11.25" customHeight="1">
      <c r="A35" s="3" t="s">
        <v>4718</v>
      </c>
      <c r="B35" s="3" t="s">
        <v>4719</v>
      </c>
    </row>
    <row r="36" spans="1:2" ht="11.25" customHeight="1">
      <c r="A36" s="3" t="s">
        <v>4720</v>
      </c>
      <c r="B36" s="3" t="s">
        <v>4721</v>
      </c>
    </row>
    <row r="37" spans="1:2" ht="11.25" customHeight="1">
      <c r="A37" s="3" t="s">
        <v>4722</v>
      </c>
      <c r="B37" s="3" t="s">
        <v>4723</v>
      </c>
    </row>
    <row r="38" spans="1:2" ht="11.25" customHeight="1">
      <c r="A38" s="3" t="s">
        <v>4724</v>
      </c>
      <c r="B38" s="3" t="s">
        <v>4725</v>
      </c>
    </row>
    <row r="39" spans="1:2" ht="11.25" customHeight="1">
      <c r="A39" s="3" t="s">
        <v>4726</v>
      </c>
      <c r="B39" s="3" t="s">
        <v>4727</v>
      </c>
    </row>
    <row r="40" spans="1:2" ht="11.25" customHeight="1">
      <c r="A40" s="3" t="s">
        <v>4728</v>
      </c>
      <c r="B40" s="3" t="s">
        <v>4729</v>
      </c>
    </row>
    <row r="41" spans="1:2" ht="11.25" customHeight="1">
      <c r="A41" s="3" t="s">
        <v>4730</v>
      </c>
      <c r="B41" s="3" t="s">
        <v>4731</v>
      </c>
    </row>
    <row r="42" spans="1:2" ht="11.25" customHeight="1">
      <c r="A42" s="3" t="s">
        <v>4732</v>
      </c>
      <c r="B42" s="3" t="s">
        <v>4733</v>
      </c>
    </row>
    <row r="43" spans="1:2" ht="11.25" customHeight="1">
      <c r="A43" s="3" t="s">
        <v>4734</v>
      </c>
      <c r="B43" s="3" t="s">
        <v>4735</v>
      </c>
    </row>
    <row r="44" spans="1:2" ht="11.25" customHeight="1">
      <c r="A44" s="3" t="s">
        <v>4736</v>
      </c>
      <c r="B44" s="3" t="s">
        <v>4737</v>
      </c>
    </row>
    <row r="45" spans="1:2" ht="11.25" customHeight="1">
      <c r="A45" s="3" t="s">
        <v>4738</v>
      </c>
      <c r="B45" s="3" t="s">
        <v>4739</v>
      </c>
    </row>
    <row r="46" spans="1:2" ht="11.25" customHeight="1">
      <c r="A46" s="3" t="s">
        <v>4740</v>
      </c>
      <c r="B46" s="3" t="s">
        <v>4741</v>
      </c>
    </row>
    <row r="47" spans="1:2" ht="11.25" customHeight="1">
      <c r="A47" s="3" t="s">
        <v>4742</v>
      </c>
      <c r="B47" s="3" t="s">
        <v>4743</v>
      </c>
    </row>
    <row r="48" spans="1:2" ht="11.25" customHeight="1">
      <c r="A48" s="3" t="s">
        <v>4744</v>
      </c>
      <c r="B48" s="3" t="s">
        <v>4745</v>
      </c>
    </row>
    <row r="49" spans="1:2" ht="11.25" customHeight="1">
      <c r="A49" s="3" t="s">
        <v>4746</v>
      </c>
      <c r="B49" s="3" t="s">
        <v>4747</v>
      </c>
    </row>
    <row r="50" spans="1:2" ht="11.25" customHeight="1">
      <c r="A50" s="3" t="s">
        <v>4748</v>
      </c>
      <c r="B50" s="3" t="s">
        <v>4749</v>
      </c>
    </row>
    <row r="51" spans="1:2" ht="11.25" customHeight="1">
      <c r="A51" s="3" t="s">
        <v>4750</v>
      </c>
      <c r="B51" s="3" t="s">
        <v>4751</v>
      </c>
    </row>
    <row r="52" spans="1:2" ht="11.25" customHeight="1">
      <c r="A52" s="3" t="s">
        <v>4752</v>
      </c>
      <c r="B52" s="3" t="s">
        <v>4753</v>
      </c>
    </row>
    <row r="53" spans="1:2" ht="11.25" customHeight="1">
      <c r="A53" s="3" t="s">
        <v>4754</v>
      </c>
      <c r="B53" s="3" t="s">
        <v>4755</v>
      </c>
    </row>
    <row r="54" spans="1:2" ht="11.25" customHeight="1">
      <c r="A54" s="3" t="s">
        <v>4756</v>
      </c>
      <c r="B54" s="3" t="s">
        <v>4757</v>
      </c>
    </row>
    <row r="55" spans="1:2" ht="11.25" customHeight="1">
      <c r="A55" s="3" t="s">
        <v>4758</v>
      </c>
      <c r="B55" s="3" t="s">
        <v>4759</v>
      </c>
    </row>
    <row r="56" spans="1:2" ht="11.25" customHeight="1">
      <c r="A56" s="3" t="s">
        <v>4760</v>
      </c>
      <c r="B56" s="3" t="s">
        <v>4761</v>
      </c>
    </row>
    <row r="57" spans="1:2" ht="11.25" customHeight="1">
      <c r="A57" s="3" t="s">
        <v>4762</v>
      </c>
      <c r="B57" s="3" t="s">
        <v>4763</v>
      </c>
    </row>
    <row r="58" spans="1:2" ht="11.25" customHeight="1">
      <c r="A58" s="3" t="s">
        <v>4764</v>
      </c>
      <c r="B58" s="3" t="s">
        <v>4765</v>
      </c>
    </row>
    <row r="59" spans="1:2" ht="11.25" customHeight="1">
      <c r="A59" s="3" t="s">
        <v>4766</v>
      </c>
      <c r="B59" s="3" t="s">
        <v>4767</v>
      </c>
    </row>
    <row r="60" spans="1:2" ht="11.25" customHeight="1">
      <c r="A60" s="3" t="s">
        <v>4768</v>
      </c>
      <c r="B60" s="3" t="s">
        <v>4769</v>
      </c>
    </row>
    <row r="61" spans="1:2" ht="11.25" customHeight="1">
      <c r="A61" s="3"/>
      <c r="B61" s="3" t="s">
        <v>4770</v>
      </c>
    </row>
    <row r="62" spans="1:2" ht="11.25" customHeight="1">
      <c r="A62" s="3"/>
      <c r="B62" s="3" t="s">
        <v>4771</v>
      </c>
    </row>
    <row r="63" spans="1:2" ht="11.25" customHeight="1">
      <c r="A63" s="3"/>
      <c r="B63" s="3" t="s">
        <v>4772</v>
      </c>
    </row>
    <row r="64" spans="1:2" ht="11.25" customHeight="1">
      <c r="A64" s="3"/>
      <c r="B64" s="3" t="s">
        <v>4773</v>
      </c>
    </row>
    <row r="65" spans="1:2" ht="11.25" customHeight="1">
      <c r="A65" s="3"/>
      <c r="B65" s="3" t="s">
        <v>4774</v>
      </c>
    </row>
    <row r="66" spans="1:2" ht="11.25" customHeight="1">
      <c r="A66" s="3"/>
      <c r="B66" s="3" t="s">
        <v>4775</v>
      </c>
    </row>
    <row r="67" spans="1:2" ht="11.25" customHeight="1">
      <c r="A67" s="3"/>
      <c r="B67" s="3" t="s">
        <v>4776</v>
      </c>
    </row>
    <row r="68" spans="1:2" ht="11.25" customHeight="1">
      <c r="A68" s="3"/>
      <c r="B68" s="3" t="s">
        <v>4777</v>
      </c>
    </row>
    <row r="69" spans="1:2" ht="11.25" customHeight="1">
      <c r="A69" s="3"/>
      <c r="B69" s="3" t="s">
        <v>4778</v>
      </c>
    </row>
    <row r="70" spans="1:2" ht="11.25" customHeight="1">
      <c r="A70" s="3"/>
      <c r="B70" s="3" t="s">
        <v>4779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14" customWidth="1"/>
    <col min="2" max="2" width="90.7109375" style="2114" customWidth="1"/>
    <col min="3" max="4" width="9.140625" style="2114"/>
  </cols>
  <sheetData>
    <row r="1" spans="2:4" ht="11.25" customHeight="1">
      <c r="B1" s="33" t="s">
        <v>4780</v>
      </c>
    </row>
    <row r="2" spans="2:4" ht="90" customHeight="1">
      <c r="B2" s="34" t="s">
        <v>4781</v>
      </c>
    </row>
    <row r="3" spans="2:4" ht="67.5" customHeight="1">
      <c r="B3" s="34" t="s">
        <v>4782</v>
      </c>
    </row>
    <row r="4" spans="2:4" ht="33.75" customHeight="1">
      <c r="B4" s="34" t="s">
        <v>4783</v>
      </c>
    </row>
    <row r="5" spans="2:4" ht="11.25" customHeight="1">
      <c r="B5" s="34" t="s">
        <v>4784</v>
      </c>
    </row>
    <row r="6" spans="2:4" ht="22.5" customHeight="1">
      <c r="B6" s="34" t="s">
        <v>4785</v>
      </c>
    </row>
    <row r="7" spans="2:4" ht="22.5" customHeight="1">
      <c r="B7" s="34" t="s">
        <v>4786</v>
      </c>
    </row>
    <row r="8" spans="2:4" ht="22.5" customHeight="1">
      <c r="B8" s="34" t="s">
        <v>4787</v>
      </c>
    </row>
    <row r="9" spans="2:4" ht="22.5" customHeight="1">
      <c r="B9" s="34" t="s">
        <v>4788</v>
      </c>
    </row>
    <row r="10" spans="2:4" ht="56.25" customHeight="1">
      <c r="B10" s="34" t="s">
        <v>4789</v>
      </c>
    </row>
    <row r="11" spans="2:4" ht="12.75" customHeight="1">
      <c r="B11" s="97" t="s">
        <v>4790</v>
      </c>
    </row>
    <row r="12" spans="2:4" ht="11.25" customHeight="1">
      <c r="B12" s="33" t="s">
        <v>4791</v>
      </c>
    </row>
    <row r="13" spans="2:4" ht="22.5" customHeight="1">
      <c r="B13" s="34" t="s">
        <v>4792</v>
      </c>
    </row>
    <row r="14" spans="2:4" ht="67.5" customHeight="1">
      <c r="B14" s="34" t="s">
        <v>4793</v>
      </c>
    </row>
    <row r="15" spans="2:4" ht="22.5" customHeight="1">
      <c r="B15" s="34" t="s">
        <v>4794</v>
      </c>
    </row>
    <row r="16" spans="2:4" ht="11.25" customHeight="1">
      <c r="B16" s="33" t="s">
        <v>4795</v>
      </c>
      <c r="D16" s="40"/>
    </row>
    <row r="17" spans="1:2" ht="33.75" customHeight="1">
      <c r="B17" s="34" t="s">
        <v>4796</v>
      </c>
    </row>
    <row r="18" spans="1:2" ht="33.75" customHeight="1">
      <c r="B18" s="34" t="s">
        <v>4797</v>
      </c>
    </row>
    <row r="19" spans="1:2" ht="11.25" customHeight="1">
      <c r="B19" s="34" t="s">
        <v>4798</v>
      </c>
    </row>
    <row r="20" spans="1:2" ht="33.75" customHeight="1">
      <c r="B20" s="34" t="s">
        <v>4799</v>
      </c>
    </row>
    <row r="21" spans="1:2" ht="11.25" customHeight="1">
      <c r="B21" s="33" t="s">
        <v>4800</v>
      </c>
    </row>
    <row r="22" spans="1:2" ht="11.25" customHeight="1">
      <c r="B22" s="34" t="s">
        <v>4801</v>
      </c>
    </row>
    <row r="24" spans="1:2" ht="22.5" customHeight="1">
      <c r="B24" s="99" t="s">
        <v>4802</v>
      </c>
    </row>
    <row r="26" spans="1:2" ht="11.25" customHeight="1">
      <c r="B26" s="33" t="s">
        <v>4803</v>
      </c>
    </row>
    <row r="27" spans="1:2" ht="22.5" customHeight="1">
      <c r="B27" s="98" t="s">
        <v>393</v>
      </c>
    </row>
    <row r="28" spans="1:2" ht="56.25" customHeight="1">
      <c r="B28" s="98" t="s">
        <v>4804</v>
      </c>
    </row>
    <row r="29" spans="1:2" ht="11.25" customHeight="1">
      <c r="B29" s="147" t="s">
        <v>4805</v>
      </c>
    </row>
    <row r="30" spans="1:2" ht="22.5" customHeight="1">
      <c r="B30" s="98" t="s">
        <v>4806</v>
      </c>
    </row>
    <row r="32" spans="1:2" ht="11.25" customHeight="1">
      <c r="A32" s="125"/>
      <c r="B32" s="126" t="s">
        <v>4807</v>
      </c>
    </row>
    <row r="33" spans="1:2" ht="14.25" customHeight="1">
      <c r="A33" s="127">
        <v>1</v>
      </c>
      <c r="B33" s="128" t="s">
        <v>4808</v>
      </c>
    </row>
    <row r="34" spans="1:2" ht="14.25" customHeight="1">
      <c r="A34" s="127">
        <v>2</v>
      </c>
      <c r="B34" s="128" t="s">
        <v>4809</v>
      </c>
    </row>
    <row r="35" spans="1:2" ht="11.25" customHeight="1">
      <c r="B35" s="126" t="s">
        <v>4810</v>
      </c>
    </row>
    <row r="36" spans="1:2" ht="11.25" customHeight="1">
      <c r="B36" s="128" t="s">
        <v>4811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71" hidden="1" customWidth="1"/>
    <col min="2" max="2" width="9.140625" style="2062" hidden="1" customWidth="1"/>
    <col min="3" max="3" width="3" style="2079" customWidth="1"/>
    <col min="4" max="4" width="5" style="2062" customWidth="1"/>
    <col min="5" max="5" width="38" style="2062" customWidth="1"/>
    <col min="6" max="7" width="3" style="2062" customWidth="1"/>
    <col min="8" max="8" width="38" style="2062" customWidth="1"/>
    <col min="9" max="9" width="35" style="2062" customWidth="1"/>
    <col min="10" max="10" width="103" style="2062" customWidth="1"/>
    <col min="11" max="11" width="3" style="2022" customWidth="1"/>
    <col min="12" max="14" width="10" style="2034" customWidth="1"/>
    <col min="15" max="15" width="13" style="2034" customWidth="1"/>
    <col min="16" max="16" width="15" style="2034" customWidth="1"/>
    <col min="17" max="17" width="16" style="2034" customWidth="1"/>
    <col min="18" max="21" width="10" style="2034" customWidth="1"/>
    <col min="22" max="22" width="10.5703125" style="2062" hidden="1"/>
  </cols>
  <sheetData>
    <row r="1" spans="1:22" ht="22.5" hidden="1" customHeight="1">
      <c r="E1" s="348"/>
      <c r="F1" s="348"/>
      <c r="G1" s="348"/>
      <c r="H1" s="2434" t="s">
        <v>349</v>
      </c>
      <c r="I1" s="2434"/>
      <c r="V1" s="1525" t="s">
        <v>14</v>
      </c>
    </row>
    <row r="2" spans="1:22" s="2062" customFormat="1" ht="14.25" hidden="1" customHeight="1">
      <c r="C2" s="1537"/>
      <c r="D2" s="2438" t="s">
        <v>108</v>
      </c>
      <c r="E2" s="2440"/>
      <c r="F2" s="1543"/>
      <c r="G2" s="1538" t="s">
        <v>108</v>
      </c>
      <c r="H2" s="1541"/>
      <c r="I2" s="1539"/>
      <c r="L2" s="1540"/>
      <c r="M2" s="1540"/>
      <c r="N2" s="1540"/>
      <c r="O2" s="1540" t="s">
        <v>379</v>
      </c>
      <c r="P2" s="1540"/>
      <c r="Q2" s="1540"/>
      <c r="R2" s="1542" t="s">
        <v>378</v>
      </c>
      <c r="S2" s="1542" t="s">
        <v>378</v>
      </c>
      <c r="T2" s="1540"/>
      <c r="U2" s="1540"/>
      <c r="V2" s="1536">
        <v>0</v>
      </c>
    </row>
    <row r="3" spans="1:22" s="2062" customFormat="1" ht="14.25" hidden="1" customHeight="1">
      <c r="C3" s="1537"/>
      <c r="D3" s="2439"/>
      <c r="E3" s="2441"/>
      <c r="F3" s="341"/>
      <c r="G3" s="795"/>
      <c r="H3" s="795" t="s">
        <v>380</v>
      </c>
      <c r="I3" s="250"/>
      <c r="L3" s="1540"/>
      <c r="M3" s="1540"/>
      <c r="N3" s="1540"/>
      <c r="O3" s="1540"/>
      <c r="P3" s="1540"/>
      <c r="Q3" s="1540"/>
      <c r="R3" s="1542"/>
      <c r="S3" s="1542"/>
      <c r="T3" s="1540"/>
      <c r="U3" s="1540"/>
      <c r="V3" s="1536">
        <v>0</v>
      </c>
    </row>
    <row r="4" spans="1:22" ht="14.25" hidden="1" customHeight="1">
      <c r="V4" s="1525">
        <v>0</v>
      </c>
    </row>
    <row r="5" spans="1:22" s="2020" customFormat="1" ht="5.25" customHeight="1">
      <c r="C5" s="637"/>
      <c r="D5" s="638"/>
      <c r="E5" s="638"/>
      <c r="F5" s="638"/>
      <c r="G5" s="638"/>
      <c r="H5" s="638" t="s">
        <v>353</v>
      </c>
      <c r="I5" s="638"/>
      <c r="J5" s="638"/>
      <c r="L5" s="1532"/>
      <c r="M5" s="1532"/>
      <c r="N5" s="1532"/>
      <c r="O5" s="1532"/>
      <c r="P5" s="1532"/>
      <c r="Q5" s="1532"/>
      <c r="R5" s="1532"/>
      <c r="S5" s="1532"/>
      <c r="T5" s="1532"/>
      <c r="U5" s="1532"/>
      <c r="V5" s="1531">
        <v>5</v>
      </c>
    </row>
    <row r="6" spans="1:22" ht="29.25" customHeight="1">
      <c r="C6" s="1434"/>
      <c r="D6" s="2437" t="s">
        <v>381</v>
      </c>
      <c r="E6" s="2437"/>
      <c r="F6" s="2437"/>
      <c r="G6" s="2437"/>
      <c r="H6" s="2437"/>
      <c r="I6" s="2437"/>
      <c r="J6" s="427"/>
      <c r="K6" s="1533"/>
      <c r="V6" s="1525">
        <v>28</v>
      </c>
    </row>
    <row r="7" spans="1:22" ht="18" customHeight="1">
      <c r="C7" s="1434"/>
      <c r="D7" s="2409" t="str">
        <f>IF(org=0,"Не определено",org)</f>
        <v>ПАО "ТГК-1" филиал "Невский"</v>
      </c>
      <c r="E7" s="2409"/>
      <c r="F7" s="2409"/>
      <c r="G7" s="2409"/>
      <c r="H7" s="2409"/>
      <c r="I7" s="2409"/>
      <c r="J7" s="427"/>
      <c r="K7" s="1533"/>
      <c r="V7" s="1525">
        <v>17</v>
      </c>
    </row>
    <row r="8" spans="1:22" s="2021"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021"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2422" t="s">
        <v>297</v>
      </c>
      <c r="E10" s="2435"/>
      <c r="F10" s="2435"/>
      <c r="G10" s="2435"/>
      <c r="H10" s="2435"/>
      <c r="I10" s="2435"/>
      <c r="J10" s="2385" t="s">
        <v>298</v>
      </c>
      <c r="V10" s="1525">
        <v>14</v>
      </c>
    </row>
    <row r="11" spans="1:22" ht="27.4" customHeight="1">
      <c r="C11" s="1434"/>
      <c r="D11" s="2328" t="s">
        <v>90</v>
      </c>
      <c r="E11" s="2385" t="s">
        <v>104</v>
      </c>
      <c r="F11" s="2388" t="s">
        <v>90</v>
      </c>
      <c r="G11" s="2389"/>
      <c r="H11" s="2387" t="s">
        <v>382</v>
      </c>
      <c r="I11" s="2387" t="s">
        <v>383</v>
      </c>
      <c r="J11" s="2385"/>
      <c r="V11" s="1525">
        <v>26</v>
      </c>
    </row>
    <row r="12" spans="1:22" ht="14.65" customHeight="1">
      <c r="C12" s="1434"/>
      <c r="D12" s="2328"/>
      <c r="E12" s="2385"/>
      <c r="F12" s="2393"/>
      <c r="G12" s="2394"/>
      <c r="H12" s="2442"/>
      <c r="I12" s="2442"/>
      <c r="J12" s="2385"/>
      <c r="V12" s="1525">
        <v>14</v>
      </c>
    </row>
    <row r="13" spans="1:22" s="2028" customFormat="1" ht="11.25" hidden="1" customHeight="1">
      <c r="C13" s="434"/>
      <c r="D13" s="435" t="s">
        <v>373</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2438" t="s">
        <v>108</v>
      </c>
      <c r="E14" s="2440"/>
      <c r="F14" s="1535"/>
      <c r="G14" s="1534" t="s">
        <v>108</v>
      </c>
      <c r="H14" s="1541"/>
      <c r="I14" s="1539"/>
      <c r="J14" s="2372" t="s">
        <v>384</v>
      </c>
      <c r="K14" s="1525"/>
      <c r="R14" s="436" t="s">
        <v>378</v>
      </c>
      <c r="S14" s="436" t="s">
        <v>378</v>
      </c>
      <c r="V14" s="1525">
        <v>14</v>
      </c>
    </row>
    <row r="15" spans="1:22" ht="14.65" customHeight="1">
      <c r="A15" s="1525"/>
      <c r="C15" s="1434"/>
      <c r="D15" s="2439"/>
      <c r="E15" s="2441"/>
      <c r="F15" s="341"/>
      <c r="G15" s="795"/>
      <c r="H15" s="795" t="s">
        <v>380</v>
      </c>
      <c r="I15" s="250"/>
      <c r="J15" s="2373"/>
      <c r="K15" s="1525"/>
      <c r="R15" s="436"/>
      <c r="S15" s="436"/>
      <c r="V15" s="1525">
        <v>14</v>
      </c>
    </row>
    <row r="16" spans="1:22" ht="14.65" customHeight="1">
      <c r="A16" s="1525"/>
      <c r="C16" s="1434"/>
      <c r="D16" s="341"/>
      <c r="E16" s="795" t="s">
        <v>120</v>
      </c>
      <c r="F16" s="250"/>
      <c r="G16" s="250"/>
      <c r="H16" s="342"/>
      <c r="I16" s="342"/>
      <c r="J16" s="2374"/>
      <c r="K16" s="1525"/>
      <c r="V16" s="1525">
        <v>14</v>
      </c>
    </row>
    <row r="17" spans="1:22" ht="14.65" customHeight="1">
      <c r="K17" s="1525"/>
      <c r="V17" s="1525">
        <v>14</v>
      </c>
    </row>
    <row r="18" spans="1:22" ht="22.5" hidden="1" customHeight="1">
      <c r="A18" s="1526" t="s">
        <v>84</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Клементьева Наталья Александровна</cp:lastModifiedBy>
  <cp:lastPrinted>2013-08-29T08:11:20Z</cp:lastPrinted>
  <dcterms:created xsi:type="dcterms:W3CDTF">2004-05-21T07:18:45Z</dcterms:created>
  <dcterms:modified xsi:type="dcterms:W3CDTF">2025-12-22T11:30:57Z</dcterms:modified>
</cp:coreProperties>
</file>