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pt_cs_30">'ТС. Т-ТЭ | &gt;=25МВт'!#REF!</definedName>
    <definedName name="pt_ist_te_30">'ТС. Т-ТЭ | &gt;=25МВт'!#REF!</definedName>
    <definedName name="pt_ntar_30">'ТС. Т-ТЭ | &gt;=25МВт'!$57:$70</definedName>
    <definedName name="pt_ter_31">'ТС. Т-ТЭ | &gt;=25МВт'!$58:$69</definedName>
    <definedName name="pt_cs_31">'ТС. Т-ТЭ | &gt;=25МВт'!$59:$68</definedName>
    <definedName name="pt_ist_te_31">'ТС. Т-ТЭ | &gt;=25МВт'!$60:$67</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<sst xmlns="http://schemas.openxmlformats.org/spreadsheetml/2006/main" count="17641" uniqueCount="4123">
  <si>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</si>
  <si>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</si>
  <si>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</si>
  <si>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</si>
  <si>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</si>
  <si>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</si>
  <si>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</si>
  <si>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</si>
  <si>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</si>
  <si>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</si>
  <si>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</si>
  <si>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</si>
  <si>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</si>
  <si>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</si>
  <si>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</si>
  <si>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</si>
  <si>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</si>
  <si>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</si>
  <si>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</si>
  <si>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</si>
  <si>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</si>
  <si>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</si>
  <si>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</si>
  <si>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</si>
  <si>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</si>
  <si>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</si>
  <si>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</si>
  <si>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</si>
  <si>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</si>
  <si>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</si>
  <si>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</si>
  <si>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</si>
  <si>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</si>
  <si>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</si>
  <si>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</si>
  <si>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</si>
  <si>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</si>
  <si>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</si>
  <si>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</si>
  <si>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</si>
  <si>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</si>
  <si>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</si>
  <si>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</si>
  <si>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</si>
  <si>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</si>
  <si>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</si>
  <si>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</si>
  <si>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</si>
  <si>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</si>
  <si>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</si>
  <si>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</si>
  <si>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</si>
  <si>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</si>
  <si>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</si>
  <si>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</si>
  <si>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</si>
  <si>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</si>
  <si>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</si>
  <si>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</si>
  <si>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</si>
  <si>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</si>
  <si>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</si>
  <si>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</si>
  <si>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</si>
  <si>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</si>
  <si>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</si>
  <si>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</si>
  <si>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</si>
  <si>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</si>
  <si>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</si>
  <si>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</si>
  <si>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</si>
  <si>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</si>
  <si>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</si>
  <si>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</si>
  <si>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</si>
  <si>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</si>
  <si>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</si>
  <si>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</si>
  <si>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</si>
  <si>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</si>
  <si>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</si>
  <si>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</si>
  <si>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</si>
  <si>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</si>
  <si>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</si>
  <si>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</si>
  <si>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</si>
  <si>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</si>
  <si>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</si>
  <si>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</si>
  <si>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</si>
  <si>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</si>
  <si>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</si>
  <si>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</si>
  <si>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</si>
  <si>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</si>
  <si>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</si>
  <si>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</si>
  <si>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</si>
  <si>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</si>
  <si>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</si>
  <si>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</si>
  <si>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</si>
  <si>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</si>
  <si>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</si>
  <si>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</si>
  <si>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</si>
  <si>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</si>
  <si>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</si>
  <si>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</si>
  <si>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</si>
  <si>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</si>
  <si>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</si>
  <si>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</si>
  <si>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</si>
  <si>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</si>
  <si>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</si>
  <si>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</si>
  <si>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</si>
  <si>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</si>
  <si>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</si>
  <si>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</si>
  <si>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</si>
  <si>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</si>
  <si>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</si>
  <si>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</si>
  <si>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</si>
  <si>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</si>
  <si>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</si>
  <si>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</si>
  <si>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</si>
  <si>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</si>
  <si>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</si>
  <si>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</si>
  <si>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</si>
  <si>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</si>
  <si>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</si>
  <si>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</si>
  <si>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</si>
  <si>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</si>
  <si>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</si>
  <si>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</si>
  <si>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</si>
  <si>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</si>
  <si>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</si>
  <si>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</si>
  <si>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</si>
  <si>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</si>
  <si>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</si>
  <si>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</si>
  <si>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</si>
  <si>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</si>
  <si>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</si>
  <si>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</si>
  <si>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</si>
  <si>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</si>
  <si>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</si>
  <si>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</si>
  <si>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</si>
  <si>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</si>
  <si>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</si>
  <si>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</si>
  <si>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</si>
  <si>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</si>
  <si>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</si>
  <si>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</si>
  <si>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</si>
  <si>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без учета затрат на теплоноситель, 
поставляемую потребителям узла теплоснабжения ТЭЦ-21 и бойлерные ПАО "ТГК-1"</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</si>
  <si>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</si>
  <si>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</si>
  <si>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</si>
  <si>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</si>
  <si>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</si>
  <si>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</si>
  <si>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</si>
  <si>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</si>
  <si>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</si>
  <si>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поставляемую потребителям узла теплоснабжения ТЭЦ-5 ПАО "ТГК-1"</t>
  </si>
  <si>
    <t>pt_ntar_30</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</si>
  <si>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</si>
  <si>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</si>
  <si>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</si>
  <si>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</si>
  <si>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</si>
  <si>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</si>
  <si>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</si>
  <si>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</si>
  <si>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</si>
  <si>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</si>
  <si>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</si>
  <si>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узла теплоснабжения ТЭЦ-21 ПАО "ТГК-1"</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</si>
  <si>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</si>
  <si>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</si>
  <si>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</si>
  <si>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</si>
  <si>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</si>
  <si>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</si>
  <si>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</si>
  <si>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</si>
  <si>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</si>
  <si>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</si>
  <si>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</si>
  <si>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</si>
  <si>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</si>
  <si>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</si>
  <si>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</si>
  <si>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</si>
  <si>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</si>
  <si>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</si>
  <si>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</si>
  <si>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</si>
  <si>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</si>
  <si>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</si>
  <si>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</si>
  <si>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</si>
  <si>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</si>
  <si>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</si>
  <si>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</si>
  <si>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</si>
  <si>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</si>
  <si>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</si>
  <si>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</si>
  <si>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</si>
  <si>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</si>
  <si>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</si>
  <si>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</si>
  <si>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</si>
  <si>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</si>
  <si>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</si>
  <si>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</si>
  <si>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</si>
  <si>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</si>
  <si>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</si>
  <si>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</si>
  <si>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</si>
  <si>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</si>
  <si>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</si>
  <si>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</si>
  <si>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</si>
  <si>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</si>
  <si>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</si>
  <si>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</si>
  <si>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</si>
  <si>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</si>
  <si>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</si>
  <si>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</si>
  <si>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</si>
  <si>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</si>
  <si>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</si>
  <si>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</si>
  <si>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</si>
  <si>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</si>
  <si>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</si>
  <si>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</si>
  <si>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</si>
  <si>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</si>
  <si>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</si>
  <si>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</si>
  <si>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</si>
  <si>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</si>
  <si>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</si>
  <si>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</si>
  <si>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</si>
  <si>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</si>
  <si>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</si>
  <si>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</si>
  <si>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</si>
  <si>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</si>
  <si>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</si>
  <si>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</si>
  <si>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</si>
  <si>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</si>
  <si>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</si>
  <si>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</si>
  <si>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</si>
  <si>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</si>
  <si>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</si>
  <si>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</si>
  <si>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</si>
  <si>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</si>
  <si>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</si>
  <si>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</si>
  <si>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</si>
  <si>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</si>
  <si>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</si>
  <si>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</si>
  <si>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</si>
  <si>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</si>
  <si>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</si>
  <si>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</si>
  <si>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</si>
  <si>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</si>
  <si>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</si>
  <si>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</si>
  <si>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</si>
  <si>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</si>
  <si>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</si>
  <si>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</si>
  <si>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</si>
  <si>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</si>
  <si>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</si>
  <si>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</si>
  <si>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</si>
  <si>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</si>
  <si>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</si>
  <si>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</si>
  <si>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</si>
  <si>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</si>
  <si>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</si>
  <si>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</si>
  <si>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</si>
  <si>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</si>
  <si>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</si>
  <si>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</si>
  <si>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</si>
  <si>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</si>
  <si>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</si>
  <si>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</si>
  <si>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</si>
  <si>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</si>
  <si>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</si>
  <si>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</si>
  <si>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</si>
  <si>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</si>
  <si>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</si>
  <si>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</si>
  <si>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</si>
  <si>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</si>
  <si>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</si>
  <si>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</si>
  <si>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</si>
  <si>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</si>
  <si>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</si>
  <si>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</si>
  <si>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</si>
  <si>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</si>
  <si>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</si>
  <si>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</si>
  <si>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</si>
  <si>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</si>
  <si>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</si>
  <si>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</si>
  <si>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</si>
  <si>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</si>
  <si>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</si>
  <si>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</si>
  <si>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</si>
  <si>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</si>
  <si>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</si>
  <si>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</si>
  <si>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</si>
  <si>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</si>
  <si>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</si>
  <si>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</si>
  <si>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</si>
  <si>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</si>
  <si>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</si>
  <si>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</si>
  <si>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</si>
  <si>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</si>
  <si>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</si>
  <si>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</si>
  <si>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</si>
  <si>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</si>
  <si>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</si>
  <si>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</si>
  <si>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</si>
  <si>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</si>
  <si>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</si>
  <si>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</si>
  <si>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</si>
  <si>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</si>
  <si>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</si>
  <si>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</si>
  <si>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</si>
  <si>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</si>
  <si>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</si>
  <si>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</si>
  <si>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</si>
  <si>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</si>
  <si>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</si>
  <si>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</si>
  <si>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</si>
  <si>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</si>
  <si>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</si>
  <si>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</si>
  <si>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</si>
  <si>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</si>
  <si>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</si>
  <si>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</si>
  <si>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</si>
  <si>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</si>
  <si>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</si>
  <si>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</si>
  <si>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</si>
  <si>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</si>
  <si>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</si>
  <si>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</si>
  <si>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</si>
  <si>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</si>
  <si>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</si>
  <si>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</si>
  <si>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</si>
  <si>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</si>
  <si>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</si>
  <si>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</si>
  <si>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</si>
  <si>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</si>
  <si>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</si>
  <si>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</si>
  <si>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</si>
  <si>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</si>
  <si>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</si>
  <si>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</si>
  <si>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</si>
  <si>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</si>
  <si>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</si>
  <si>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</si>
  <si>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</si>
  <si>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</si>
  <si>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</si>
  <si>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</si>
  <si>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</si>
  <si>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</si>
  <si>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</si>
  <si>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</si>
  <si>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</si>
  <si>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</si>
  <si>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</si>
  <si>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</si>
  <si>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</si>
  <si>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</si>
  <si>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</si>
  <si>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</si>
  <si>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</si>
  <si>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</si>
  <si>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</si>
  <si>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</si>
  <si>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</si>
  <si>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</si>
  <si>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</si>
  <si>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</si>
  <si>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</si>
  <si>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</si>
  <si>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</si>
  <si>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</si>
  <si>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</si>
  <si>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</si>
  <si>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</si>
  <si>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</si>
  <si>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</si>
  <si>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</si>
  <si>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</si>
  <si>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</si>
  <si>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</si>
  <si>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</si>
  <si>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</si>
  <si>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</si>
  <si>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</si>
  <si>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</si>
  <si>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</si>
  <si>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</si>
  <si>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</si>
  <si>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</si>
  <si>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</si>
  <si>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</si>
  <si>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</si>
  <si>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</si>
  <si>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</si>
  <si>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</si>
  <si>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</si>
  <si>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</si>
  <si>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</si>
  <si>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</si>
  <si>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</si>
  <si>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</si>
  <si>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</si>
  <si>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</si>
  <si>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</si>
  <si>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</si>
  <si>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</si>
  <si>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</si>
  <si>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</si>
  <si>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</si>
  <si>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</si>
  <si>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</si>
  <si>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</si>
  <si>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</si>
  <si>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</si>
  <si>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</si>
  <si>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</si>
  <si>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</si>
  <si>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</si>
  <si>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</si>
  <si>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</si>
  <si>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</si>
  <si>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</si>
  <si>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</si>
  <si>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</si>
  <si>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</si>
  <si>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</si>
  <si>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</si>
  <si>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</si>
  <si>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</si>
  <si>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</si>
  <si>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</si>
  <si>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</si>
  <si>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</si>
  <si>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</si>
  <si>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</si>
  <si>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</si>
  <si>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</si>
  <si>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</si>
  <si>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</si>
  <si>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</si>
  <si>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</si>
  <si>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</si>
  <si>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</si>
  <si>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</si>
  <si>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</si>
  <si>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</si>
  <si>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</si>
  <si>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</si>
  <si>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</si>
  <si>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</si>
  <si>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</si>
  <si>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</si>
  <si>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</si>
  <si>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</si>
  <si>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</si>
  <si>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</si>
  <si>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</si>
  <si>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</si>
  <si>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</si>
  <si>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</si>
  <si>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</si>
  <si>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</si>
  <si>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</si>
  <si>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</si>
  <si>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</si>
  <si>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</si>
  <si>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</si>
  <si>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</si>
  <si>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</si>
  <si>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</si>
  <si>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</si>
  <si>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</si>
  <si>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</si>
  <si>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</si>
  <si>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</si>
  <si>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</si>
  <si>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</si>
  <si>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</si>
  <si>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</si>
  <si>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</si>
  <si>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</si>
  <si>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</si>
  <si>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</si>
  <si>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</si>
  <si>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</si>
  <si>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</si>
  <si>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</si>
  <si>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</si>
  <si>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</si>
  <si>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</si>
  <si>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</si>
  <si>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</si>
  <si>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</si>
  <si>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</si>
  <si>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</si>
  <si>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</si>
  <si>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</si>
  <si>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</si>
  <si>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</si>
  <si>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</si>
  <si>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</si>
  <si>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</si>
  <si>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</si>
  <si>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</si>
  <si>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</si>
  <si>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</si>
  <si>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</si>
  <si>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</si>
  <si>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</si>
  <si>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</si>
  <si>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</si>
  <si>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</si>
  <si>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</si>
  <si>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</si>
  <si>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</si>
  <si>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</si>
  <si>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</si>
  <si>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</si>
  <si>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</si>
  <si>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</si>
  <si>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</si>
  <si>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</si>
  <si>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</si>
  <si>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</si>
  <si>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</si>
  <si>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</si>
  <si>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</si>
  <si>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</si>
  <si>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</si>
  <si>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</si>
  <si>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</si>
  <si>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</si>
  <si>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</si>
  <si>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</si>
  <si>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</si>
  <si>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</si>
  <si>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</si>
  <si>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</si>
  <si>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</si>
  <si>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</si>
  <si>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</si>
  <si>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</si>
  <si>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</si>
  <si>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</si>
  <si>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</si>
  <si>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</si>
  <si>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</si>
  <si>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</si>
  <si>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</si>
  <si>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</si>
  <si>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</si>
  <si>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</si>
  <si>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</si>
  <si>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</si>
  <si>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</si>
  <si>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</si>
  <si>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</si>
  <si>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</si>
  <si>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</si>
  <si>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</si>
  <si>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</si>
  <si>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</si>
  <si>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</si>
  <si>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</si>
  <si>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</si>
  <si>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</si>
  <si>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</si>
  <si>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</si>
  <si>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</si>
  <si>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</si>
  <si>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</si>
  <si>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</si>
  <si>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</si>
  <si>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</si>
  <si>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</si>
  <si>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</si>
  <si>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</si>
  <si>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</si>
  <si>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</si>
  <si>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</si>
  <si>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</si>
  <si>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</si>
  <si>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</si>
  <si>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</si>
  <si>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</si>
  <si>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</si>
  <si>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</si>
  <si>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</si>
  <si>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</si>
  <si>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</si>
  <si>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</si>
  <si>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</si>
  <si>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</si>
  <si>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</si>
  <si>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</si>
  <si>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</si>
  <si>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</si>
  <si>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</si>
  <si>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</si>
  <si>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</si>
  <si>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</si>
  <si>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</si>
  <si>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</si>
  <si>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</si>
  <si>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</si>
  <si>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</si>
  <si>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</si>
  <si>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</si>
  <si>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</si>
  <si>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</si>
  <si>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</si>
  <si>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</si>
  <si>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</si>
  <si>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</si>
  <si>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</si>
  <si>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</si>
  <si>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</si>
  <si>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</si>
  <si>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</si>
  <si>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</si>
  <si>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</si>
  <si>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</si>
  <si>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</si>
  <si>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</si>
  <si>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</si>
  <si>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</si>
  <si>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</si>
  <si>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</si>
  <si>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</si>
  <si>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</si>
  <si>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</si>
  <si>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</si>
  <si>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</si>
  <si>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</si>
  <si>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</si>
  <si>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</si>
  <si>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</si>
  <si>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</si>
  <si>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</si>
  <si>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</si>
  <si>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</si>
  <si>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</si>
  <si>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</si>
  <si>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</si>
  <si>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</si>
  <si>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</si>
  <si>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</si>
  <si>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</si>
  <si>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</si>
  <si>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</si>
  <si>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</si>
  <si>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</si>
  <si>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</si>
  <si>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</si>
  <si>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</si>
  <si>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</si>
  <si>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</si>
  <si>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</si>
  <si>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</si>
  <si>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</si>
  <si>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</si>
  <si>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</si>
  <si>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</si>
  <si>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</si>
  <si>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</si>
  <si>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</si>
  <si>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</si>
  <si>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</si>
  <si>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</si>
  <si>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</si>
  <si>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</si>
  <si>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</si>
  <si>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</si>
  <si>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</si>
  <si>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</si>
  <si>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</si>
  <si>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</si>
  <si>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</si>
  <si>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</si>
  <si>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</si>
  <si>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</si>
  <si>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</si>
  <si>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</si>
  <si>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</si>
  <si>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</si>
  <si>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</si>
  <si>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</si>
  <si>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</si>
  <si>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</si>
  <si>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</si>
  <si>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</si>
  <si>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</si>
  <si>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</si>
  <si>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</si>
  <si>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</si>
  <si>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</si>
  <si>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</si>
  <si>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</si>
  <si>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</si>
  <si>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</si>
  <si>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</si>
  <si>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</si>
  <si>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</si>
  <si>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</si>
  <si>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</si>
  <si>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</si>
  <si>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</si>
  <si>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</si>
  <si>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</si>
  <si>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</si>
  <si>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</si>
  <si>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</si>
  <si>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</si>
  <si>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</si>
  <si>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</si>
  <si>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</si>
  <si>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</si>
  <si>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</si>
  <si>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</si>
  <si>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</si>
  <si>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</si>
  <si>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</si>
  <si>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</si>
  <si>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</si>
  <si>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</si>
  <si>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</si>
  <si>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</si>
  <si>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</si>
  <si>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</si>
  <si>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</si>
  <si>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</si>
  <si>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</si>
  <si>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</si>
  <si>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</si>
  <si>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</si>
  <si>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</si>
  <si>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</si>
  <si>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</si>
  <si>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</si>
  <si>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</si>
  <si>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</si>
  <si>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</si>
  <si>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</si>
  <si>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</si>
  <si>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</si>
  <si>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</si>
  <si>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</si>
  <si>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</si>
  <si>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</si>
  <si>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</si>
  <si>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</si>
  <si>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</si>
  <si>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</si>
  <si>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</si>
  <si>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</si>
  <si>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</si>
  <si>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</si>
  <si>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</si>
  <si>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</si>
  <si>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</si>
  <si>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</si>
  <si>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</si>
  <si>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</si>
  <si>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</si>
  <si>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</si>
  <si>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</si>
  <si>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</si>
  <si>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</si>
  <si>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</si>
  <si>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</si>
  <si>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</si>
  <si>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</si>
  <si>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</si>
  <si>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</si>
  <si>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</si>
  <si>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</si>
  <si>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</si>
  <si>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</si>
  <si>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</si>
  <si>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</si>
  <si>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</si>
  <si>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</si>
  <si>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</si>
  <si>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</si>
  <si>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</si>
  <si>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</si>
  <si>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</si>
  <si>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</si>
  <si>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</si>
  <si>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</si>
  <si>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</si>
  <si>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</si>
  <si>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</si>
  <si>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</si>
  <si>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</si>
  <si>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</si>
  <si>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</si>
  <si>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</si>
  <si>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</si>
  <si>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</si>
  <si>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</si>
  <si>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</si>
  <si>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</si>
  <si>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</si>
  <si>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</si>
  <si>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</si>
  <si>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</si>
  <si>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</si>
  <si>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</si>
  <si>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</si>
  <si>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</si>
  <si>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</si>
  <si>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</si>
  <si>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</si>
  <si>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</si>
  <si>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</si>
  <si>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</si>
  <si>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</si>
  <si>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</si>
  <si>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</si>
  <si>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</si>
  <si>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</si>
  <si>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</si>
  <si>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</si>
  <si>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</si>
  <si>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</si>
  <si>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</si>
  <si>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</si>
  <si>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</si>
  <si>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</si>
  <si>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</si>
  <si>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</si>
  <si>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</si>
  <si>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</si>
  <si>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</si>
  <si>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</si>
  <si>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</si>
  <si>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</si>
  <si>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</si>
  <si>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</si>
  <si>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</si>
  <si>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</si>
  <si>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</si>
  <si>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</si>
  <si>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</si>
  <si>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</si>
  <si>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</si>
  <si>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</si>
  <si>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</si>
  <si>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</si>
  <si>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</si>
  <si>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</si>
  <si>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</si>
  <si>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</si>
  <si>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</si>
  <si>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</si>
  <si>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</si>
  <si>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</si>
  <si>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</si>
  <si>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</si>
  <si>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</si>
  <si>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</si>
  <si>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</si>
  <si>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</si>
  <si>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</si>
  <si>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</si>
  <si>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</si>
  <si>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</si>
  <si>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</si>
  <si>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</si>
  <si>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</si>
  <si>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</si>
  <si>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</si>
  <si>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</si>
  <si>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</si>
  <si>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</si>
  <si>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</si>
  <si>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</si>
  <si>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</si>
  <si>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</si>
  <si>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</si>
  <si>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</si>
  <si>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</si>
  <si>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</si>
  <si>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</si>
  <si>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</si>
  <si>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</si>
  <si>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</si>
  <si>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</si>
  <si>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</si>
  <si>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</si>
  <si>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</si>
  <si>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</si>
  <si>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</si>
  <si>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</si>
  <si>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</si>
  <si>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</si>
  <si>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</si>
  <si>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</si>
  <si>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</si>
  <si>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</si>
  <si>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</si>
  <si>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</si>
  <si>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</si>
  <si>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</si>
  <si>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</si>
  <si>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</si>
  <si>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</si>
  <si>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</si>
  <si>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</si>
  <si>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</si>
  <si>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</si>
  <si>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</si>
  <si>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</si>
  <si>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</si>
  <si>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</si>
  <si>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</si>
  <si>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</si>
  <si>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</si>
  <si>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</si>
  <si>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</si>
  <si>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</si>
  <si>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</si>
  <si>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</si>
  <si>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</si>
  <si>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</si>
  <si>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</si>
  <si>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</si>
  <si>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</si>
  <si>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</si>
  <si>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</si>
  <si>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</si>
  <si>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</si>
  <si>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</si>
  <si>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</si>
  <si>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</si>
  <si>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</si>
  <si>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</si>
  <si>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</si>
  <si>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</si>
  <si>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</si>
  <si>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</si>
  <si>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</si>
  <si>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</si>
  <si>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</si>
  <si>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</si>
  <si>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</si>
  <si>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</si>
  <si>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</si>
  <si>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</si>
  <si>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</si>
  <si>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</si>
  <si>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</si>
  <si>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</si>
  <si>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</si>
  <si>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</si>
  <si>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</si>
  <si>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</si>
  <si>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</si>
  <si>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</si>
  <si>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</si>
  <si>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</si>
  <si>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</si>
  <si>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</si>
  <si>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</si>
  <si>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</si>
  <si>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</si>
  <si>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</si>
  <si>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</si>
  <si>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</si>
  <si>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</si>
  <si>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</si>
  <si>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</si>
  <si>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</si>
  <si>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</si>
  <si>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</si>
  <si>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</si>
  <si>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</si>
  <si>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</si>
  <si>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</si>
  <si>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</si>
  <si>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</si>
  <si>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</si>
  <si>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</si>
  <si>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</si>
  <si>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</si>
  <si>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</si>
  <si>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</si>
  <si>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</si>
  <si>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</si>
  <si>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</si>
  <si>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</si>
  <si>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</si>
  <si>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</si>
  <si>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</si>
  <si>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</si>
  <si>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</si>
  <si>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</si>
  <si>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</si>
  <si>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</si>
  <si>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</si>
  <si>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</si>
  <si>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</si>
  <si>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</si>
  <si>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</si>
  <si>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</si>
  <si>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</si>
  <si>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</si>
  <si>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</si>
  <si>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</si>
  <si>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</si>
  <si>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</si>
  <si>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</si>
  <si>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</si>
  <si>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</si>
  <si>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</si>
  <si>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</si>
  <si>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</si>
  <si>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</si>
  <si>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</si>
  <si>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</si>
  <si>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</si>
  <si>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</si>
  <si>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</si>
  <si>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</si>
  <si>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</si>
  <si>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</si>
  <si>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</si>
  <si>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</si>
  <si>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</si>
  <si>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</si>
  <si>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</si>
  <si>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</si>
  <si>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</si>
  <si>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</si>
  <si>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</si>
  <si>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</si>
  <si>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</si>
  <si>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</si>
  <si>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</si>
  <si>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</si>
  <si>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</si>
  <si>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</si>
  <si>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</si>
  <si>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</si>
  <si>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</si>
  <si>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</si>
  <si>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</si>
  <si>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</si>
  <si>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</si>
  <si>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</si>
  <si>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</si>
  <si>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</si>
  <si>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</si>
  <si>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</si>
  <si>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</si>
  <si>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</si>
  <si>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</si>
  <si>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</si>
  <si>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</si>
  <si>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</si>
  <si>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</si>
  <si>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</si>
  <si>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</si>
  <si>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</si>
  <si>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</si>
  <si>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</si>
  <si>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</si>
  <si>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</si>
  <si>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</si>
  <si>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</si>
  <si>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</si>
  <si>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</si>
  <si>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</si>
  <si>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</si>
  <si>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</si>
  <si>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</si>
  <si>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</si>
  <si>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</si>
  <si>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</si>
  <si>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</si>
  <si>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</si>
  <si>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</si>
  <si>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</si>
  <si>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</si>
  <si>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</si>
  <si>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</si>
  <si>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</si>
  <si>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</si>
  <si>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</si>
  <si>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</si>
  <si>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</si>
  <si>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</si>
  <si>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</si>
  <si>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</si>
  <si>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</si>
  <si>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</si>
  <si>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https://portal.eias.ru/Portal/DownloadPage.aspx?type=12&amp;guid=b41ed444-e8c0-42f4-acd2-aa3a387e6365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</si>
  <si>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</si>
  <si>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</si>
  <si>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</si>
  <si>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</si>
  <si>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</si>
  <si>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</si>
  <si>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</si>
  <si>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</si>
  <si>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https://zakupki.gov.ru/epz/orderplan/purchase-plan/card/common-info.html?id=988331&amp;infoId=9336259   https://www.tgc1.ru/tenders/program/</t>
  </si>
  <si>
    <t>Сведения о результатах проведения закупочных процедур</t>
  </si>
  <si>
    <t>https://zakupki.gov.ru/epz/order/extendedsearch/results.html?morphology=on&amp;search-filter=%D0%94%D0%B0%D1%82%D0%B5+%D1%80%D0%B0%D0%B7%D0%BC%D0%B5%D1%89%D0%B5%D0%BD%D0%B8%D1%8F&amp;pageNumber=1&amp;sortDirection=false&amp;recordsPerPage=_10&amp;showLotsInfoHidden=false&amp;sortBy=UPDATE_DATE&amp;fz44=on&amp;fz223=on&amp;currencyIdGeneral=-1&amp;customerIdOrg=%3A%D0%9F%D0%A3%D0%91%D0%9B%D0%98%D0%A7%D0%9D%D0%9E%D0%95+%D0%90%D0%9A%D0%A6%D0%98%D0%9E%D0%9D%D0%95%D0%A0%D0%9D%D0%9E%D0%95++%D0%9E%D0%91%D0%A9%D0%95%D0%A1%D0%A2%D0%92%D0%9E++%22%D0%A2%D0%95%D0%A0%D0%A0%D0%98%D0%A2%D0%9E%D0%A0%D0%98%D0%90%D0%9B%D0%AC%D0%9D%D0%90%D0%AF++%D0%93%D0%95%D0%9D%D0%95%D0%A0%D0%98%D0%A0%D0%A3%D0%AE%D0%A9%D0%90%D0%AF++%D0%9A%D0%9E%D0%9C%D0%9F%D0%90%D0%9D%D0%98%D0%AF+++%E2%84%961%22zZnullzZzZ5569zZ7841312071  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</si>
  <si>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</si>
  <si>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</si>
  <si>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</si>
  <si>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</si>
  <si>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</si>
  <si>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</si>
  <si>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</si>
  <si>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</si>
  <si>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</si>
  <si>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</si>
  <si>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</si>
  <si>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</si>
  <si>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</si>
  <si>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</si>
  <si>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</si>
  <si>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</si>
  <si>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</si>
  <si>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</si>
  <si>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</si>
  <si>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</si>
  <si>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</si>
  <si>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</si>
  <si>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</si>
  <si>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</si>
  <si>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</si>
  <si>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</si>
  <si>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</si>
  <si>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</si>
  <si>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</si>
  <si>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</si>
  <si>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</si>
  <si>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</si>
  <si>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</si>
  <si>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</si>
  <si>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</si>
  <si>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</si>
  <si>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</si>
  <si>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</si>
  <si>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</si>
  <si>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</si>
  <si>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</si>
  <si>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</si>
  <si>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</si>
  <si>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</si>
  <si>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</si>
  <si>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</si>
  <si>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</si>
  <si>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</si>
  <si>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</si>
  <si>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</si>
  <si>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</si>
  <si>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</si>
  <si>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</si>
  <si>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</si>
  <si>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</si>
  <si>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</si>
  <si>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</si>
  <si>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</si>
  <si>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</si>
  <si>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</si>
  <si>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</si>
  <si>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</si>
  <si>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</si>
  <si>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</si>
  <si>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</si>
  <si>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</si>
  <si>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</si>
  <si>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</si>
  <si>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</si>
  <si>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</si>
  <si>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</si>
  <si>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</si>
  <si>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</si>
  <si>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</si>
  <si>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</si>
  <si>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</si>
  <si>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</si>
  <si>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</si>
  <si>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</si>
  <si>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</si>
  <si>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</si>
  <si>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</si>
  <si>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</si>
  <si>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</si>
  <si>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</si>
  <si>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</si>
  <si>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</si>
  <si>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</si>
  <si>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</si>
  <si>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</si>
  <si>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</si>
  <si>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</si>
  <si>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</si>
  <si>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</si>
  <si>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</si>
  <si>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</si>
  <si>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</si>
  <si>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</si>
  <si>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</si>
  <si>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</si>
  <si>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</si>
  <si>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</si>
  <si>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</si>
  <si>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</si>
  <si>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</si>
  <si>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</si>
  <si>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</si>
  <si>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</si>
  <si>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</si>
  <si>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</si>
  <si>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</si>
  <si>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</si>
  <si>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</si>
  <si>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</si>
  <si>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</si>
  <si>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</si>
  <si>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</si>
  <si>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</si>
  <si>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</si>
  <si>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</si>
  <si>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</si>
  <si>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</si>
  <si>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</si>
  <si>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</si>
  <si>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</si>
  <si>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</si>
  <si>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</si>
  <si>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</si>
  <si>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</si>
  <si>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</si>
  <si>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</si>
  <si>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</si>
  <si>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</si>
  <si>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</si>
  <si>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</si>
  <si>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</si>
  <si>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</si>
  <si>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</si>
  <si>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</si>
  <si>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</si>
  <si>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</si>
  <si>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</si>
  <si>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</si>
  <si>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</si>
  <si>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</si>
  <si>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</si>
  <si>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</si>
  <si>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</si>
  <si>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</si>
  <si>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</si>
  <si>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</si>
  <si>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</si>
  <si>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</si>
  <si>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</si>
  <si>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</si>
  <si>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</si>
  <si>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</si>
  <si>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</si>
  <si>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</si>
  <si>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</si>
  <si>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</si>
  <si>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</si>
  <si>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</si>
  <si>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</si>
  <si>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</si>
  <si>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</si>
  <si>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</si>
  <si>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</si>
  <si>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</si>
  <si>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</si>
  <si>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</si>
  <si>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</si>
  <si>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</si>
  <si>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</si>
  <si>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</si>
  <si>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</si>
  <si>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</si>
  <si>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</si>
  <si>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</si>
  <si>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</si>
  <si>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</si>
  <si>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</si>
  <si>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</si>
  <si>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</si>
  <si>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</si>
  <si>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</si>
  <si>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</si>
  <si>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</si>
  <si>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</si>
  <si>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</si>
  <si>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</si>
  <si>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</si>
  <si>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</si>
  <si>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</si>
  <si>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</si>
  <si>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</si>
  <si>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</si>
  <si>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</si>
  <si>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</si>
  <si>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</si>
  <si>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</si>
  <si>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</si>
  <si>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</si>
  <si>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</si>
  <si>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</si>
  <si>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</si>
  <si>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</si>
  <si>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</si>
  <si>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</si>
  <si>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</si>
  <si>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</si>
  <si>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</si>
  <si>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</si>
  <si>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</si>
  <si>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</si>
  <si>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</si>
  <si>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</si>
  <si>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</si>
  <si>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</si>
  <si>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</si>
  <si>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</si>
  <si>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</si>
  <si>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</si>
  <si>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</si>
  <si>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</si>
  <si>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</si>
  <si>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</si>
  <si>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</si>
  <si>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</si>
  <si>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</si>
  <si>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</si>
  <si>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</si>
  <si>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</si>
  <si>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</si>
  <si>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</si>
  <si>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</si>
  <si>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</si>
  <si>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</si>
  <si>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</si>
  <si>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</si>
  <si>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</si>
  <si>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</si>
  <si>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</si>
  <si>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</si>
  <si>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</si>
  <si>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</si>
  <si>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</si>
  <si>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</si>
  <si>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</si>
  <si>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</si>
  <si>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</si>
  <si>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</si>
  <si>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</si>
  <si>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</si>
  <si>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</si>
  <si>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</si>
  <si>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</si>
  <si>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</si>
  <si>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</si>
  <si>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</si>
  <si>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</si>
  <si>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</si>
  <si>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</si>
  <si>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</si>
  <si>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</si>
  <si>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</si>
  <si>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</si>
  <si>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</si>
  <si>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</si>
  <si>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</si>
  <si>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</si>
  <si>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</si>
  <si>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</si>
  <si>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</si>
  <si>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</si>
  <si>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</si>
  <si>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</si>
  <si>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</si>
  <si>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</si>
  <si>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</si>
  <si>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</si>
  <si>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</si>
  <si>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</si>
  <si>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</si>
  <si>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</si>
  <si>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</si>
  <si>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</si>
  <si>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</si>
  <si>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</si>
  <si>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</si>
  <si>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</si>
  <si>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</si>
  <si>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</si>
  <si>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</si>
  <si>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</si>
  <si>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</si>
  <si>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</si>
  <si>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</si>
  <si>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</si>
  <si>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</si>
  <si>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</si>
  <si>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</si>
  <si>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</si>
  <si>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</si>
  <si>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</si>
  <si>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</si>
  <si>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</si>
  <si>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</si>
  <si>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</si>
  <si>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</si>
  <si>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</si>
  <si>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</si>
  <si>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</si>
  <si>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</si>
  <si>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</si>
  <si>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</si>
  <si>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</si>
  <si>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</si>
  <si>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</si>
  <si>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</si>
  <si>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</si>
  <si>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</si>
  <si>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</si>
  <si>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</si>
  <si>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</si>
  <si>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</si>
  <si>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</si>
  <si>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</si>
  <si>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</si>
  <si>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</si>
  <si>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</si>
  <si>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</si>
  <si>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</si>
  <si>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</si>
  <si>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</si>
  <si>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</si>
  <si>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</si>
  <si>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</si>
  <si>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</si>
  <si>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</si>
  <si>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</si>
  <si>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</si>
  <si>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</si>
  <si>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</si>
  <si>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</si>
  <si>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</si>
  <si>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</si>
  <si>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</si>
  <si>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</si>
  <si>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</si>
  <si>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</si>
  <si>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</si>
  <si>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</si>
  <si>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</si>
  <si>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</si>
  <si>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</si>
  <si>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</si>
  <si>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</si>
  <si>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</si>
  <si>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</si>
  <si>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</si>
  <si>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</si>
  <si>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</si>
  <si>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</si>
  <si>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</si>
  <si>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</si>
  <si>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</si>
  <si>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</si>
  <si>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</si>
  <si>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</si>
  <si>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</si>
  <si>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</si>
  <si>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</si>
  <si>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</si>
  <si>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</si>
  <si>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</si>
  <si>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</si>
  <si>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</si>
  <si>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</si>
  <si>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</si>
  <si>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</si>
  <si>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</si>
  <si>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</si>
  <si>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</si>
  <si>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</si>
  <si>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</si>
  <si>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</si>
  <si>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</si>
  <si>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</si>
  <si>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</si>
  <si>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</si>
  <si>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</si>
  <si>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</si>
  <si>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</si>
  <si>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</si>
  <si>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</si>
  <si>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</si>
  <si>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</si>
  <si>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</si>
  <si>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</si>
  <si>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</si>
  <si>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</si>
  <si>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</si>
  <si>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</si>
  <si>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</si>
  <si>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</si>
  <si>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</si>
  <si>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</si>
  <si>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</si>
  <si>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</si>
  <si>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</si>
  <si>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</si>
  <si>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</si>
  <si>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</si>
  <si>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</si>
  <si>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</si>
  <si>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</si>
  <si>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</si>
  <si>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</si>
  <si>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</si>
  <si>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</si>
  <si>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</si>
  <si>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</si>
  <si>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</si>
  <si>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</si>
  <si>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</si>
  <si>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</si>
  <si>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</si>
  <si>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</si>
  <si>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</si>
  <si>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</si>
  <si>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</si>
  <si>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</si>
  <si>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</si>
  <si>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</si>
  <si>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</si>
  <si>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</si>
  <si>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</si>
  <si>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</si>
  <si>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</si>
  <si>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</si>
  <si>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</si>
  <si>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</si>
  <si>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</si>
  <si>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</si>
  <si>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</si>
  <si>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</si>
  <si>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</si>
  <si>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</si>
  <si>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</si>
  <si>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</si>
  <si>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</si>
  <si>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</si>
  <si>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</si>
  <si>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</si>
  <si>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</si>
  <si>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</si>
  <si>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</si>
  <si>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</si>
  <si>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</si>
  <si>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</si>
  <si>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</si>
  <si>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</si>
  <si>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</si>
  <si>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</si>
  <si>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</si>
  <si>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</si>
  <si>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</si>
  <si>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</si>
  <si>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</si>
  <si>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</si>
  <si>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</si>
  <si>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</si>
  <si>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</si>
  <si>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</si>
  <si>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</si>
  <si>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</si>
  <si>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</si>
  <si>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</si>
  <si>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</si>
  <si>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</si>
  <si>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</si>
  <si>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</si>
  <si>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</si>
  <si>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</si>
  <si>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</si>
  <si>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</si>
  <si>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</si>
  <si>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</si>
  <si>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</si>
  <si>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</si>
  <si>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</si>
  <si>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</si>
  <si>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</si>
  <si>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</si>
  <si>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</si>
  <si>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</si>
  <si>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</si>
  <si>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</si>
  <si>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</si>
  <si>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</si>
  <si>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</si>
  <si>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</si>
  <si>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</si>
  <si>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</si>
  <si>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</si>
  <si>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</si>
  <si>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</si>
  <si>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</si>
  <si>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</si>
  <si>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</si>
  <si>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</si>
  <si>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</si>
  <si>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</si>
  <si>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</si>
  <si>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</si>
  <si>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</si>
  <si>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</si>
  <si>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</si>
  <si>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</si>
  <si>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</si>
  <si>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</si>
  <si>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</si>
  <si>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</si>
  <si>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</si>
  <si>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</si>
  <si>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</si>
  <si>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</si>
  <si>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</si>
  <si>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</si>
  <si>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</si>
  <si>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</si>
  <si>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</si>
  <si>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</si>
  <si>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</si>
  <si>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</si>
  <si>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</si>
  <si>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</si>
  <si>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</si>
  <si>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</si>
  <si>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</si>
  <si>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</si>
  <si>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</si>
  <si>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</si>
  <si>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</si>
  <si>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</si>
  <si>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</si>
  <si>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</si>
  <si>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</si>
  <si>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</si>
  <si>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</si>
  <si>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</si>
  <si>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</si>
  <si>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</si>
  <si>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</si>
  <si>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</si>
  <si>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</si>
  <si>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</si>
  <si>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</si>
  <si>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</si>
  <si>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</si>
  <si>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</si>
  <si>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</si>
  <si>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</si>
  <si>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</si>
  <si>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</si>
  <si>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</si>
  <si>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</si>
  <si>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</si>
  <si>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</si>
  <si>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</si>
  <si>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</si>
  <si>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</si>
  <si>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</si>
  <si>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</si>
  <si>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</si>
  <si>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</si>
  <si>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</si>
  <si>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</si>
  <si>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</si>
  <si>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</si>
  <si>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</si>
  <si>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</si>
  <si>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</si>
  <si>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</si>
  <si>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</si>
  <si>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</si>
  <si>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</si>
  <si>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</si>
  <si>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</si>
  <si>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</si>
  <si>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</si>
  <si>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</si>
  <si>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</si>
  <si>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</si>
  <si>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</si>
  <si>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</si>
  <si>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</si>
  <si>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</si>
  <si>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</si>
  <si>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</si>
  <si>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</si>
  <si>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</si>
  <si>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</si>
  <si>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</si>
  <si>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</si>
  <si>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</si>
  <si>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</si>
  <si>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</si>
  <si>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</si>
  <si>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</si>
  <si>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</si>
  <si>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</si>
  <si>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</si>
  <si>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</si>
  <si>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</si>
  <si>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</si>
  <si>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</si>
  <si>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</si>
  <si>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</si>
  <si>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</si>
  <si>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</si>
  <si>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</si>
  <si>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</si>
  <si>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</si>
  <si>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</si>
  <si>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</si>
  <si>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</si>
  <si>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</si>
  <si>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</si>
  <si>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</si>
  <si>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</si>
  <si>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</si>
  <si>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</si>
  <si>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</si>
  <si>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</si>
  <si>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</si>
  <si>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</si>
  <si>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</si>
  <si>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</si>
  <si>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</si>
  <si>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</si>
  <si>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</si>
  <si>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</si>
  <si>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</si>
  <si>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</si>
  <si>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</si>
  <si>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</si>
  <si>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</si>
  <si>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</si>
  <si>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</si>
  <si>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</si>
  <si>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</si>
  <si>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</si>
  <si>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</si>
  <si>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</si>
  <si>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</si>
  <si>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</si>
  <si>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</si>
  <si>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</si>
  <si>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</si>
  <si>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</si>
  <si>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</si>
  <si>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</si>
  <si>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</si>
  <si>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</si>
  <si>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</si>
  <si>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</si>
  <si>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</si>
  <si>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</si>
  <si>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</si>
  <si>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</si>
  <si>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</si>
  <si>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</si>
  <si>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</si>
  <si>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</si>
  <si>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</si>
  <si>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</si>
  <si>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</si>
  <si>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</si>
  <si>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</si>
  <si>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</si>
  <si>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</si>
  <si>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</si>
  <si>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</si>
  <si>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</si>
  <si>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</si>
  <si>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</si>
  <si>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</si>
  <si>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</si>
  <si>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</si>
  <si>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</si>
  <si>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</si>
  <si>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</si>
  <si>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</si>
  <si>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</si>
  <si>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</si>
  <si>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</si>
  <si>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</si>
  <si>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</si>
  <si>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</si>
  <si>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</si>
  <si>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</si>
  <si>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</si>
  <si>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</si>
  <si>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</si>
  <si>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</si>
  <si>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</si>
  <si>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</si>
  <si>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</si>
  <si>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</si>
  <si>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</si>
  <si>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</si>
  <si>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</si>
  <si>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</si>
  <si>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</si>
  <si>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</si>
  <si>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</si>
  <si>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</si>
  <si>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</si>
  <si>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</si>
  <si>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</si>
  <si>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</si>
  <si>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</si>
  <si>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</si>
  <si>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</si>
  <si>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</si>
  <si>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</si>
  <si>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</si>
  <si>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</si>
  <si>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</si>
  <si>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</si>
  <si>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</si>
  <si>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</si>
  <si>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</si>
  <si>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</si>
  <si>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</si>
  <si>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</si>
  <si>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</si>
  <si>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</si>
  <si>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</si>
  <si>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</si>
  <si>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</si>
  <si>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</si>
  <si>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</si>
  <si>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</si>
  <si>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</si>
  <si>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</si>
  <si>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</si>
  <si>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</si>
  <si>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</si>
  <si>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</si>
  <si>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</si>
  <si>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</si>
  <si>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</si>
  <si>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</si>
  <si>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</si>
  <si>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</si>
  <si>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</si>
  <si>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</si>
  <si>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</si>
  <si>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</si>
  <si>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</si>
  <si>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</si>
  <si>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</si>
  <si>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</si>
  <si>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</si>
  <si>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</si>
  <si>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</si>
  <si>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</si>
  <si>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</si>
  <si>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</si>
  <si>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</si>
  <si>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</si>
  <si>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</si>
  <si>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</si>
  <si>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</si>
  <si>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</si>
  <si>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</si>
  <si>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</si>
  <si>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</si>
  <si>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</si>
  <si>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</si>
  <si>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</si>
  <si>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</si>
  <si>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</si>
  <si>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</si>
  <si>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</si>
  <si>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</si>
  <si>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</si>
  <si>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</si>
  <si>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</si>
  <si>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</si>
  <si>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</si>
  <si>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</si>
  <si>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</si>
  <si>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</si>
  <si>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</si>
  <si>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</si>
  <si>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</si>
  <si>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</si>
  <si>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</si>
  <si>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</si>
  <si>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</si>
  <si>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</si>
  <si>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</si>
  <si>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</si>
  <si>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</si>
  <si>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</si>
  <si>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</si>
  <si>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</si>
  <si>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</si>
  <si>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</si>
  <si>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</si>
  <si>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</si>
  <si>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</si>
  <si>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</si>
  <si>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</si>
  <si>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</si>
  <si>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</si>
  <si>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</si>
  <si>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</si>
  <si>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</si>
  <si>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</si>
  <si>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</si>
  <si>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</si>
  <si>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</si>
  <si>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</si>
  <si>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</si>
  <si>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</si>
  <si>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</si>
  <si>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</si>
  <si>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</si>
  <si>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</si>
  <si>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</si>
  <si>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</si>
  <si>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</si>
  <si>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</si>
  <si>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</si>
  <si>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</si>
  <si>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</si>
  <si>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</si>
  <si>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</si>
  <si>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</si>
  <si>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</si>
  <si>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</si>
  <si>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</si>
  <si>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</si>
  <si>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</si>
  <si>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</si>
  <si>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</si>
  <si>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</si>
  <si>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</si>
  <si>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</si>
  <si>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</si>
  <si>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</si>
  <si>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</si>
  <si>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</si>
  <si>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</si>
  <si>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</si>
  <si>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</si>
  <si>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</si>
  <si>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</si>
  <si>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</si>
  <si>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</si>
  <si>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</si>
  <si>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</si>
  <si>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</si>
  <si>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</si>
  <si>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</si>
  <si>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</si>
  <si>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</si>
  <si>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</si>
  <si>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</si>
  <si>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</si>
  <si>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</si>
  <si>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</si>
  <si>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</si>
  <si>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</si>
  <si>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</si>
  <si>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</si>
  <si>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</si>
  <si>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</si>
  <si>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</si>
  <si>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</si>
  <si>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</si>
  <si>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</si>
  <si>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</si>
  <si>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</si>
  <si>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</si>
  <si>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</si>
  <si>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</si>
  <si>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</si>
  <si>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</si>
  <si>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</si>
  <si>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</si>
  <si>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</si>
  <si>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</si>
  <si>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</si>
  <si>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</si>
  <si>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</si>
  <si>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</si>
  <si>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</si>
  <si>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</si>
  <si>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</si>
  <si>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</si>
  <si>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</si>
  <si>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</si>
  <si>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</si>
  <si>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</si>
  <si>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</si>
  <si>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</si>
  <si>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</si>
  <si>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</si>
  <si>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</si>
  <si>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</si>
  <si>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</si>
  <si>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</si>
  <si>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</si>
  <si>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</si>
  <si>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</si>
  <si>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</si>
  <si>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</si>
  <si>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</si>
  <si>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</si>
  <si>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</si>
  <si>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</si>
  <si>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</si>
  <si>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</si>
  <si>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</si>
  <si>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</si>
  <si>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</si>
  <si>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</si>
  <si>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</si>
  <si>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</si>
  <si>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</si>
  <si>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</si>
  <si>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</si>
  <si>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</si>
  <si>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</si>
  <si>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</si>
  <si>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</si>
  <si>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</si>
  <si>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</si>
  <si>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</si>
  <si>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</si>
  <si>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</si>
  <si>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</si>
  <si>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</si>
  <si>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</si>
  <si>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</si>
  <si>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</si>
  <si>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</si>
  <si>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</si>
  <si>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</si>
  <si>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</si>
  <si>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</si>
  <si>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</si>
  <si>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</si>
  <si>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</si>
  <si>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</si>
  <si>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</si>
  <si>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</si>
  <si>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</si>
  <si>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</si>
  <si>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</si>
  <si>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</si>
  <si>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</si>
  <si>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</si>
  <si>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</si>
  <si>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</si>
  <si>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</si>
  <si>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</si>
  <si>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</si>
  <si>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</si>
  <si>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</si>
  <si>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</si>
  <si>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</si>
  <si>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</si>
  <si>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</si>
  <si>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</si>
  <si>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</si>
  <si>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</si>
  <si>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</si>
  <si>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</si>
  <si>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</si>
  <si>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</si>
  <si>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</si>
  <si>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</si>
  <si>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</si>
  <si>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</si>
  <si>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</si>
  <si>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</si>
  <si>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</si>
  <si>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</si>
  <si>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</si>
  <si>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</si>
  <si>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</si>
  <si>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</si>
  <si>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</si>
  <si>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</si>
  <si>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</si>
  <si>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</si>
  <si>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</si>
  <si>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</si>
  <si>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</si>
  <si>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</si>
  <si>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</si>
  <si>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</si>
  <si>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</si>
  <si>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</si>
  <si>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</si>
  <si>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</si>
  <si>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</si>
  <si>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</si>
  <si>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</si>
  <si>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</si>
  <si>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</si>
  <si>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</si>
  <si>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</si>
  <si>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</si>
  <si>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</si>
  <si>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</si>
  <si>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</si>
  <si>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</si>
  <si>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</si>
  <si>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</si>
  <si>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</si>
  <si>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</si>
  <si>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</si>
  <si>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</si>
  <si>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</si>
  <si>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</si>
  <si>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</si>
  <si>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</si>
  <si>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</si>
  <si>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</si>
  <si>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</si>
  <si>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</si>
  <si>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</si>
  <si>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</si>
  <si>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</si>
  <si>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</si>
  <si>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</si>
  <si>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</si>
  <si>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</si>
  <si>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</si>
  <si>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</si>
  <si>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</si>
  <si>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</si>
  <si>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</si>
  <si>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</si>
  <si>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</si>
  <si>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</si>
  <si>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</si>
  <si>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</si>
  <si>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</si>
  <si>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</si>
  <si>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</si>
  <si>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</si>
  <si>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</si>
  <si>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</si>
  <si>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</si>
  <si>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</si>
  <si>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</si>
  <si>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</si>
  <si>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</si>
  <si>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</si>
  <si>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</si>
  <si>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</si>
  <si>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</si>
  <si>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</si>
  <si>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</si>
  <si>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</si>
  <si>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</si>
  <si>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</si>
  <si>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</si>
  <si>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</si>
  <si>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</si>
  <si>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</si>
  <si>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</si>
  <si>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</si>
  <si>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</si>
  <si>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</si>
  <si>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</si>
  <si>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</si>
  <si>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</si>
  <si>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</si>
  <si>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</si>
  <si>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</si>
  <si>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</si>
  <si>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</si>
  <si>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</si>
  <si>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</si>
  <si>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</si>
  <si>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</si>
  <si>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</si>
  <si>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</si>
  <si>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</si>
  <si>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</si>
  <si>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</si>
  <si>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</si>
  <si>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</si>
  <si>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</si>
  <si>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</si>
  <si>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</si>
  <si>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</si>
  <si>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</si>
  <si>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</si>
  <si>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</si>
  <si>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</si>
  <si>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</si>
  <si>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</si>
  <si>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</si>
  <si>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</si>
  <si>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</si>
  <si>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</si>
  <si>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</si>
  <si>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</si>
  <si>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</si>
  <si>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</si>
  <si>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</si>
  <si>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</si>
  <si>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</si>
  <si>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</si>
  <si>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</si>
  <si>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</si>
  <si>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</si>
  <si>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</si>
  <si>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</si>
  <si>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</si>
  <si>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</si>
  <si>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</si>
  <si>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</si>
  <si>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</si>
  <si>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</si>
  <si>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</si>
  <si>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</si>
  <si>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</si>
  <si>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</si>
  <si>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</si>
  <si>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</si>
  <si>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</si>
  <si>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</si>
  <si>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</si>
  <si>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</si>
  <si>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</si>
  <si>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</si>
  <si>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</si>
  <si>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</si>
  <si>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</si>
  <si>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</si>
  <si>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</si>
  <si>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</si>
  <si>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</si>
  <si>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</si>
  <si>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</si>
  <si>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</si>
  <si>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</si>
  <si>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</si>
  <si>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</si>
  <si>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</si>
  <si>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</si>
  <si>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</si>
  <si>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</si>
  <si>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</si>
  <si>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</si>
  <si>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</si>
  <si>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</si>
  <si>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</si>
  <si>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</si>
  <si>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</si>
  <si>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</si>
  <si>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</si>
  <si>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</si>
  <si>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</si>
  <si>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</si>
  <si>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</si>
  <si>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</si>
  <si>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</si>
  <si>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</si>
  <si>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</si>
  <si>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</si>
  <si>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</si>
  <si>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</si>
  <si>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</si>
  <si>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</si>
  <si>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</si>
  <si>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</si>
  <si>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</si>
  <si>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</si>
  <si>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</si>
  <si>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</si>
  <si>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</si>
  <si>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</si>
  <si>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</si>
  <si>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</si>
  <si>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</si>
  <si>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</si>
  <si>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</si>
  <si>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</si>
  <si>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</si>
  <si>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</si>
  <si>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</si>
  <si>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</si>
  <si>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</si>
  <si>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</si>
  <si>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</si>
  <si>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</si>
  <si>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</si>
  <si>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</si>
  <si>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</si>
  <si>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</si>
  <si>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</si>
  <si>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05-05-2025 00:00:00</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</si>
  <si>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</si>
  <si>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</si>
  <si>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</si>
  <si>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</si>
  <si>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</si>
  <si>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</si>
  <si>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</si>
  <si>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</si>
  <si>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</si>
  <si>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</si>
  <si>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</si>
  <si>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</si>
  <si>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</si>
  <si>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</si>
  <si>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</si>
  <si>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</si>
  <si>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</si>
  <si>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</si>
  <si>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</si>
  <si>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</si>
  <si>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</si>
  <si>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</si>
  <si>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</si>
  <si>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</si>
  <si>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</si>
  <si>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</si>
  <si>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</si>
  <si>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</si>
  <si>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</si>
  <si>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</si>
  <si>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</si>
  <si>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</si>
  <si>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</si>
  <si>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</si>
  <si>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</si>
  <si>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</si>
  <si>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</si>
  <si>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</si>
  <si>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</si>
  <si>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</si>
  <si>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</si>
  <si>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</si>
  <si>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</si>
  <si>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</si>
  <si>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</si>
  <si>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</si>
  <si>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</si>
  <si>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</si>
  <si>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</si>
  <si>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</si>
  <si>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</si>
  <si>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</si>
  <si>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</si>
  <si>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</si>
  <si>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</si>
  <si>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</si>
  <si>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</si>
  <si>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</si>
  <si>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</si>
  <si>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</si>
  <si>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</si>
  <si>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</si>
  <si>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</si>
  <si>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</si>
  <si>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</si>
  <si>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</si>
  <si>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</si>
  <si>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</si>
  <si>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</si>
  <si>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</si>
  <si>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</si>
  <si>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</si>
  <si>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</si>
  <si>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</si>
  <si>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</si>
  <si>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</si>
  <si>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</si>
  <si>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</si>
  <si>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</si>
  <si>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</si>
  <si>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</si>
  <si>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</si>
  <si>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</si>
  <si>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</si>
  <si>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</si>
  <si>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</si>
  <si>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</si>
  <si>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</si>
  <si>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</si>
  <si>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</si>
  <si>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</si>
  <si>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</si>
  <si>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</si>
  <si>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</si>
  <si>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</si>
  <si>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</si>
  <si>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</si>
  <si>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</si>
  <si>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</si>
  <si>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</si>
  <si>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</si>
  <si>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</si>
  <si>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</si>
  <si>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</si>
  <si>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</si>
  <si>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</si>
  <si>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</si>
  <si>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</si>
  <si>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</si>
  <si>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</si>
  <si>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</si>
  <si>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</si>
  <si>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</si>
  <si>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</si>
  <si>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</si>
  <si>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</si>
  <si>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</si>
  <si>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</si>
  <si>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</si>
  <si>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</si>
  <si>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</si>
  <si>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</si>
  <si>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</si>
  <si>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</si>
  <si>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</si>
  <si>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</si>
  <si>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</si>
  <si>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</si>
  <si>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</si>
  <si>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</si>
  <si>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</si>
  <si>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</si>
  <si>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</si>
  <si>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</si>
  <si>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</si>
  <si>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</si>
  <si>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</si>
  <si>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</si>
  <si>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</si>
  <si>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</si>
  <si>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</si>
  <si>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</si>
  <si>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</si>
  <si>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</si>
  <si>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</si>
  <si>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</si>
  <si>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</si>
  <si>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</si>
  <si>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</si>
  <si>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</si>
  <si>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</si>
  <si>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</si>
  <si>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</si>
  <si>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</si>
  <si>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</si>
  <si>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</si>
  <si>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</si>
  <si>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</si>
  <si>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</si>
  <si>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</si>
  <si>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</si>
  <si>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</si>
  <si>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</si>
  <si>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</si>
  <si>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</si>
  <si>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</si>
  <si>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</si>
  <si>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</si>
  <si>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</si>
  <si>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</si>
  <si>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</si>
  <si>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</si>
  <si>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</si>
  <si>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</si>
  <si>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</si>
  <si>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</si>
  <si>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</si>
  <si>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</si>
  <si>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</si>
  <si>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</si>
  <si>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</si>
  <si>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</si>
  <si>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</si>
  <si>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</si>
  <si>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</si>
  <si>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</si>
  <si>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</si>
  <si>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</si>
  <si>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</si>
  <si>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</si>
  <si>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</si>
  <si>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</si>
  <si>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</si>
  <si>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</si>
  <si>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</si>
  <si>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</si>
  <si>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</si>
  <si>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</si>
  <si>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</si>
  <si>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</si>
  <si>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</si>
  <si>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</si>
  <si>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</si>
  <si>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</si>
  <si>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</si>
  <si>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</si>
  <si>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</si>
  <si>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</si>
  <si>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</si>
  <si>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</si>
  <si>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</si>
  <si>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</si>
  <si>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</si>
  <si>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</si>
  <si>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</si>
  <si>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</si>
  <si>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</si>
  <si>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</si>
  <si>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</si>
  <si>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</si>
  <si>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</si>
  <si>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</si>
  <si>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</si>
  <si>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</si>
  <si>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</si>
  <si>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</si>
  <si>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</si>
  <si>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</si>
  <si>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</si>
  <si>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</si>
  <si>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</si>
  <si>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</si>
  <si>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</si>
  <si>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</si>
  <si>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</si>
  <si>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</si>
  <si>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</si>
  <si>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</si>
  <si>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</si>
  <si>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</si>
  <si>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</si>
  <si>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</si>
  <si>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</si>
  <si>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</si>
  <si>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</si>
  <si>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</si>
  <si>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</si>
  <si>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</si>
  <si>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</si>
  <si>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</si>
  <si>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</si>
  <si>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</si>
  <si>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</si>
  <si>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</si>
  <si>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</si>
  <si>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</si>
  <si>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</si>
  <si>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</si>
  <si>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</si>
  <si>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</si>
  <si>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</si>
  <si>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</si>
  <si>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</si>
  <si>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</si>
  <si>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</si>
  <si>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</si>
  <si>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</si>
  <si>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</si>
  <si>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</si>
  <si>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</si>
  <si>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</si>
  <si>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</si>
  <si>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</si>
  <si>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</si>
  <si>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</si>
  <si>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</si>
  <si>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</si>
  <si>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</si>
  <si>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</si>
  <si>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</si>
  <si>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</si>
  <si>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</si>
  <si>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</si>
  <si>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</si>
  <si>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</si>
  <si>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</si>
  <si>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</si>
  <si>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</si>
  <si>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</si>
  <si>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</si>
  <si>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</si>
  <si>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</si>
  <si>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</si>
  <si>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</si>
  <si>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</si>
  <si>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</si>
  <si>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</si>
  <si>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</si>
  <si>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</si>
  <si>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</si>
  <si>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</si>
  <si>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</si>
  <si>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</si>
  <si>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</si>
  <si>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</si>
  <si>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</si>
  <si>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</si>
  <si>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</si>
  <si>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</si>
  <si>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</si>
  <si>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</si>
  <si>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</si>
  <si>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</si>
  <si>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</si>
  <si>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</si>
  <si>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</si>
  <si>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</si>
  <si>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</si>
  <si>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</si>
  <si>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</si>
  <si>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</si>
  <si>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</si>
  <si>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</si>
  <si>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</si>
  <si>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</si>
  <si>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</si>
  <si>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</si>
  <si>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</si>
  <si>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</si>
  <si>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</si>
  <si>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</si>
  <si>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</si>
  <si>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</si>
  <si>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</si>
  <si>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</si>
  <si>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</si>
  <si>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</si>
  <si>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</si>
  <si>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</si>
  <si>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</si>
  <si>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</si>
  <si>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</si>
  <si>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</si>
  <si>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</si>
  <si>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</si>
  <si>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</si>
  <si>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</si>
  <si>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</si>
  <si>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</si>
  <si>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</si>
  <si>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</si>
  <si>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</si>
  <si>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</si>
  <si>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</si>
  <si>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</si>
  <si>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</si>
  <si>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</si>
  <si>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</si>
  <si>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</si>
  <si>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</si>
  <si>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</si>
  <si>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</si>
  <si>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</si>
  <si>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</si>
  <si>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</si>
  <si>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</si>
  <si>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</si>
  <si>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</si>
  <si>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</si>
  <si>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</si>
  <si>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</si>
  <si>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</si>
  <si>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</si>
  <si>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</si>
  <si>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</si>
  <si>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</si>
  <si>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</si>
  <si>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</si>
  <si>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</si>
  <si>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</si>
  <si>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</si>
  <si>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</si>
  <si>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</si>
  <si>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</si>
  <si>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</si>
  <si>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</si>
  <si>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</si>
  <si>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</si>
  <si>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</si>
  <si>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</si>
  <si>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</si>
  <si>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</si>
  <si>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</si>
  <si>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</si>
  <si>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</si>
  <si>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</si>
  <si>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</si>
  <si>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</si>
  <si>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</si>
  <si>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</si>
  <si>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</si>
  <si>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</si>
  <si>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</si>
  <si>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</si>
  <si>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</si>
  <si>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</si>
  <si>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</si>
  <si>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</si>
  <si>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</si>
  <si>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</si>
  <si>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</si>
  <si>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</si>
  <si>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</si>
  <si>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</si>
  <si>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</si>
  <si>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</si>
  <si>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</si>
  <si>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</si>
  <si>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</si>
  <si>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</si>
  <si>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</si>
  <si>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</si>
  <si>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</si>
  <si>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</si>
  <si>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</si>
  <si>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</si>
  <si>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</si>
  <si>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</si>
  <si>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</si>
  <si>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</si>
  <si>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</si>
  <si>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</si>
  <si>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</si>
  <si>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</si>
  <si>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</si>
  <si>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</si>
  <si>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</si>
  <si>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</si>
  <si>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</si>
  <si>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</si>
  <si>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</si>
  <si>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</si>
  <si>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</si>
  <si>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</si>
  <si>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</si>
  <si>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</si>
  <si>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</si>
  <si>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</si>
  <si>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</si>
  <si>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</si>
  <si>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</si>
  <si>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</si>
  <si>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</si>
  <si>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</si>
  <si>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</si>
  <si>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</si>
  <si>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</si>
  <si>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</si>
  <si>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</si>
  <si>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</si>
  <si>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</si>
  <si>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</si>
  <si>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</si>
  <si>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</si>
  <si>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</si>
  <si>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</si>
  <si>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</si>
  <si>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</si>
  <si>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</si>
  <si>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</si>
  <si>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</si>
  <si>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</si>
  <si>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</si>
  <si>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</si>
  <si>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</si>
  <si>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</si>
  <si>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</si>
  <si>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</si>
  <si>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</si>
  <si>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</si>
  <si>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</si>
  <si>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</si>
  <si>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</si>
  <si>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</si>
  <si>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</si>
  <si>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</si>
  <si>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</si>
  <si>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</si>
  <si>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</si>
  <si>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</si>
  <si>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</si>
  <si>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</si>
  <si>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</si>
  <si>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</si>
  <si>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</si>
  <si>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</si>
  <si>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</si>
  <si>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</si>
  <si>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</si>
  <si>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</si>
  <si>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</si>
  <si>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</si>
  <si>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</si>
  <si>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</si>
  <si>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</si>
  <si>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</si>
  <si>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</si>
  <si>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</si>
  <si>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</si>
  <si>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</si>
  <si>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</si>
  <si>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</si>
  <si>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</si>
  <si>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</si>
  <si>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</si>
  <si>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</si>
  <si>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</si>
  <si>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</si>
  <si>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</si>
  <si>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</si>
  <si>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</si>
  <si>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</si>
  <si>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</si>
  <si>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</si>
  <si>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</si>
  <si>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</si>
  <si>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</si>
  <si>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</si>
  <si>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</si>
  <si>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</si>
  <si>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</si>
  <si>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</si>
  <si>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</si>
  <si>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</si>
  <si>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</si>
  <si>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</si>
  <si>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</si>
  <si>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</si>
  <si>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</si>
  <si>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</si>
  <si>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</si>
  <si>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</si>
  <si>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</si>
  <si>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</si>
  <si>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</si>
  <si>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</si>
  <si>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</si>
  <si>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</si>
  <si>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</si>
  <si>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</si>
  <si>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</si>
  <si>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</si>
  <si>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</si>
  <si>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</si>
  <si>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</si>
  <si>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</si>
  <si>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</si>
  <si>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</si>
  <si>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</si>
  <si>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</si>
  <si>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</si>
  <si>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</si>
  <si>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</si>
  <si>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</si>
  <si>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</si>
  <si>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</si>
  <si>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</si>
  <si>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</si>
  <si>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</si>
  <si>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</si>
  <si>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</si>
  <si>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</si>
  <si>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</si>
  <si>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</si>
  <si>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</si>
  <si>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</si>
  <si>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</si>
  <si>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</si>
  <si>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</si>
  <si>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</si>
  <si>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</si>
  <si>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</si>
  <si>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</si>
  <si>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</si>
  <si>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</si>
  <si>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</si>
  <si>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</si>
  <si>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</si>
  <si>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</si>
  <si>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</si>
  <si>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</si>
  <si>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</si>
  <si>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</si>
  <si>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</si>
  <si>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</si>
  <si>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</si>
  <si>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</si>
  <si>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</si>
  <si>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</si>
  <si>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</si>
  <si>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</si>
  <si>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</si>
  <si>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</si>
  <si>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</si>
  <si>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</si>
  <si>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</si>
  <si>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</si>
  <si>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</si>
  <si>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</si>
  <si>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</si>
  <si>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</si>
  <si>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</si>
  <si>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</si>
  <si>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</si>
  <si>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</si>
  <si>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</si>
  <si>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</si>
  <si>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</si>
  <si>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</si>
  <si>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</si>
  <si>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</si>
  <si>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</si>
  <si>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</si>
  <si>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</si>
  <si>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</si>
  <si>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</si>
  <si>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</si>
  <si>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</si>
  <si>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</si>
  <si>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</si>
  <si>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</si>
  <si>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</si>
  <si>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</si>
  <si>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</si>
  <si>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</si>
  <si>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</si>
  <si>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</si>
  <si>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</si>
  <si>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</si>
  <si>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</si>
  <si>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</si>
  <si>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</si>
  <si>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</si>
  <si>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</si>
  <si>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</si>
  <si>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</si>
  <si>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</si>
  <si>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</si>
  <si>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</si>
  <si>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</si>
  <si>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</si>
  <si>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</si>
  <si>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</si>
  <si>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</si>
  <si>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</si>
  <si>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</si>
  <si>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</si>
  <si>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</si>
  <si>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</si>
  <si>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</si>
  <si>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</si>
  <si>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</si>
  <si>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</si>
  <si>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</si>
  <si>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</si>
  <si>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</si>
  <si>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</si>
  <si>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</si>
  <si>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</si>
  <si>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</si>
  <si>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</si>
  <si>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</si>
  <si>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</si>
  <si>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</si>
  <si>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</si>
  <si>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</si>
  <si>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</si>
  <si>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</si>
  <si>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</si>
  <si>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</si>
  <si>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</si>
  <si>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</si>
  <si>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</si>
  <si>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</si>
  <si>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</si>
  <si>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</si>
  <si>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</si>
  <si>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</si>
  <si>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</si>
  <si>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</si>
  <si>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</si>
  <si>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</si>
  <si>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</si>
  <si>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</si>
  <si>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</si>
  <si>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</si>
  <si>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</si>
  <si>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</si>
  <si>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</si>
  <si>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</si>
  <si>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</si>
  <si>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</si>
  <si>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</si>
  <si>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</si>
  <si>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</si>
  <si>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</si>
  <si>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</si>
  <si>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</si>
  <si>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</si>
  <si>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</si>
  <si>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</si>
  <si>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</si>
  <si>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</si>
  <si>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</si>
  <si>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</si>
  <si>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</si>
  <si>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</si>
  <si>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</si>
  <si>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</si>
  <si>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</si>
  <si>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</si>
  <si>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</si>
  <si>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</si>
  <si>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</si>
  <si>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</si>
  <si>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</si>
  <si>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</si>
  <si>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</si>
  <si>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</si>
  <si>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</si>
  <si>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</si>
  <si>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</si>
  <si>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</si>
  <si>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</si>
  <si>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</si>
  <si>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</si>
  <si>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</si>
  <si>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</si>
  <si>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</si>
  <si>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</si>
  <si>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</si>
  <si>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</si>
  <si>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</si>
  <si>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</si>
  <si>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</si>
  <si>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</si>
  <si>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</si>
  <si>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</si>
  <si>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</si>
  <si>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</si>
  <si>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</si>
  <si>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</si>
  <si>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</si>
  <si>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</si>
  <si>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</si>
  <si>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</si>
  <si>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</si>
  <si>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</si>
  <si>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</si>
  <si>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</si>
  <si>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</si>
  <si>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</si>
  <si>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</si>
  <si>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</si>
  <si>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</si>
  <si>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</si>
  <si>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</si>
  <si>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</si>
  <si>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</si>
  <si>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</si>
  <si>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</si>
  <si>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</si>
  <si>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</si>
  <si>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</si>
  <si>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</si>
  <si>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</si>
  <si>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</si>
  <si>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</si>
  <si>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</si>
  <si>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</si>
  <si>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</si>
  <si>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</si>
  <si>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</si>
  <si>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</si>
  <si>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</si>
  <si>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</si>
  <si>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</si>
  <si>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</si>
  <si>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</si>
  <si>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</si>
  <si>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</si>
  <si>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</si>
  <si>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</si>
  <si>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</si>
  <si>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</si>
  <si>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</si>
  <si>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</si>
  <si>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</si>
  <si>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</si>
  <si>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</si>
  <si>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</si>
  <si>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</si>
  <si>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</si>
  <si>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</si>
  <si>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</si>
  <si>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</si>
  <si>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</si>
  <si>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</si>
  <si>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</si>
  <si>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</si>
  <si>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</si>
  <si>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</si>
  <si>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</si>
  <si>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</si>
  <si>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</si>
  <si>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</si>
  <si>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</si>
  <si>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</si>
  <si>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</si>
  <si>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</si>
  <si>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</si>
  <si>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</si>
  <si>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</si>
  <si>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</si>
  <si>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</si>
  <si>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</si>
  <si>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</si>
  <si>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</si>
  <si>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</si>
  <si>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</si>
  <si>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</si>
  <si>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</si>
  <si>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</si>
  <si>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</si>
  <si>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</si>
  <si>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</si>
  <si>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</si>
  <si>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</si>
  <si>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</si>
  <si>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</si>
  <si>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</si>
  <si>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</si>
  <si>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</si>
  <si>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</si>
  <si>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</si>
  <si>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</si>
  <si>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</si>
  <si>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</si>
  <si>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</si>
  <si>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</si>
  <si>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</si>
  <si>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</si>
  <si>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</si>
  <si>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</si>
  <si>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</si>
  <si>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</si>
  <si>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</si>
  <si>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</si>
  <si>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</si>
  <si>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</si>
  <si>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</si>
  <si>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</si>
  <si>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</si>
  <si>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</si>
  <si>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</si>
  <si>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</si>
  <si>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</si>
  <si>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</si>
  <si>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</si>
  <si>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</si>
  <si>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</si>
  <si>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</si>
  <si>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</si>
  <si>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</si>
  <si>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</si>
  <si>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</si>
  <si>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</si>
  <si>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</si>
  <si>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</si>
  <si>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</si>
  <si>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</si>
  <si>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</si>
  <si>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</si>
  <si>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</si>
  <si>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</si>
  <si>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</si>
  <si>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</si>
  <si>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</si>
  <si>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</si>
  <si>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</si>
  <si>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</si>
  <si>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</si>
  <si>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</si>
  <si>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</si>
  <si>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</si>
  <si>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</si>
  <si>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</si>
  <si>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</si>
  <si>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</si>
  <si>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</si>
  <si>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</si>
  <si>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</si>
  <si>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</si>
  <si>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</si>
  <si>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</si>
  <si>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</si>
  <si>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</si>
  <si>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</si>
  <si>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</si>
  <si>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</si>
  <si>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</si>
  <si>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</si>
  <si>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</si>
  <si>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</si>
  <si>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</si>
  <si>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</si>
  <si>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</si>
  <si>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</si>
  <si>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</si>
  <si>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</si>
  <si>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</si>
  <si>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</si>
  <si>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</si>
  <si>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</si>
  <si>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</si>
  <si>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</si>
  <si>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</si>
  <si>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</si>
  <si>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</si>
  <si>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</si>
  <si>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</si>
  <si>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</si>
  <si>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</si>
  <si>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</si>
  <si>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</si>
  <si>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</si>
  <si>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</si>
  <si>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</si>
  <si>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</si>
  <si>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</si>
  <si>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</si>
  <si>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</si>
  <si>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</si>
  <si>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</si>
  <si>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</si>
  <si>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</si>
  <si>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</si>
  <si>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</si>
  <si>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</si>
  <si>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</si>
  <si>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</si>
  <si>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</si>
  <si>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</si>
  <si>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</si>
  <si>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</si>
  <si>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</si>
  <si>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</si>
  <si>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</si>
  <si>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</si>
  <si>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</si>
  <si>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</si>
  <si>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</si>
  <si>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</si>
  <si>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</si>
  <si>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</si>
  <si>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</si>
  <si>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</si>
  <si>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</si>
  <si>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</si>
  <si>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</si>
  <si>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</si>
  <si>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</si>
  <si>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</si>
  <si>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</si>
  <si>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</si>
  <si>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</si>
  <si>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</si>
  <si>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</si>
  <si>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</si>
  <si>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</si>
  <si>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</si>
  <si>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</si>
  <si>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</si>
  <si>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</si>
  <si>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</si>
  <si>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</si>
  <si>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</si>
  <si>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</si>
  <si>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</si>
  <si>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</si>
  <si>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</si>
  <si>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</si>
  <si>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</si>
  <si>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</si>
  <si>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</si>
  <si>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</si>
  <si>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</si>
  <si>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</si>
  <si>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</si>
  <si>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</si>
  <si>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</si>
  <si>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</si>
  <si>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</si>
  <si>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</si>
  <si>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</si>
  <si>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</si>
  <si>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</si>
  <si>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</si>
  <si>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</si>
  <si>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</si>
  <si>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</si>
  <si>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</si>
  <si>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</si>
  <si>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</si>
  <si>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</si>
  <si>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</si>
  <si>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</si>
  <si>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</si>
  <si>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</si>
  <si>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</si>
  <si>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</si>
  <si>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</si>
  <si>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</si>
  <si>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</si>
  <si>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</si>
  <si>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</si>
  <si>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</si>
  <si>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</si>
  <si>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</si>
  <si>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</si>
  <si>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</si>
  <si>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</si>
  <si>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</si>
  <si>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</si>
  <si>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</si>
  <si>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</si>
  <si>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</si>
  <si>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</si>
  <si>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</si>
  <si>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</si>
  <si>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</si>
  <si>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</si>
  <si>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</si>
  <si>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</si>
  <si>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</si>
  <si>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</si>
  <si>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</si>
  <si>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</si>
  <si>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</si>
  <si>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</si>
  <si>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</si>
  <si>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</si>
  <si>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</si>
  <si>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</si>
  <si>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</si>
  <si>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</si>
  <si>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</si>
  <si>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</si>
  <si>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</si>
  <si>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</si>
  <si>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</si>
  <si>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</si>
  <si>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</si>
  <si>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</si>
  <si>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</si>
  <si>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</si>
  <si>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</si>
  <si>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</si>
  <si>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</si>
  <si>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</si>
  <si>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</si>
  <si>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</si>
  <si>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</si>
  <si>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</si>
  <si>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</si>
  <si>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</si>
  <si>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</si>
  <si>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</si>
  <si>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</si>
  <si>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</si>
  <si>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</si>
  <si>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</si>
  <si>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</si>
  <si>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</si>
  <si>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</si>
  <si>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</si>
  <si>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</si>
  <si>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</si>
  <si>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</si>
  <si>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</si>
  <si>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</si>
  <si>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</si>
  <si>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</si>
  <si>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</si>
  <si>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</si>
  <si>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</si>
  <si>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</si>
  <si>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</si>
  <si>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</si>
  <si>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</si>
  <si>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</si>
  <si>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</si>
  <si>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</si>
  <si>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</si>
  <si>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</si>
  <si>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</si>
  <si>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</si>
  <si>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</si>
  <si>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</si>
  <si>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</si>
  <si>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</si>
  <si>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</si>
  <si>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</si>
  <si>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</si>
  <si>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</si>
  <si>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</si>
  <si>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</si>
  <si>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</si>
  <si>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</si>
  <si>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</si>
  <si>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</si>
  <si>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</si>
  <si>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</si>
  <si>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</si>
  <si>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</si>
  <si>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</si>
  <si>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</si>
  <si>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</si>
  <si>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</si>
  <si>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</si>
  <si>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</si>
  <si>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</si>
  <si>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</si>
  <si>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</si>
  <si>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</si>
  <si>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</si>
  <si>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</si>
  <si>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</si>
  <si>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</si>
  <si>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</si>
  <si>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</si>
  <si>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</si>
  <si>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</si>
  <si>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</si>
  <si>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</si>
  <si>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</si>
  <si>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</si>
  <si>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</si>
  <si>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</si>
  <si>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</si>
  <si>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</si>
  <si>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</si>
  <si>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</si>
  <si>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</si>
  <si>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</si>
  <si>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</si>
  <si>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</si>
  <si>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</si>
  <si>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</si>
  <si>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</si>
  <si>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</si>
  <si>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</si>
  <si>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</si>
  <si>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</si>
  <si>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</si>
  <si>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</si>
  <si>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</si>
  <si>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</si>
  <si>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</si>
  <si>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</si>
  <si>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</si>
  <si>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</si>
  <si>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</si>
  <si>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</si>
  <si>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</si>
  <si>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</si>
  <si>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</si>
  <si>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</si>
  <si>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</si>
  <si>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</si>
  <si>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</si>
  <si>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</si>
  <si>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</si>
  <si>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</si>
  <si>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</si>
  <si>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</si>
  <si>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</si>
  <si>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</si>
  <si>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</si>
  <si>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</si>
  <si>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</si>
  <si>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</si>
  <si>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</si>
  <si>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</si>
  <si>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</si>
  <si>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</si>
  <si>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</si>
  <si>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</si>
  <si>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</si>
  <si>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</si>
  <si>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</si>
  <si>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</si>
  <si>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</si>
  <si>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</si>
  <si>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</si>
  <si>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</si>
  <si>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</si>
  <si>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</si>
  <si>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</si>
  <si>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</si>
  <si>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</si>
  <si>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</si>
  <si>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</si>
  <si>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</si>
  <si>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</si>
  <si>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</si>
  <si>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</si>
  <si>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</si>
  <si>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</si>
  <si>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</si>
  <si>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</si>
  <si>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</si>
  <si>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</si>
  <si>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</si>
  <si>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</si>
  <si>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</si>
  <si>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</si>
  <si>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</si>
  <si>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</si>
  <si>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</si>
  <si>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</si>
  <si>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</si>
  <si>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</si>
  <si>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</si>
  <si>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</si>
  <si>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</si>
  <si>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</si>
  <si>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</si>
  <si>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</si>
  <si>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</si>
  <si>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</si>
  <si>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</si>
  <si>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</si>
  <si>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</si>
  <si>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41627000</t>
  </si>
  <si>
    <t>Алеховщинское</t>
  </si>
  <si>
    <t>41627404</t>
  </si>
  <si>
    <t>118</t>
  </si>
  <si>
    <t>Доможировское</t>
  </si>
  <si>
    <t>41627410</t>
  </si>
  <si>
    <t>119</t>
  </si>
  <si>
    <t>Лодейнопольское</t>
  </si>
  <si>
    <t>41627101</t>
  </si>
  <si>
    <t>121</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</si>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</sst>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0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01"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0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47" fillId="0" borderId="0" xfId="0" applyFont="1">
      <alignment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0" fillId="39" borderId="12" xfId="0" applyFont="1" applyFill="1" applyBorder="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47" fillId="0" borderId="12" xfId="0" applyFont="1" applyBorder="1">
      <alignment horizontal="center" vertical="center" wrapText="1"/>
    </xf>
    <xf numFmtId="0" fontId="47" fillId="0" borderId="0" xfId="0" applyFont="1">
      <alignment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lignment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201"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41ed444-e8c0-42f4-acd2-aa3a387e636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s://zakupki.gov.ru/epz/orderplan/purchase-plan/card/common-info.html?id=908412&amp;infoId=8113051" TargetMode="External"/><Relationship Id="rId5"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75BEF-2F9B-BE0E-EF3C-0.39F62F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60" width="5.421875" customWidth="1"/>
    <col min="2" max="2" style="8460" width="9.140625" customWidth="1"/>
    <col min="3" max="3" style="8460" width="16.421875" customWidth="1"/>
    <col min="4" max="25" style="8460" width="6.28125" customWidth="1"/>
    <col min="26" max="28" style="8460"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198" t="s">
        <v>1</v>
      </c>
      <c r="C2" s="2198"/>
      <c r="D2" s="2198"/>
      <c r="E2" s="2198"/>
      <c r="F2" s="2198"/>
      <c r="G2" s="2198"/>
      <c r="H2" s="2198"/>
      <c r="I2" s="2198"/>
      <c r="J2" s="2198"/>
      <c r="K2" s="2198"/>
      <c r="L2" s="2198"/>
      <c r="M2" s="2198"/>
      <c r="N2" s="2198"/>
      <c r="O2" s="2198"/>
      <c r="P2" s="2198"/>
      <c r="Q2" s="1826"/>
      <c r="R2" s="1826"/>
      <c r="S2" s="1826"/>
      <c r="T2" s="1826"/>
      <c r="U2" s="1826"/>
      <c r="V2" s="1827"/>
      <c r="W2" s="1826"/>
      <c r="X2" s="1826"/>
      <c r="Y2" s="1823"/>
      <c r="Z2" s="1822"/>
      <c r="AA2" s="1824"/>
      <c r="AB2" s="1822"/>
    </row>
    <row customHeight="1" ht="15.75">
      <c r="A3" s="1822"/>
      <c r="B3" s="2199" t="s">
        <v>2</v>
      </c>
      <c r="C3" s="2199"/>
      <c r="D3" s="2199"/>
      <c r="E3" s="2199"/>
      <c r="F3" s="2199"/>
      <c r="G3" s="2199"/>
      <c r="H3" s="2199"/>
      <c r="I3" s="2199"/>
      <c r="J3" s="2199"/>
      <c r="K3" s="2199"/>
      <c r="L3" s="2199"/>
      <c r="M3" s="2199"/>
      <c r="N3" s="2199"/>
      <c r="O3" s="2199"/>
      <c r="P3" s="219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829"/>
      <c r="AA5" s="1824"/>
      <c r="AB5" s="1829"/>
    </row>
    <row customHeight="1" ht="15">
      <c r="A6" s="1830"/>
      <c r="B6" s="2203" t="s">
        <v>3</v>
      </c>
      <c r="C6" s="2204"/>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3"/>
      <c r="C7" s="2204"/>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3"/>
      <c r="C8" s="2204"/>
      <c r="D8" s="1836"/>
      <c r="E8" s="1837" t="s">
        <v>4</v>
      </c>
      <c r="F8" s="2206" t="s">
        <v>5</v>
      </c>
      <c r="G8" s="2207"/>
      <c r="H8" s="2207"/>
      <c r="I8" s="2207"/>
      <c r="J8" s="2207"/>
      <c r="K8" s="2207"/>
      <c r="L8" s="2207"/>
      <c r="M8" s="2207"/>
      <c r="N8" s="1836"/>
      <c r="O8" s="1838" t="s">
        <v>4</v>
      </c>
      <c r="P8" s="2208" t="s">
        <v>6</v>
      </c>
      <c r="Q8" s="2209"/>
      <c r="R8" s="2209"/>
      <c r="S8" s="2209"/>
      <c r="T8" s="2209"/>
      <c r="U8" s="2209"/>
      <c r="V8" s="2209"/>
      <c r="W8" s="2209"/>
      <c r="X8" s="2209"/>
      <c r="Y8" s="1832"/>
      <c r="Z8" s="1833"/>
      <c r="AA8" s="1834"/>
      <c r="AB8" s="1834"/>
    </row>
    <row customHeight="1" ht="15">
      <c r="A9" s="1830"/>
      <c r="B9" s="2203"/>
      <c r="C9" s="2204"/>
      <c r="D9" s="1836"/>
      <c r="E9" s="1839" t="s">
        <v>4</v>
      </c>
      <c r="F9" s="2206" t="s">
        <v>7</v>
      </c>
      <c r="G9" s="2207"/>
      <c r="H9" s="2207"/>
      <c r="I9" s="2207"/>
      <c r="J9" s="2207"/>
      <c r="K9" s="2207"/>
      <c r="L9" s="2207"/>
      <c r="M9" s="2207"/>
      <c r="N9" s="1836"/>
      <c r="O9" s="1840" t="s">
        <v>4</v>
      </c>
      <c r="P9" s="2208" t="s">
        <v>8</v>
      </c>
      <c r="Q9" s="2209"/>
      <c r="R9" s="2209"/>
      <c r="S9" s="2209"/>
      <c r="T9" s="2209"/>
      <c r="U9" s="2209"/>
      <c r="V9" s="2209"/>
      <c r="W9" s="2209"/>
      <c r="X9" s="2209"/>
      <c r="Y9" s="1832"/>
      <c r="Z9" s="1833"/>
      <c r="AA9" s="1834"/>
      <c r="AB9" s="1834"/>
    </row>
    <row customHeight="1" ht="30">
      <c r="A10" s="1830"/>
      <c r="B10" s="2203"/>
      <c r="C10" s="2205"/>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10" t="s">
        <v>9</v>
      </c>
      <c r="C11" s="2211"/>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3"/>
      <c r="C12" s="2205"/>
      <c r="D12" s="1844"/>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832"/>
      <c r="Z12" s="1833"/>
      <c r="AA12" s="1834"/>
      <c r="AB12" s="1834"/>
    </row>
    <row customHeight="1" ht="15">
      <c r="A13" s="1830"/>
      <c r="B13" s="2210" t="s">
        <v>11</v>
      </c>
      <c r="C13" s="2211"/>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3"/>
      <c r="C14" s="2204"/>
      <c r="D14" s="1836"/>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832"/>
      <c r="Z14" s="1833"/>
      <c r="AA14" s="1834"/>
      <c r="AB14" s="1834"/>
    </row>
    <row customHeight="1" ht="16.5">
      <c r="A15" s="1830"/>
      <c r="B15" s="2212"/>
      <c r="C15" s="2213"/>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EBF385-C3D4-D6BC-5B67-0.0959DF9B}" mc:Ignorable="x14ac xr xr2 xr3">
  <sheetPr>
    <tabColor rgb="FFCCCCFF"/>
  </sheetPr>
  <dimension ref="A1:Q79"/>
  <sheetViews>
    <sheetView topLeftCell="A1" showGridLines="0" zoomScale="90" workbookViewId="0">
      <selection activeCell="I45" sqref="I45"/>
    </sheetView>
  </sheetViews>
  <sheetFormatPr defaultColWidth="9.140625" customHeight="1" defaultRowHeight="11.25"/>
  <cols>
    <col min="1" max="1" style="5737" width="10.7109375" hidden="1" customWidth="1"/>
    <col min="2" max="2" style="7138" width="10.7109375" hidden="1" customWidth="1"/>
    <col min="3" max="3" style="5739" width="3.00390625" customWidth="1"/>
    <col min="4" max="4" style="7720" width="1.00390625" customWidth="1"/>
    <col min="5" max="6" style="7720" width="55.00390625" customWidth="1"/>
    <col min="7" max="7" style="8408" width="1.00390625" customWidth="1"/>
    <col min="8" max="8" style="7720" width="18.00390625" hidden="1" customWidth="1"/>
    <col min="9" max="9" style="5741" width="59.00390625" customWidth="1"/>
    <col min="10" max="10" style="7669" width="52.140625" hidden="1" customWidth="1"/>
    <col min="11" max="11" style="7720" width="8.00390625" customWidth="1"/>
    <col min="12" max="12" style="7720" width="77.00390625" customWidth="1"/>
    <col min="13" max="16" style="7720" width="8.00390625" customWidth="1"/>
    <col min="17" max="17" style="7720" width="12.00390625" hidden="1" customWidth="1"/>
  </cols>
  <sheetData>
    <row s="7207" customFormat="1" customHeight="1" ht="3">
      <c r="A1" s="904"/>
      <c r="B1" s="362"/>
      <c r="F1" s="363" t="s">
        <v>13</v>
      </c>
      <c r="G1" s="532"/>
      <c r="H1" s="192"/>
      <c r="I1" s="532"/>
      <c r="J1" s="992"/>
      <c r="Q1" s="363" t="s">
        <v>14</v>
      </c>
    </row>
    <row s="8008" customFormat="1" customHeight="1" ht="14.25">
      <c r="A2" s="904"/>
      <c r="B2" s="219"/>
      <c r="E2" s="1861" t="str">
        <f>code</f>
        <v>Код отчёта: PP110.OPEN.INFO.REQUEST.HEAT.EIAS</v>
      </c>
      <c r="F2" s="390"/>
      <c r="G2" s="366"/>
      <c r="H2" s="366"/>
      <c r="I2" s="366"/>
      <c r="J2" s="993"/>
      <c r="K2" s="366"/>
      <c r="Q2" s="192">
        <v>14</v>
      </c>
    </row>
    <row customHeight="1" ht="14.699999999999998">
      <c r="E3" s="367" t="str">
        <f>version</f>
        <v>Версия отчёта: 1.1.1</v>
      </c>
      <c r="F3" s="390"/>
      <c r="G3" s="891"/>
      <c r="H3" s="891"/>
      <c r="I3" s="891"/>
      <c r="J3" s="994"/>
      <c r="K3" s="209"/>
      <c r="Q3" s="195">
        <v>14</v>
      </c>
    </row>
    <row s="6437" customFormat="1" customHeight="1" ht="6.3">
      <c r="A4" s="905"/>
      <c r="B4" s="353"/>
      <c r="C4" s="354"/>
      <c r="D4" s="355"/>
      <c r="E4" s="364"/>
      <c r="F4" s="365"/>
      <c r="G4" s="892"/>
      <c r="H4" s="530"/>
      <c r="I4" s="532"/>
      <c r="J4" s="995"/>
      <c r="Q4" s="357">
        <v>6</v>
      </c>
    </row>
    <row customHeight="1" ht="39.75">
      <c r="D5" s="196"/>
      <c r="E5" s="221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893"/>
      <c r="J5" s="996"/>
      <c r="Q5" s="195">
        <v>38</v>
      </c>
    </row>
    <row s="6437"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437" customFormat="1" customHeight="1" ht="6.3">
      <c r="A8" s="906"/>
      <c r="B8" s="353"/>
      <c r="C8" s="354"/>
      <c r="D8" s="360"/>
      <c r="E8" s="358"/>
      <c r="F8" s="361"/>
      <c r="G8" s="198"/>
      <c r="H8" s="530"/>
      <c r="I8" s="532"/>
      <c r="J8" s="998"/>
      <c r="Q8" s="357">
        <v>6</v>
      </c>
    </row>
    <row s="7720"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6437" customFormat="1" customHeight="1" ht="24" hidden="1">
      <c r="A10" s="906"/>
      <c r="B10" s="547"/>
      <c r="C10" s="548"/>
      <c r="D10" s="360"/>
      <c r="E10" s="1286" t="s">
        <v>18</v>
      </c>
      <c r="F10" s="2187" t="s">
        <v>19</v>
      </c>
      <c r="G10" s="198"/>
      <c r="H10" s="530"/>
      <c r="I10" s="532"/>
      <c r="J10" s="998"/>
      <c r="Q10" s="551">
        <v>24</v>
      </c>
    </row>
    <row customHeight="1" ht="22.5">
      <c r="A11" s="2219" t="s">
        <v>20</v>
      </c>
      <c r="D11" s="196"/>
      <c r="E11" s="1286" t="s">
        <v>21</v>
      </c>
      <c r="F11" s="5683">
        <v>46023.478854166664</v>
      </c>
      <c r="G11" s="198"/>
      <c r="H11" s="894" t="s">
        <v>22</v>
      </c>
      <c r="J11" s="997" t="s">
        <v>23</v>
      </c>
      <c r="Q11" s="195">
        <v>0</v>
      </c>
    </row>
    <row customHeight="1" ht="22.5">
      <c r="A12" s="2219"/>
      <c r="D12" s="196"/>
      <c r="E12" s="1286" t="s">
        <v>24</v>
      </c>
      <c r="F12" s="5683">
        <v>46387</v>
      </c>
      <c r="G12" s="194"/>
      <c r="J12" s="997" t="s">
        <v>25</v>
      </c>
      <c r="Q12" s="195">
        <v>0</v>
      </c>
    </row>
    <row s="7720" customFormat="1" customHeight="1" ht="22.5" hidden="1">
      <c r="A13" s="909" t="s">
        <v>26</v>
      </c>
      <c r="B13" s="219"/>
      <c r="C13" s="529"/>
      <c r="D13" s="531"/>
      <c r="E13" s="1896" t="s">
        <v>27</v>
      </c>
      <c r="F13" s="1853" t="s">
        <v>28</v>
      </c>
      <c r="G13" s="198"/>
      <c r="H13" s="891"/>
      <c r="I13" s="532"/>
      <c r="J13" s="1897" t="s">
        <v>29</v>
      </c>
      <c r="Q13" s="530">
        <v>0</v>
      </c>
    </row>
    <row s="7720" customFormat="1" customHeight="1" ht="27" hidden="1">
      <c r="A14" s="909" t="s">
        <v>30</v>
      </c>
      <c r="B14" s="219"/>
      <c r="C14" s="529"/>
      <c r="D14" s="531"/>
      <c r="E14" s="1286" t="s">
        <v>31</v>
      </c>
      <c r="F14" s="1888"/>
      <c r="G14" s="198"/>
      <c r="H14" s="891"/>
      <c r="I14" s="532"/>
      <c r="J14" s="997" t="s">
        <v>32</v>
      </c>
      <c r="Q14" s="530">
        <v>0</v>
      </c>
    </row>
    <row s="7720" customFormat="1" customHeight="1" ht="19.5" hidden="1">
      <c r="A15" s="909" t="s">
        <v>33</v>
      </c>
      <c r="B15" s="219"/>
      <c r="C15" s="529"/>
      <c r="D15" s="531"/>
      <c r="E15" s="1286" t="s">
        <v>34</v>
      </c>
      <c r="F15" s="1888"/>
      <c r="G15" s="198"/>
      <c r="H15" s="891"/>
      <c r="I15" s="532"/>
      <c r="J15" s="997" t="s">
        <v>35</v>
      </c>
      <c r="Q15" s="530">
        <v>0</v>
      </c>
    </row>
    <row s="6437" customFormat="1" customHeight="1" ht="6.3">
      <c r="A16" s="906"/>
      <c r="B16" s="353"/>
      <c r="C16" s="354"/>
      <c r="D16" s="360"/>
      <c r="E16" s="358"/>
      <c r="F16" s="361"/>
      <c r="G16" s="198"/>
      <c r="H16" s="530"/>
      <c r="I16" s="532"/>
      <c r="J16" s="995"/>
      <c r="Q16" s="357">
        <v>6</v>
      </c>
    </row>
    <row customHeight="1" ht="21">
      <c r="D17" s="196"/>
      <c r="E17" s="512" t="s">
        <v>36</v>
      </c>
      <c r="F17" s="337" t="s">
        <v>37</v>
      </c>
      <c r="G17" s="194"/>
      <c r="H17" s="894" t="s">
        <v>22</v>
      </c>
      <c r="Q17" s="195">
        <v>20</v>
      </c>
    </row>
    <row customHeight="1" ht="25.5" hidden="1">
      <c r="D18" s="196"/>
      <c r="E18" s="1896" t="s">
        <v>38</v>
      </c>
      <c r="F18" s="1854"/>
      <c r="G18" s="194"/>
      <c r="I18" s="895"/>
      <c r="J18" s="2218" t="s">
        <v>39</v>
      </c>
      <c r="Q18" s="195">
        <v>0</v>
      </c>
    </row>
    <row customHeight="1" ht="25.5" hidden="1">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4"/>
      <c r="G19" s="194"/>
      <c r="I19" s="895"/>
      <c r="J19" s="2218"/>
      <c r="Q19" s="195">
        <v>0</v>
      </c>
    </row>
    <row customHeight="1" ht="22.5">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c r="D21" s="196"/>
      <c r="E21" s="512" t="str">
        <f>"Дата "&amp;IF(TEMPLATE_GROUP="P","документа","подачи заявления")&amp;" об утверждении тарифов"</f>
        <v>Дата подачи заявления об утверждении тарифов</v>
      </c>
      <c r="F21" s="5683">
        <v>45777</v>
      </c>
      <c r="G21" s="194"/>
      <c r="I21" s="896"/>
      <c r="Q21" s="195">
        <v>0</v>
      </c>
    </row>
    <row customHeight="1" ht="19.5">
      <c r="D22" s="196"/>
      <c r="E22" s="512" t="str">
        <f>"Номер "&amp;IF(TEMPLATE_GROUP="P","документа","подачи заявления")&amp;" об утверждении тарифов"</f>
        <v>Номер подачи заявления об утверждении тарифов</v>
      </c>
      <c r="F22" s="337" t="s">
        <v>41</v>
      </c>
      <c r="G22" s="194"/>
      <c r="I22" s="896"/>
      <c r="Q22" s="195">
        <v>0</v>
      </c>
    </row>
    <row customHeight="1" ht="22.5" hidden="1">
      <c r="D23" s="196"/>
      <c r="E23" s="512" t="s">
        <v>42</v>
      </c>
      <c r="F23" s="337"/>
      <c r="G23" s="194"/>
      <c r="Q23" s="195">
        <v>0</v>
      </c>
    </row>
    <row customHeight="1" ht="19.5" hidden="1">
      <c r="D24" s="196"/>
      <c r="E24" s="512" t="s">
        <v>43</v>
      </c>
      <c r="F24" s="337"/>
      <c r="G24" s="194"/>
      <c r="Q24" s="195">
        <v>0</v>
      </c>
    </row>
    <row customHeight="1" ht="22.5" hidden="1">
      <c r="D25" s="196"/>
      <c r="E25" s="197"/>
      <c r="F25" s="391" t="str">
        <f>"Изменение "&amp;IF(TEMPLATE_GROUP="P","тарифов","предложения по тарифам")</f>
        <v>Изменение предложения по тарифам</v>
      </c>
      <c r="G25" s="194"/>
      <c r="J25" s="996" t="s">
        <v>44</v>
      </c>
      <c r="Q25" s="195">
        <v>0</v>
      </c>
    </row>
    <row customHeight="1" ht="19.5" hidden="1">
      <c r="D26" s="196"/>
      <c r="E26" s="512" t="str">
        <f>"Дата "&amp;IF(TEMPLATE_GROUP="P","принятия решения","подачи заявления")&amp;" об изменении тарифов"</f>
        <v>Дата подачи заявления об изменении тарифов</v>
      </c>
      <c r="F26" s="1854"/>
      <c r="G26" s="194"/>
      <c r="Q26" s="195">
        <v>0</v>
      </c>
    </row>
    <row customHeight="1" ht="19.5" hidden="1">
      <c r="D27" s="196"/>
      <c r="E27" s="1286" t="str">
        <f>"Номер "&amp;IF(TEMPLATE_GROUP="P","принятия решения","заявления")&amp;" об изменении тарифов"</f>
        <v>Номер заявления об изменении тарифов</v>
      </c>
      <c r="F27" s="339"/>
      <c r="G27" s="194"/>
      <c r="Q27" s="195">
        <v>0</v>
      </c>
    </row>
    <row customHeight="1" ht="24.75" hidden="1">
      <c r="D28" s="196"/>
      <c r="E28" s="512" t="s">
        <v>45</v>
      </c>
      <c r="F28" s="339"/>
      <c r="G28" s="194"/>
      <c r="Q28" s="195">
        <v>0</v>
      </c>
    </row>
    <row customHeight="1" ht="19.5" hidden="1">
      <c r="D29" s="196"/>
      <c r="E29" s="512" t="s">
        <v>43</v>
      </c>
      <c r="F29" s="339"/>
      <c r="G29" s="194"/>
      <c r="Q29" s="195">
        <v>0</v>
      </c>
    </row>
    <row s="6437"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46</v>
      </c>
      <c r="G31" s="897"/>
      <c r="Q31" s="195">
        <v>20</v>
      </c>
    </row>
    <row customHeight="1" ht="21" hidden="1">
      <c r="C32" s="199"/>
      <c r="D32" s="200"/>
      <c r="E32" s="513" t="s">
        <v>47</v>
      </c>
      <c r="F32" s="338"/>
      <c r="G32" s="897"/>
      <c r="Q32" s="195">
        <v>20</v>
      </c>
    </row>
    <row customHeight="1" ht="21">
      <c r="C33" s="199"/>
      <c r="D33" s="200"/>
      <c r="E33" s="512" t="s">
        <v>48</v>
      </c>
      <c r="F33" s="338" t="s">
        <v>49</v>
      </c>
      <c r="G33" s="897"/>
      <c r="Q33" s="195">
        <v>20</v>
      </c>
    </row>
    <row customHeight="1" ht="21">
      <c r="C34" s="199"/>
      <c r="D34" s="200"/>
      <c r="E34" s="512" t="s">
        <v>50</v>
      </c>
      <c r="F34" s="338" t="s">
        <v>51</v>
      </c>
      <c r="G34" s="897"/>
      <c r="H34" s="201"/>
      <c r="Q34" s="195">
        <v>20</v>
      </c>
    </row>
    <row s="6437" customFormat="1" customHeight="1" ht="11.549999999999999">
      <c r="A35" s="906"/>
      <c r="B35" s="353"/>
      <c r="C35" s="354"/>
      <c r="D35" s="360"/>
      <c r="E35" s="358"/>
      <c r="F35" s="361"/>
      <c r="G35" s="198"/>
      <c r="H35" s="530"/>
      <c r="I35" s="532"/>
      <c r="J35" s="995"/>
      <c r="Q35" s="357">
        <v>11</v>
      </c>
    </row>
    <row customHeight="1" ht="19.5">
      <c r="A36" s="1000"/>
      <c r="D36" s="200"/>
      <c r="E36" s="512" t="s">
        <v>52</v>
      </c>
      <c r="F36" s="2875" t="s">
        <v>53</v>
      </c>
      <c r="G36" s="198"/>
      <c r="Q36" s="195">
        <v>0</v>
      </c>
    </row>
    <row customHeight="1" ht="21">
      <c r="A37" s="1000"/>
      <c r="D37" s="200"/>
      <c r="E37" s="512" t="s">
        <v>54</v>
      </c>
      <c r="F37" s="2875" t="s">
        <v>55</v>
      </c>
      <c r="G37" s="198"/>
      <c r="Q37" s="195">
        <v>20</v>
      </c>
    </row>
    <row s="6437" customFormat="1" customHeight="1" ht="6.3">
      <c r="A38" s="906"/>
      <c r="B38" s="353"/>
      <c r="C38" s="354"/>
      <c r="D38" s="355"/>
      <c r="E38" s="356"/>
      <c r="F38" s="1174"/>
      <c r="G38" s="194"/>
      <c r="H38" s="530"/>
      <c r="I38" s="532"/>
      <c r="J38" s="997"/>
      <c r="Q38" s="357">
        <v>6</v>
      </c>
    </row>
    <row customHeight="1" ht="36.75">
      <c r="A39" s="906"/>
      <c r="D39" s="196"/>
      <c r="E39" s="512" t="s">
        <v>56</v>
      </c>
      <c r="F39" s="831" t="s">
        <v>19</v>
      </c>
      <c r="G39" s="194"/>
      <c r="H39" s="894" t="s">
        <v>22</v>
      </c>
      <c r="Q39" s="195">
        <v>35</v>
      </c>
    </row>
    <row s="6437" customFormat="1" customHeight="1" ht="6" hidden="1">
      <c r="A40" s="905"/>
      <c r="B40" s="547"/>
      <c r="C40" s="548"/>
      <c r="D40" s="549"/>
      <c r="E40" s="550"/>
      <c r="F40" s="1174"/>
      <c r="G40" s="194"/>
      <c r="H40" s="530"/>
      <c r="I40" s="532"/>
      <c r="J40" s="997"/>
      <c r="Q40" s="551">
        <v>6</v>
      </c>
    </row>
    <row s="7720" customFormat="1" customHeight="1" ht="26.25" hidden="1">
      <c r="A41" s="909" t="s">
        <v>26</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1" t="s">
        <v>19</v>
      </c>
      <c r="G41" s="194"/>
      <c r="I41" s="532"/>
      <c r="J41" s="997"/>
      <c r="Q41" s="530">
        <v>0</v>
      </c>
    </row>
    <row s="6437" customFormat="1" customHeight="1" ht="6">
      <c r="A42" s="905"/>
      <c r="B42" s="547"/>
      <c r="C42" s="548"/>
      <c r="D42" s="549"/>
      <c r="E42" s="550"/>
      <c r="F42" s="1174"/>
      <c r="G42" s="194"/>
      <c r="H42" s="530"/>
      <c r="I42" s="532"/>
      <c r="J42" s="995"/>
      <c r="Q42" s="551">
        <v>0</v>
      </c>
    </row>
    <row s="7720" customFormat="1" customHeight="1" ht="27" hidden="1">
      <c r="A43" s="905"/>
      <c r="B43" s="534"/>
      <c r="C43" s="529"/>
      <c r="D43" s="531"/>
      <c r="E43" s="512" t="s">
        <v>57</v>
      </c>
      <c r="F43" s="831" t="s">
        <v>19</v>
      </c>
      <c r="G43" s="194"/>
      <c r="I43" s="532"/>
      <c r="J43" s="997"/>
      <c r="Q43" s="530">
        <v>0</v>
      </c>
    </row>
    <row s="7720" customFormat="1" customHeight="1" ht="27" hidden="1">
      <c r="A44" s="905"/>
      <c r="B44" s="534"/>
      <c r="C44" s="529"/>
      <c r="D44" s="531"/>
      <c r="E44" s="1286" t="s">
        <v>58</v>
      </c>
      <c r="F44" s="2009"/>
      <c r="G44" s="194"/>
      <c r="I44" s="532"/>
      <c r="J44" s="997"/>
      <c r="Q44" s="530">
        <v>0</v>
      </c>
    </row>
    <row s="6437" customFormat="1" customHeight="1" ht="6">
      <c r="A45" s="905"/>
      <c r="B45" s="547"/>
      <c r="C45" s="548"/>
      <c r="D45" s="549"/>
      <c r="E45" s="550"/>
      <c r="F45" s="1174"/>
      <c r="G45" s="194"/>
      <c r="H45" s="530"/>
      <c r="I45" s="532"/>
      <c r="J45" s="997"/>
      <c r="Q45" s="551">
        <v>0</v>
      </c>
    </row>
    <row s="6437" customFormat="1" customHeight="1" ht="24.75">
      <c r="A46" s="905"/>
      <c r="B46" s="547"/>
      <c r="C46" s="548"/>
      <c r="D46" s="549"/>
      <c r="E46" s="1286" t="s">
        <v>59</v>
      </c>
      <c r="F46" s="831" t="s">
        <v>19</v>
      </c>
      <c r="G46" s="194"/>
      <c r="H46" s="530"/>
      <c r="I46" s="532"/>
      <c r="J46" s="997"/>
      <c r="Q46" s="551">
        <v>0</v>
      </c>
    </row>
    <row s="7720" customFormat="1" customHeight="1" ht="24.75">
      <c r="A47" s="905"/>
      <c r="B47" s="534"/>
      <c r="C47" s="529"/>
      <c r="D47" s="531"/>
      <c r="E47" s="1286" t="s">
        <v>60</v>
      </c>
      <c r="F47" s="831" t="s">
        <v>19</v>
      </c>
      <c r="G47" s="194"/>
      <c r="I47" s="532"/>
      <c r="J47" s="997"/>
      <c r="Q47" s="530">
        <v>0</v>
      </c>
    </row>
    <row s="6437"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1"/>
      <c r="G49" s="194"/>
      <c r="Q49" s="195">
        <v>0</v>
      </c>
    </row>
    <row s="6437" customFormat="1" customHeight="1" ht="6" hidden="1">
      <c r="A50" s="906"/>
      <c r="B50" s="547"/>
      <c r="C50" s="548"/>
      <c r="D50" s="360"/>
      <c r="E50" s="358"/>
      <c r="F50" s="361"/>
      <c r="G50" s="198"/>
      <c r="H50" s="530"/>
      <c r="I50" s="532"/>
      <c r="J50" s="997"/>
      <c r="Q50" s="551">
        <v>0</v>
      </c>
    </row>
    <row s="7720" customFormat="1" customHeight="1" ht="28.5" hidden="1">
      <c r="A51" s="907"/>
      <c r="B51" s="534"/>
      <c r="C51" s="651"/>
      <c r="D51" s="652"/>
      <c r="E51" s="512" t="s">
        <v>61</v>
      </c>
      <c r="F51" s="831" t="s">
        <v>19</v>
      </c>
      <c r="G51" s="653"/>
      <c r="I51" s="655"/>
      <c r="J51" s="999"/>
      <c r="P51" s="656"/>
      <c r="Q51" s="654">
        <v>0</v>
      </c>
    </row>
    <row s="6437" customFormat="1" customHeight="1" ht="6" hidden="1">
      <c r="A52" s="906"/>
      <c r="B52" s="547"/>
      <c r="C52" s="548"/>
      <c r="D52" s="360"/>
      <c r="E52" s="358"/>
      <c r="F52" s="361"/>
      <c r="G52" s="198"/>
      <c r="H52" s="530"/>
      <c r="I52" s="532"/>
      <c r="J52" s="995"/>
      <c r="Q52" s="551">
        <v>0</v>
      </c>
    </row>
    <row s="7720" customFormat="1" customHeight="1" ht="27" hidden="1">
      <c r="A53" s="907"/>
      <c r="B53" s="534"/>
      <c r="C53" s="651"/>
      <c r="D53" s="652"/>
      <c r="E53" s="512" t="s">
        <v>62</v>
      </c>
      <c r="F53" s="1169" t="s">
        <v>19</v>
      </c>
      <c r="G53" s="653"/>
      <c r="I53" s="655"/>
      <c r="J53" s="999"/>
      <c r="P53" s="656"/>
      <c r="Q53" s="654">
        <v>0</v>
      </c>
    </row>
    <row s="7720" customFormat="1" customHeight="1" ht="27" hidden="1">
      <c r="A54" s="907"/>
      <c r="B54" s="534"/>
      <c r="C54" s="651"/>
      <c r="D54" s="652"/>
      <c r="E54" s="512" t="s">
        <v>63</v>
      </c>
      <c r="F54" s="1895"/>
      <c r="G54" s="653"/>
      <c r="I54" s="655"/>
      <c r="J54" s="999"/>
      <c r="P54" s="656"/>
      <c r="Q54" s="654">
        <v>0</v>
      </c>
    </row>
    <row s="6437" customFormat="1" customHeight="1" ht="6" hidden="1">
      <c r="A55" s="906"/>
      <c r="B55" s="547"/>
      <c r="C55" s="548"/>
      <c r="D55" s="360"/>
      <c r="E55" s="358"/>
      <c r="F55" s="361"/>
      <c r="G55" s="198"/>
      <c r="H55" s="530"/>
      <c r="I55" s="532"/>
      <c r="J55" s="995"/>
      <c r="Q55" s="551">
        <v>0</v>
      </c>
    </row>
    <row s="7720" customFormat="1" customHeight="1" ht="25.5" hidden="1">
      <c r="A56" s="907"/>
      <c r="B56" s="534"/>
      <c r="C56" s="651"/>
      <c r="D56" s="652"/>
      <c r="E56" s="512" t="s">
        <v>64</v>
      </c>
      <c r="F56" s="1169" t="s">
        <v>19</v>
      </c>
      <c r="G56" s="653"/>
      <c r="I56" s="655"/>
      <c r="J56" s="999"/>
      <c r="P56" s="656"/>
      <c r="Q56" s="654">
        <v>0</v>
      </c>
    </row>
    <row s="6437" customFormat="1" customHeight="1" ht="6" hidden="1">
      <c r="A57" s="906"/>
      <c r="B57" s="547"/>
      <c r="C57" s="548"/>
      <c r="D57" s="360"/>
      <c r="E57" s="358"/>
      <c r="F57" s="361"/>
      <c r="G57" s="198"/>
      <c r="H57" s="530"/>
      <c r="I57" s="532"/>
      <c r="J57" s="995"/>
      <c r="Q57" s="551">
        <v>0</v>
      </c>
    </row>
    <row s="7720" customFormat="1" customHeight="1" ht="15" hidden="1">
      <c r="A58" s="907"/>
      <c r="B58" s="534"/>
      <c r="C58" s="651"/>
      <c r="D58" s="652"/>
      <c r="E58" s="512" t="s">
        <v>65</v>
      </c>
      <c r="F58" s="1169" t="s">
        <v>66</v>
      </c>
      <c r="G58" s="653"/>
      <c r="I58" s="655"/>
      <c r="J58" s="999"/>
      <c r="P58" s="656"/>
      <c r="Q58" s="654">
        <v>0</v>
      </c>
    </row>
    <row s="7720"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0"/>
      <c r="G59" s="653"/>
      <c r="I59" s="655"/>
      <c r="J59" s="999"/>
      <c r="P59" s="656"/>
      <c r="Q59" s="654">
        <v>0</v>
      </c>
    </row>
    <row s="7720" customFormat="1" customHeight="1" ht="15" hidden="1">
      <c r="A60" s="907"/>
      <c r="B60" s="534"/>
      <c r="C60" s="651"/>
      <c r="D60" s="652"/>
      <c r="E60" s="1286" t="s">
        <v>67</v>
      </c>
      <c r="F60" s="1272"/>
      <c r="G60" s="653"/>
      <c r="I60" s="655"/>
      <c r="J60" s="999"/>
      <c r="P60" s="656"/>
      <c r="Q60" s="654">
        <v>0</v>
      </c>
    </row>
    <row s="6437" customFormat="1" customHeight="1" ht="6" hidden="1">
      <c r="A61" s="906"/>
      <c r="B61" s="547"/>
      <c r="C61" s="548"/>
      <c r="D61" s="549"/>
      <c r="E61" s="550"/>
      <c r="F61" s="1174"/>
      <c r="G61" s="194"/>
      <c r="H61" s="530"/>
      <c r="I61" s="532"/>
      <c r="J61" s="997"/>
      <c r="Q61" s="551">
        <v>0</v>
      </c>
    </row>
    <row s="7720" customFormat="1" customHeight="1" ht="33.75" hidden="1">
      <c r="A62" s="906"/>
      <c r="B62" s="219"/>
      <c r="C62" s="529"/>
      <c r="D62" s="531"/>
      <c r="E62" s="1286" t="s">
        <v>68</v>
      </c>
      <c r="F62" s="1792" t="s">
        <v>66</v>
      </c>
      <c r="G62" s="194"/>
      <c r="H62" s="894" t="s">
        <v>22</v>
      </c>
      <c r="I62" s="532"/>
      <c r="J62" s="997"/>
      <c r="Q62" s="530">
        <v>0</v>
      </c>
    </row>
    <row s="6437" customFormat="1" customHeight="1" ht="6.3">
      <c r="A63" s="906"/>
      <c r="B63" s="353"/>
      <c r="C63" s="354"/>
      <c r="D63" s="360"/>
      <c r="E63" s="358"/>
      <c r="F63" s="361"/>
      <c r="G63" s="198"/>
      <c r="H63" s="530"/>
      <c r="I63" s="532"/>
      <c r="J63" s="995"/>
      <c r="Q63" s="357">
        <v>6</v>
      </c>
    </row>
    <row customHeight="1" ht="24">
      <c r="A64" s="908"/>
      <c r="B64" s="220"/>
      <c r="D64" s="203"/>
      <c r="E64" s="512" t="s">
        <v>69</v>
      </c>
      <c r="F64" s="337" t="s">
        <v>70</v>
      </c>
      <c r="G64" s="198"/>
      <c r="Q64" s="195">
        <v>20</v>
      </c>
    </row>
    <row customHeight="1" ht="21">
      <c r="A65" s="908"/>
      <c r="B65" s="220"/>
      <c r="D65" s="203"/>
      <c r="E65" s="512" t="s">
        <v>71</v>
      </c>
      <c r="F65" s="337" t="s">
        <v>72</v>
      </c>
      <c r="G65" s="198"/>
      <c r="Q65" s="195">
        <v>20</v>
      </c>
    </row>
    <row customHeight="1" ht="36.75">
      <c r="D66" s="196"/>
      <c r="E66" s="514" t="s">
        <v>73</v>
      </c>
      <c r="F66" s="1175"/>
      <c r="G66" s="194"/>
      <c r="Q66" s="195">
        <v>35</v>
      </c>
    </row>
    <row customHeight="1" ht="21">
      <c r="A67" s="908"/>
      <c r="D67" s="531"/>
      <c r="E67" s="512" t="s">
        <v>74</v>
      </c>
      <c r="F67" s="392" t="s">
        <v>75</v>
      </c>
      <c r="G67" s="198"/>
      <c r="Q67" s="195">
        <v>20</v>
      </c>
    </row>
    <row customHeight="1" ht="21">
      <c r="A68" s="908"/>
      <c r="B68" s="220"/>
      <c r="D68" s="203"/>
      <c r="E68" s="512" t="s">
        <v>76</v>
      </c>
      <c r="F68" s="392" t="s">
        <v>77</v>
      </c>
      <c r="G68" s="198"/>
      <c r="Q68" s="195">
        <v>20</v>
      </c>
    </row>
    <row customHeight="1" ht="21">
      <c r="A69" s="908"/>
      <c r="B69" s="220"/>
      <c r="D69" s="203"/>
      <c r="E69" s="512" t="s">
        <v>78</v>
      </c>
      <c r="F69" s="392" t="s">
        <v>79</v>
      </c>
      <c r="G69" s="198"/>
      <c r="Q69" s="195">
        <v>20</v>
      </c>
    </row>
    <row customHeight="1" ht="21">
      <c r="D70" s="531"/>
      <c r="E70" s="512" t="s">
        <v>80</v>
      </c>
      <c r="F70" s="392" t="s">
        <v>81</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82</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5FC0074-CD3B-960D-CA96-0.FD9F3B5D}"/>
    <hyperlink ref="H17" location="Титульный!H9" display="Как заполнить?" tooltip="Помощь по работе с полями отчётной формы" xr:uid="{636B59BD-B75B-E35C-9B67-0.507CFFCB}"/>
    <hyperlink ref="H39" location="Титульный!H9" display="Как заполнить?" tooltip="Помощь по работе с полями отчётной формы" xr:uid="{2127531C-018B-6D8A-70E3-0.972D6C06}"/>
    <hyperlink ref="H62" location="Титульный!H9" display="Как заполнить?" tooltip="Помощь по работе с полями отчётной формы" xr:uid="{CE231FD7-58B9-E3FE-E465-0.E96535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DA94-2439-797D-D128-0.B342E899}" mc:Ignorable="x14ac xr xr2 xr3">
  <sheetPr>
    <tabColor rgb="FFCCCCFF"/>
    <pageSetUpPr fitToPage="1"/>
  </sheetPr>
  <dimension ref="A1:AC34"/>
  <sheetViews>
    <sheetView topLeftCell="A1" showGridLines="0" zoomScale="90" workbookViewId="0">
      <selection activeCell="H26" sqref="H26"/>
    </sheetView>
  </sheetViews>
  <sheetFormatPr defaultColWidth="9.140625" customHeight="1" defaultRowHeight="14.25"/>
  <cols>
    <col min="1" max="1" style="7720" width="8.00390625" hidden="1" customWidth="1"/>
    <col min="2" max="2" style="7669" width="6.00390625" hidden="1" customWidth="1"/>
    <col min="3" max="3" style="7720" width="3.00390625" customWidth="1"/>
    <col min="4" max="4" style="7936" width="3.00390625" customWidth="1"/>
    <col min="5" max="5" style="7720" width="6.00390625" customWidth="1"/>
    <col min="6" max="6" style="7720" width="2.7109375" hidden="1" customWidth="1"/>
    <col min="7" max="7" style="7720" width="46.7109375" customWidth="1"/>
    <col min="8" max="8" style="7720" width="42.00390625" customWidth="1"/>
    <col min="9" max="9" style="7720" width="14.00390625" customWidth="1"/>
    <col min="10" max="10" style="7672" width="3.00390625" customWidth="1"/>
    <col min="11" max="13" style="7672" width="9.140625" hidden="1"/>
    <col min="14" max="14" style="7672" width="25.7109375" hidden="1" customWidth="1"/>
    <col min="15" max="15" style="7672" width="14.421875" hidden="1" customWidth="1"/>
    <col min="16" max="19" style="5850" width="9.140625" hidden="1"/>
    <col min="20" max="27" style="7720" width="9.140625" hidden="1"/>
    <col min="28" max="28" style="7720" width="8.00390625" customWidth="1"/>
    <col min="29" max="29" style="7720" width="9.140625" hidden="1"/>
  </cols>
  <sheetData>
    <row s="7217" customFormat="1" customHeight="1" ht="5.25" hidden="1">
      <c r="A1" s="617"/>
      <c r="B1" s="632"/>
      <c r="C1" s="632"/>
      <c r="D1" s="342"/>
      <c r="F1" s="632"/>
      <c r="G1" s="368" t="s">
        <v>83</v>
      </c>
      <c r="H1" s="615" t="s">
        <v>84</v>
      </c>
      <c r="I1" s="348" t="s">
        <v>85</v>
      </c>
      <c r="J1" s="368" t="s">
        <v>83</v>
      </c>
      <c r="K1" s="368"/>
      <c r="L1" s="368"/>
      <c r="M1" s="368"/>
      <c r="N1" s="369"/>
      <c r="O1" s="368"/>
      <c r="P1" s="368"/>
      <c r="Q1" s="368"/>
      <c r="R1" s="368"/>
      <c r="S1" s="368"/>
      <c r="T1" s="348"/>
      <c r="U1" s="348"/>
      <c r="V1" s="348"/>
      <c r="W1" s="348"/>
      <c r="X1" s="348"/>
      <c r="Y1" s="348"/>
      <c r="Z1" s="348"/>
      <c r="AA1" s="348"/>
      <c r="AB1" s="348"/>
      <c r="AC1" s="273" t="s">
        <v>14</v>
      </c>
    </row>
    <row s="6897"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418" customFormat="1" customHeight="1" ht="3">
      <c r="A3" s="879"/>
      <c r="B3" s="538"/>
      <c r="C3" s="879"/>
      <c r="D3" s="285"/>
      <c r="E3" s="224"/>
      <c r="F3" s="630"/>
      <c r="G3" s="224"/>
      <c r="H3" s="224"/>
      <c r="I3" s="287"/>
      <c r="J3" s="368"/>
      <c r="K3" s="276"/>
      <c r="L3" s="276"/>
      <c r="M3" s="276"/>
      <c r="N3" s="347"/>
      <c r="O3" s="276"/>
      <c r="P3" s="346"/>
      <c r="Q3" s="346"/>
      <c r="R3" s="346"/>
      <c r="S3" s="346"/>
      <c r="AC3" s="237">
        <v>3</v>
      </c>
    </row>
    <row s="6418" customFormat="1" customHeight="1" ht="27.299999999999997">
      <c r="A4" s="879"/>
      <c r="B4" s="538"/>
      <c r="C4" s="879"/>
      <c r="D4" s="285"/>
      <c r="E4" s="2221" t="str">
        <f>NameTemplatesInListMO</f>
        <v>Перечень муниципальных районов и муниципальных образований (территорий действия тарифа)</v>
      </c>
      <c r="F4" s="2221"/>
      <c r="G4" s="2221"/>
      <c r="H4" s="2221"/>
      <c r="I4" s="2221"/>
      <c r="J4" s="368"/>
      <c r="K4" s="276"/>
      <c r="L4" s="276"/>
      <c r="M4" s="276"/>
      <c r="N4" s="347"/>
      <c r="O4" s="276"/>
      <c r="P4" s="346"/>
      <c r="Q4" s="346"/>
      <c r="R4" s="346"/>
      <c r="S4" s="346"/>
      <c r="AC4" s="237">
        <v>26</v>
      </c>
    </row>
    <row s="6418" customFormat="1" customHeight="1" ht="3">
      <c r="A5" s="879"/>
      <c r="B5" s="538"/>
      <c r="C5" s="879"/>
      <c r="D5" s="285"/>
      <c r="E5" s="224"/>
      <c r="F5" s="630"/>
      <c r="G5" s="288"/>
      <c r="H5" s="288"/>
      <c r="I5" s="289"/>
      <c r="J5" s="276"/>
      <c r="K5" s="276"/>
      <c r="L5" s="276"/>
      <c r="M5" s="276"/>
      <c r="N5" s="347"/>
      <c r="O5" s="276"/>
      <c r="P5" s="346"/>
      <c r="Q5" s="346"/>
      <c r="R5" s="346"/>
      <c r="S5" s="346"/>
      <c r="AC5" s="237">
        <v>3</v>
      </c>
    </row>
    <row s="6418"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418" customFormat="1" customHeight="1" ht="14.699999999999998">
      <c r="A8" s="879"/>
      <c r="B8" s="538"/>
      <c r="C8" s="879"/>
      <c r="D8" s="285"/>
      <c r="E8" s="2222" t="s">
        <v>86</v>
      </c>
      <c r="F8" s="2223"/>
      <c r="G8" s="2224"/>
      <c r="H8" s="2225" t="s">
        <v>87</v>
      </c>
      <c r="I8" s="2225"/>
      <c r="J8" s="276"/>
      <c r="K8" s="276"/>
      <c r="L8" s="276"/>
      <c r="M8" s="276"/>
      <c r="N8" s="347"/>
      <c r="O8" s="276"/>
      <c r="P8" s="346"/>
      <c r="Q8" s="346"/>
      <c r="R8" s="346"/>
      <c r="S8" s="346"/>
      <c r="AC8" s="237">
        <v>14</v>
      </c>
    </row>
    <row s="6418" customFormat="1" customHeight="1" ht="21">
      <c r="A9" s="879"/>
      <c r="B9" s="538"/>
      <c r="C9" s="879"/>
      <c r="D9" s="285"/>
      <c r="E9" s="898" t="s">
        <v>88</v>
      </c>
      <c r="F9" s="898"/>
      <c r="G9" s="293" t="s">
        <v>89</v>
      </c>
      <c r="H9" s="293" t="s">
        <v>89</v>
      </c>
      <c r="I9" s="293" t="s">
        <v>85</v>
      </c>
      <c r="J9" s="276"/>
      <c r="K9" s="276"/>
      <c r="L9" s="276"/>
      <c r="M9" s="276"/>
      <c r="N9" s="347"/>
      <c r="O9" s="276"/>
      <c r="P9" s="346"/>
      <c r="Q9" s="346"/>
      <c r="R9" s="346"/>
      <c r="S9" s="346"/>
      <c r="AC9" s="237">
        <v>20</v>
      </c>
    </row>
    <row customHeight="1" ht="11.549999999999999">
      <c r="D10" s="297"/>
      <c r="E10" s="899" t="s">
        <v>90</v>
      </c>
      <c r="F10" s="899"/>
      <c r="G10" s="344" t="s">
        <v>91</v>
      </c>
      <c r="H10" s="344" t="s">
        <v>92</v>
      </c>
      <c r="I10" s="344" t="s">
        <v>93</v>
      </c>
      <c r="J10" s="307"/>
      <c r="K10" s="307"/>
      <c r="L10" s="307"/>
      <c r="M10" s="307"/>
      <c r="N10" s="292"/>
      <c r="O10" s="307"/>
      <c r="P10" s="345"/>
      <c r="Q10" s="345"/>
      <c r="R10" s="345"/>
      <c r="S10" s="345"/>
      <c r="AC10" s="204">
        <v>11</v>
      </c>
    </row>
    <row s="6418" customFormat="1" customHeight="1" ht="1.05">
      <c r="A11" s="879"/>
      <c r="B11" s="538"/>
      <c r="C11" s="879"/>
      <c r="D11" s="285"/>
      <c r="E11" s="911"/>
      <c r="F11" s="911"/>
      <c r="G11" s="294"/>
      <c r="H11" s="294"/>
      <c r="I11" s="296"/>
      <c r="J11" s="370" t="s">
        <v>94</v>
      </c>
      <c r="K11" s="276"/>
      <c r="L11" s="276"/>
      <c r="M11" s="276" t="s">
        <v>95</v>
      </c>
      <c r="N11" s="347" t="s">
        <v>96</v>
      </c>
      <c r="O11" s="276" t="s">
        <v>97</v>
      </c>
      <c r="P11" s="346"/>
      <c r="Q11" s="346"/>
      <c r="R11" s="346"/>
      <c r="S11" s="346"/>
      <c r="AC11" s="237">
        <v>1</v>
      </c>
    </row>
    <row s="6418" customFormat="1" customHeight="1" ht="15">
      <c r="A12" s="2220">
        <v>1</v>
      </c>
      <c r="B12" s="538"/>
      <c r="C12" s="879"/>
      <c r="D12" s="903"/>
      <c r="E12" s="340">
        <f>A12</f>
        <v>1</v>
      </c>
      <c r="F12" s="923" t="s">
        <v>98</v>
      </c>
      <c r="G12" s="661" t="str">
        <f>"Территория "&amp;E12</f>
        <v>Территория 1</v>
      </c>
      <c r="H12" s="913"/>
      <c r="I12" s="913"/>
      <c r="J12" s="910"/>
      <c r="K12" s="621"/>
      <c r="L12" s="621"/>
      <c r="M12" s="621"/>
      <c r="N12" s="347"/>
      <c r="O12" s="621"/>
      <c r="P12" s="346"/>
      <c r="Q12" s="346"/>
      <c r="R12" s="346"/>
      <c r="S12" s="346"/>
      <c r="AC12" s="628">
        <v>14</v>
      </c>
    </row>
    <row s="8469" customFormat="1" customHeight="1" ht="15.75">
      <c r="A13" s="2220"/>
      <c r="B13" s="538">
        <v>1</v>
      </c>
      <c r="C13" s="538"/>
      <c r="D13" s="921"/>
      <c r="E13" s="901" t="str">
        <f>A12&amp;"."&amp;B13</f>
        <v>1.1</v>
      </c>
      <c r="F13" s="916" t="s">
        <v>99</v>
      </c>
      <c r="G13" s="914" t="s">
        <v>100</v>
      </c>
      <c r="H13" s="914" t="s">
        <v>101</v>
      </c>
      <c r="I13" s="912" t="s">
        <v>102</v>
      </c>
      <c r="J13" s="621">
        <f>MERGEVALUE(G13)</f>
      </c>
      <c r="K13" s="632"/>
      <c r="L13" s="632"/>
      <c r="M13" s="621" t="str">
        <f t="array" ref="M13:M13">IF(ISERROR(MATCH(MID(N13,1,250),MID(note_ter,1,250),0)),"n","y")</f>
        <v>n</v>
      </c>
      <c r="N13" s="632"/>
      <c r="O13" s="621" t="str">
        <f>H13&amp;"("&amp;I13&amp;")"</f>
        <v>Новодевяткинское(41612458)</v>
      </c>
      <c r="P13" s="538"/>
      <c r="Q13" s="538"/>
      <c r="R13" s="541"/>
      <c r="S13" s="538"/>
      <c r="T13" s="538"/>
      <c r="U13" s="538"/>
      <c r="V13" s="543"/>
      <c r="W13" s="543"/>
      <c r="X13" s="540"/>
      <c r="Y13" s="540"/>
      <c r="Z13" s="540"/>
      <c r="AA13" s="540"/>
      <c r="AB13" s="540"/>
      <c r="AC13" s="544">
        <v>15</v>
      </c>
    </row>
    <row customHeight="1" ht="15">
      <c r="A14" s="2003"/>
      <c r="B14" s="1487" t="s">
        <v>103</v>
      </c>
      <c r="C14" s="1487"/>
      <c r="D14" s="921" t="s">
        <v>104</v>
      </c>
      <c r="E14" s="1999" t="str">
        <f>A12&amp;"."&amp;B14</f>
        <v>1.2</v>
      </c>
      <c r="F14" s="2004" t="s">
        <v>105</v>
      </c>
      <c r="G14" s="2008" t="s">
        <v>100</v>
      </c>
      <c r="H14" s="2008" t="s">
        <v>106</v>
      </c>
      <c r="I14" s="2006" t="s">
        <v>107</v>
      </c>
      <c r="J14" s="1745"/>
      <c r="K14" s="1757"/>
      <c r="L14" s="1757"/>
      <c r="M14" s="1745" t="str">
        <f t="array" ref="M14:M14">IF(ISERROR(MATCH(MID(N14,1,250),MID(note_ter,1,250),0)),"n","y")</f>
        <v>n</v>
      </c>
      <c r="N14" s="1757"/>
      <c r="O14" s="1745" t="str">
        <f>H14&amp;"("&amp;I14&amp;")"</f>
        <v>Муринское(41612103)</v>
      </c>
      <c r="P14" s="1487"/>
      <c r="Q14" s="1487"/>
      <c r="R14" s="541"/>
      <c r="S14" s="1487"/>
      <c r="T14" s="1487"/>
      <c r="U14" s="1487"/>
      <c r="V14" s="954"/>
      <c r="W14" s="954"/>
      <c r="X14" s="748"/>
      <c r="Y14" s="748"/>
      <c r="Z14" s="748"/>
      <c r="AA14" s="748"/>
      <c r="AB14" s="748"/>
      <c r="AC14" s="748"/>
    </row>
    <row customHeight="1" ht="15">
      <c r="A15" s="2003"/>
      <c r="B15" s="1487" t="s">
        <v>90</v>
      </c>
      <c r="C15" s="1487"/>
      <c r="D15" s="921" t="s">
        <v>104</v>
      </c>
      <c r="E15" s="1999" t="str">
        <f>A12&amp;"."&amp;B15</f>
        <v>1.3</v>
      </c>
      <c r="F15" s="2004" t="s">
        <v>108</v>
      </c>
      <c r="G15" s="2008" t="s">
        <v>109</v>
      </c>
      <c r="H15" s="2008" t="s">
        <v>110</v>
      </c>
      <c r="I15" s="2006" t="s">
        <v>111</v>
      </c>
      <c r="J15" s="1745"/>
      <c r="K15" s="1757"/>
      <c r="L15" s="1757"/>
      <c r="M15" s="1745" t="str">
        <f t="array" ref="M15:M15">IF(ISERROR(MATCH(MID(N15,1,250),MID(note_ter,1,250),0)),"n","y")</f>
        <v>n</v>
      </c>
      <c r="N15" s="1757"/>
      <c r="O15" s="1745" t="str">
        <f>H15&amp;"("&amp;I15&amp;")"</f>
        <v>Свирьстройское(41627154)</v>
      </c>
      <c r="P15" s="1487"/>
      <c r="Q15" s="1487"/>
      <c r="R15" s="541"/>
      <c r="S15" s="1487"/>
      <c r="T15" s="1487"/>
      <c r="U15" s="1487"/>
      <c r="V15" s="954"/>
      <c r="W15" s="954"/>
      <c r="X15" s="748"/>
      <c r="Y15" s="748"/>
      <c r="Z15" s="748"/>
      <c r="AA15" s="748"/>
      <c r="AB15" s="748"/>
      <c r="AC15" s="748"/>
    </row>
    <row s="8469" customFormat="1" customHeight="1" ht="15.75">
      <c r="A16" s="2220"/>
      <c r="B16" s="538"/>
      <c r="C16" s="533"/>
      <c r="D16" s="922"/>
      <c r="E16" s="542"/>
      <c r="F16" s="298"/>
      <c r="G16" s="536" t="s">
        <v>112</v>
      </c>
      <c r="H16" s="308"/>
      <c r="I16" s="545"/>
      <c r="J16" s="632"/>
      <c r="K16" s="632"/>
      <c r="L16" s="632"/>
      <c r="M16" s="632"/>
      <c r="N16" s="621"/>
      <c r="O16" s="632"/>
      <c r="P16" s="538"/>
      <c r="Q16" s="538"/>
      <c r="R16" s="541"/>
      <c r="S16" s="538"/>
      <c r="T16" s="538"/>
      <c r="U16" s="538"/>
      <c r="V16" s="543"/>
      <c r="W16" s="543"/>
      <c r="X16" s="540"/>
      <c r="Y16" s="540"/>
      <c r="Z16" s="540"/>
      <c r="AA16" s="540"/>
      <c r="AB16" s="540"/>
      <c r="AC16" s="544">
        <v>15</v>
      </c>
    </row>
    <row customHeight="1" ht="15">
      <c r="A17" s="2338" t="s">
        <v>103</v>
      </c>
      <c r="B17" s="1281"/>
      <c r="C17" s="922" t="s">
        <v>104</v>
      </c>
      <c r="D17" s="1939"/>
      <c r="E17" s="1926" t="str">
        <f>A17</f>
        <v>2</v>
      </c>
      <c r="F17" s="925" t="s">
        <v>113</v>
      </c>
      <c r="G17" s="661" t="str">
        <f>"Территория "&amp;E17</f>
        <v>Территория 2</v>
      </c>
      <c r="H17" s="913"/>
      <c r="I17" s="913"/>
      <c r="J17" s="910"/>
      <c r="K17" s="1745"/>
      <c r="L17" s="1745"/>
      <c r="M17" s="1745"/>
      <c r="N17" s="347"/>
      <c r="O17" s="1745"/>
      <c r="P17" s="346"/>
      <c r="Q17" s="346"/>
      <c r="R17" s="346"/>
      <c r="S17" s="346"/>
      <c r="T17" s="3003"/>
      <c r="U17" s="3003"/>
      <c r="V17" s="3003"/>
      <c r="W17" s="3003"/>
      <c r="X17" s="3003"/>
      <c r="Y17" s="3003"/>
      <c r="Z17" s="3003"/>
      <c r="AA17" s="3003"/>
      <c r="AB17" s="3003"/>
      <c r="AC17" s="3003"/>
    </row>
    <row customHeight="1" ht="15">
      <c r="A18" s="2338"/>
      <c r="B18" s="1281">
        <v>1</v>
      </c>
      <c r="C18" s="1281"/>
      <c r="D18" s="921"/>
      <c r="E18" s="1934" t="str">
        <f>A17&amp;"."&amp;B18</f>
        <v>2.1</v>
      </c>
      <c r="F18" s="924" t="s">
        <v>114</v>
      </c>
      <c r="G18" s="914" t="s">
        <v>100</v>
      </c>
      <c r="H18" s="914" t="s">
        <v>115</v>
      </c>
      <c r="I18" s="912" t="s">
        <v>116</v>
      </c>
      <c r="J18" s="1745"/>
      <c r="K18" s="1757"/>
      <c r="L18" s="1757"/>
      <c r="M18" s="1745" t="str">
        <f t="array" ref="M18:M18">IF(ISERROR(MATCH(MID(N18,1,250),MID(note_ter,1,250),0)),"n","y")</f>
        <v>n</v>
      </c>
      <c r="N18" s="1757"/>
      <c r="O18" s="1745" t="str">
        <f>H18&amp;"("&amp;I18&amp;")"</f>
        <v>Заневское(41612155)</v>
      </c>
      <c r="P18" s="1281"/>
      <c r="Q18" s="1281"/>
      <c r="R18" s="541"/>
      <c r="S18" s="1281"/>
      <c r="T18" s="1281"/>
      <c r="U18" s="1281"/>
      <c r="V18" s="543"/>
      <c r="W18" s="543"/>
      <c r="X18" s="540"/>
      <c r="Y18" s="540"/>
      <c r="Z18" s="540"/>
      <c r="AA18" s="540"/>
      <c r="AB18" s="540"/>
      <c r="AC18" s="540"/>
    </row>
    <row customHeight="1" ht="15">
      <c r="A19" s="2338"/>
      <c r="B19" s="1281"/>
      <c r="C19" s="533"/>
      <c r="D19" s="922"/>
      <c r="E19" s="542"/>
      <c r="F19" s="298"/>
      <c r="G19" s="536" t="s">
        <v>112</v>
      </c>
      <c r="H19" s="308"/>
      <c r="I19" s="545"/>
      <c r="J19" s="1757"/>
      <c r="K19" s="1757"/>
      <c r="L19" s="1757"/>
      <c r="M19" s="1757"/>
      <c r="N19" s="1745"/>
      <c r="O19" s="1757"/>
      <c r="P19" s="1281"/>
      <c r="Q19" s="1281"/>
      <c r="R19" s="541"/>
      <c r="S19" s="1281"/>
      <c r="T19" s="1281"/>
      <c r="U19" s="1281"/>
      <c r="V19" s="543"/>
      <c r="W19" s="543"/>
      <c r="X19" s="540"/>
      <c r="Y19" s="540"/>
      <c r="Z19" s="540"/>
      <c r="AA19" s="540"/>
      <c r="AB19" s="540"/>
      <c r="AC19" s="540"/>
    </row>
    <row s="6418" customFormat="1" customHeight="1" ht="14.699999999999998">
      <c r="A20" s="879"/>
      <c r="B20" s="538"/>
      <c r="C20" s="879"/>
      <c r="D20" s="903"/>
      <c r="E20" s="915"/>
      <c r="F20" s="299"/>
      <c r="G20" s="537" t="s">
        <v>117</v>
      </c>
      <c r="H20" s="299"/>
      <c r="I20" s="300"/>
      <c r="J20" s="370"/>
      <c r="K20" s="276"/>
      <c r="L20" s="276"/>
      <c r="M20" s="276"/>
      <c r="N20" s="347" t="s">
        <v>118</v>
      </c>
      <c r="O20" s="276"/>
      <c r="P20" s="346"/>
      <c r="Q20" s="346"/>
      <c r="R20" s="346"/>
      <c r="S20" s="346"/>
      <c r="AC20" s="237">
        <v>14</v>
      </c>
    </row>
    <row s="6418" customFormat="1" customHeight="1" ht="22.049999999999997">
      <c r="A21" s="879"/>
      <c r="B21" s="538"/>
      <c r="C21" s="879"/>
      <c r="D21" s="286"/>
      <c r="E21" s="301"/>
      <c r="F21" s="301"/>
      <c r="G21" s="301"/>
      <c r="H21" s="301"/>
      <c r="I21" s="301"/>
      <c r="J21" s="276"/>
      <c r="K21" s="276"/>
      <c r="L21" s="276"/>
      <c r="M21" s="276"/>
      <c r="N21" s="347"/>
      <c r="O21" s="276"/>
      <c r="P21" s="346"/>
      <c r="Q21" s="346"/>
      <c r="R21" s="346"/>
      <c r="S21" s="346"/>
      <c r="AC21" s="237">
        <v>21</v>
      </c>
    </row>
    <row s="6418" customFormat="1" customHeight="1" ht="14.699999999999998">
      <c r="A22" s="879"/>
      <c r="B22" s="538"/>
      <c r="C22" s="879"/>
      <c r="D22" s="286"/>
      <c r="E22" s="204"/>
      <c r="F22" s="879"/>
      <c r="G22" s="204"/>
      <c r="H22" s="204"/>
      <c r="I22" s="204"/>
      <c r="J22" s="276"/>
      <c r="K22" s="276"/>
      <c r="L22" s="276"/>
      <c r="M22" s="276"/>
      <c r="N22" s="347"/>
      <c r="O22" s="276"/>
      <c r="P22" s="346"/>
      <c r="Q22" s="346"/>
      <c r="R22" s="346"/>
      <c r="S22" s="346"/>
      <c r="AC22" s="237">
        <v>14</v>
      </c>
    </row>
    <row s="6418" customFormat="1" customHeight="1" ht="1.05">
      <c r="A23" s="879"/>
      <c r="B23" s="538"/>
      <c r="C23" s="879"/>
      <c r="D23" s="286"/>
      <c r="E23" s="204"/>
      <c r="F23" s="879"/>
      <c r="G23" s="204"/>
      <c r="H23" s="204"/>
      <c r="I23" s="204"/>
      <c r="J23" s="276"/>
      <c r="K23" s="276"/>
      <c r="L23" s="276"/>
      <c r="M23" s="276"/>
      <c r="N23" s="347"/>
      <c r="O23" s="276"/>
      <c r="P23" s="346"/>
      <c r="Q23" s="346"/>
      <c r="R23" s="346"/>
      <c r="S23" s="346"/>
      <c r="AC23" s="237">
        <v>1</v>
      </c>
    </row>
    <row s="7627" customFormat="1" customHeight="1" ht="10.5">
      <c r="B24" s="955"/>
      <c r="D24" s="303"/>
      <c r="J24" s="276"/>
      <c r="K24" s="276"/>
      <c r="L24" s="276"/>
      <c r="M24" s="276"/>
      <c r="N24" s="347"/>
      <c r="O24" s="276"/>
      <c r="P24" s="346"/>
      <c r="Q24" s="346"/>
      <c r="R24" s="346"/>
      <c r="S24" s="346"/>
      <c r="AC24" s="302">
        <v>10</v>
      </c>
    </row>
    <row s="7627" customFormat="1" customHeight="1" ht="10.5">
      <c r="B25" s="955"/>
      <c r="D25" s="303"/>
      <c r="J25" s="276"/>
      <c r="K25" s="276"/>
      <c r="L25" s="276"/>
      <c r="M25" s="276"/>
      <c r="N25" s="347"/>
      <c r="O25" s="276"/>
      <c r="P25" s="346"/>
      <c r="Q25" s="346"/>
      <c r="R25" s="346"/>
      <c r="S25" s="346"/>
      <c r="AC25" s="302">
        <v>10</v>
      </c>
    </row>
    <row customHeight="1" ht="14.699999999999998">
      <c r="AC26" s="204">
        <v>14</v>
      </c>
    </row>
    <row customHeight="1" ht="14.699999999999998">
      <c r="AC27" s="204">
        <v>14</v>
      </c>
    </row>
    <row customHeight="1" ht="14.699999999999998">
      <c r="AC28" s="204">
        <v>14</v>
      </c>
    </row>
    <row customHeight="1" ht="14.699999999999998">
      <c r="H29" s="183"/>
      <c r="AC29" s="204">
        <v>14</v>
      </c>
    </row>
    <row customHeight="1" ht="14.699999999999998">
      <c r="AC30" s="204">
        <v>14</v>
      </c>
    </row>
    <row customHeight="1" ht="14.699999999999998">
      <c r="AC31" s="204">
        <v>14</v>
      </c>
    </row>
    <row customHeight="1" ht="14.699999999999998">
      <c r="AC32" s="204">
        <v>14</v>
      </c>
    </row>
    <row customHeight="1" ht="14.699999999999998">
      <c r="J33" s="204"/>
      <c r="K33" s="204"/>
      <c r="L33" s="204"/>
      <c r="AC33" s="204">
        <v>14</v>
      </c>
    </row>
    <row customHeight="1" ht="22.5" hidden="1">
      <c r="A34" s="879" t="s">
        <v>82</v>
      </c>
      <c r="B34" s="538">
        <v>0</v>
      </c>
      <c r="C34" s="879">
        <v>3</v>
      </c>
      <c r="D34" s="286">
        <v>3</v>
      </c>
      <c r="E34" s="204">
        <v>6</v>
      </c>
      <c r="F34" s="879">
        <v>0</v>
      </c>
      <c r="G34" s="204">
        <v>46</v>
      </c>
      <c r="H34" s="204">
        <v>42</v>
      </c>
      <c r="I34" s="204">
        <v>14</v>
      </c>
      <c r="J34" s="276">
        <v>3</v>
      </c>
      <c r="K34" s="276">
        <v>0</v>
      </c>
      <c r="L34" s="276">
        <v>0</v>
      </c>
      <c r="M34" s="276">
        <v>0</v>
      </c>
      <c r="N34" s="347">
        <v>0</v>
      </c>
      <c r="O34" s="276">
        <v>0</v>
      </c>
      <c r="P34" s="346">
        <v>0</v>
      </c>
      <c r="Q34" s="346">
        <v>0</v>
      </c>
      <c r="R34" s="346">
        <v>0</v>
      </c>
      <c r="S34" s="346">
        <v>0</v>
      </c>
      <c r="T34" s="204">
        <v>0</v>
      </c>
      <c r="U34" s="204">
        <v>0</v>
      </c>
      <c r="V34" s="204">
        <v>0</v>
      </c>
      <c r="W34" s="204">
        <v>0</v>
      </c>
      <c r="X34" s="204">
        <v>0</v>
      </c>
      <c r="Y34" s="204">
        <v>0</v>
      </c>
      <c r="Z34" s="204">
        <v>0</v>
      </c>
      <c r="AA34" s="204">
        <v>0</v>
      </c>
      <c r="AB34" s="204">
        <v>8</v>
      </c>
      <c r="AC34" s="204">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9382A-5E2D-BD74-1C69-0.63F8ACF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00" width="6.421875" hidden="1" customWidth="1"/>
    <col min="2" max="2" style="8300" width="2.00390625" hidden="1" customWidth="1"/>
    <col min="3" max="3" style="8300" width="3.00390625" customWidth="1"/>
    <col min="4" max="4" style="8300" width="4.00390625" customWidth="1"/>
    <col min="5" max="5" style="8300" width="44.00390625" customWidth="1"/>
    <col min="6" max="6" style="8300" width="6.421875" customWidth="1"/>
    <col min="7" max="7" style="8300" width="4.00390625" customWidth="1"/>
    <col min="8" max="8" style="8300" width="5.00390625" customWidth="1"/>
    <col min="9" max="9" style="8300" width="52.00390625" customWidth="1"/>
    <col min="10" max="10" style="8300" width="7.00390625" customWidth="1"/>
    <col min="11" max="11" style="8300" width="3.00390625" customWidth="1"/>
    <col min="12" max="12" style="8300" width="6.00390625" customWidth="1"/>
    <col min="13" max="13" style="8300" width="56.00390625" customWidth="1"/>
    <col min="14" max="14" style="6597" width="8.00390625" customWidth="1"/>
    <col min="15" max="20" style="7672" width="9.140625" hidden="1"/>
    <col min="21" max="24" style="7837" width="9.140625" hidden="1"/>
    <col min="25" max="37" style="6597" width="9.140625" hidden="1"/>
    <col min="38" max="38" style="6597" width="8.00390625" customWidth="1"/>
    <col min="39" max="39" style="8300"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4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1"/>
      <c r="F4" s="2241"/>
      <c r="G4" s="2241"/>
      <c r="H4" s="2241"/>
      <c r="I4" s="2242"/>
      <c r="J4" s="705"/>
      <c r="K4" s="705"/>
      <c r="L4" s="705"/>
      <c r="M4" s="705"/>
      <c r="AM4" s="704">
        <v>34</v>
      </c>
    </row>
    <row s="5960" customFormat="1" customHeight="1" ht="14.699999999999998">
      <c r="A5" s="706"/>
      <c r="B5" s="706"/>
      <c r="C5" s="706"/>
      <c r="D5" s="2243" t="str">
        <f>IF(org=0,"Не определено",org)</f>
        <v>ПАО "ТГК-1" филиал "Невский"</v>
      </c>
      <c r="E5" s="2244"/>
      <c r="F5" s="2244"/>
      <c r="G5" s="2244"/>
      <c r="H5" s="2244"/>
      <c r="I5" s="224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960" customFormat="1" customHeight="1" ht="6.3">
      <c r="A6" s="2246"/>
      <c r="B6" s="2246"/>
      <c r="C6" s="2246"/>
      <c r="D6" s="2246"/>
      <c r="E6" s="2246"/>
      <c r="F6" s="224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2"/>
      <c r="G7" s="2252"/>
      <c r="H7" s="2252"/>
      <c r="I7" s="2252"/>
      <c r="J7" s="2252"/>
      <c r="K7" s="2252"/>
      <c r="L7" s="2252"/>
      <c r="M7" s="2252"/>
      <c r="AM7" s="704">
        <v>0</v>
      </c>
    </row>
    <row s="5960"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47"/>
      <c r="B9" s="444"/>
      <c r="C9" s="444"/>
      <c r="D9" s="2248" t="s">
        <v>119</v>
      </c>
      <c r="E9" s="2248"/>
      <c r="F9" s="2249" t="s">
        <v>120</v>
      </c>
      <c r="G9" s="2250"/>
      <c r="H9" s="2250"/>
      <c r="I9" s="2250"/>
      <c r="J9" s="2253" t="s">
        <v>121</v>
      </c>
      <c r="K9" s="2253"/>
      <c r="L9" s="2253"/>
      <c r="M9" s="2253"/>
      <c r="AM9" s="704">
        <v>18</v>
      </c>
    </row>
    <row customHeight="1" ht="24">
      <c r="A10" s="2247"/>
      <c r="B10" s="713"/>
      <c r="C10" s="646"/>
      <c r="D10" s="644" t="s">
        <v>88</v>
      </c>
      <c r="E10" s="644" t="s">
        <v>89</v>
      </c>
      <c r="F10" s="644" t="s">
        <v>122</v>
      </c>
      <c r="G10" s="2254" t="s">
        <v>88</v>
      </c>
      <c r="H10" s="2255"/>
      <c r="I10" s="644" t="s">
        <v>89</v>
      </c>
      <c r="J10" s="644" t="s">
        <v>122</v>
      </c>
      <c r="K10" s="2254" t="s">
        <v>88</v>
      </c>
      <c r="L10" s="2255"/>
      <c r="M10" s="644" t="s">
        <v>89</v>
      </c>
      <c r="N10" s="1748"/>
      <c r="AM10" s="704">
        <v>23</v>
      </c>
    </row>
    <row s="8300" customFormat="1" customHeight="1" ht="11.25" hidden="1">
      <c r="A11" s="714"/>
      <c r="B11" s="714"/>
      <c r="C11" s="714"/>
      <c r="D11" s="715" t="s">
        <v>123</v>
      </c>
      <c r="E11" s="715" t="s">
        <v>103</v>
      </c>
      <c r="F11" s="715" t="s">
        <v>90</v>
      </c>
      <c r="G11" s="2236" t="s">
        <v>91</v>
      </c>
      <c r="H11" s="2237"/>
      <c r="I11" s="715" t="s">
        <v>124</v>
      </c>
      <c r="J11" s="715" t="s">
        <v>92</v>
      </c>
      <c r="K11" s="2238" t="s">
        <v>93</v>
      </c>
      <c r="L11" s="2239"/>
      <c r="M11" s="715" t="s">
        <v>125</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126</v>
      </c>
      <c r="P12" s="1534" t="s">
        <v>127</v>
      </c>
      <c r="Q12" s="1534" t="s">
        <v>128</v>
      </c>
      <c r="R12" s="1534" t="s">
        <v>129</v>
      </c>
      <c r="AM12" s="704">
        <v>1</v>
      </c>
    </row>
    <row s="8300" customFormat="1" customHeight="1" ht="15.75">
      <c r="A13" s="414"/>
      <c r="B13" s="414"/>
      <c r="C13" s="647"/>
      <c r="D13" s="2229" t="s">
        <v>123</v>
      </c>
      <c r="E13" s="2230"/>
      <c r="F13" s="2233" t="s">
        <v>66</v>
      </c>
      <c r="G13" s="2234"/>
      <c r="H13" s="2235">
        <v>1</v>
      </c>
      <c r="I13" s="2226" t="str">
        <f>IF(U13="","",INDEX(TERRITORY_MR_LIST,MATCH(U13,TERRITORY_LIST_ID,0)))</f>
        <v/>
      </c>
      <c r="J13" s="2228" t="s">
        <v>19</v>
      </c>
      <c r="K13" s="723"/>
      <c r="L13" s="648" t="s">
        <v>123</v>
      </c>
      <c r="M13" s="724" t="s">
        <v>28</v>
      </c>
      <c r="N13" s="933"/>
      <c r="O13" s="1537" t="s">
        <v>130</v>
      </c>
      <c r="P13" s="1534">
        <f>$E$13</f>
        <v>0</v>
      </c>
      <c r="Q13" s="1534" t="str">
        <f>IF($F$13="нет","без дифференциации",$I$13)</f>
        <v/>
      </c>
      <c r="R13" s="1534" t="str">
        <f>IF($J$13="нет","без дифференциации",M13)</f>
        <v>без дифференциации</v>
      </c>
      <c r="S13" s="1537"/>
      <c r="T13" s="1537"/>
      <c r="U13" s="1387"/>
      <c r="V13" s="1387"/>
      <c r="W13" s="1387"/>
      <c r="X13" s="1387"/>
      <c r="Y13" s="725" t="s">
        <v>131</v>
      </c>
      <c r="Z13" s="725">
        <v>1705000</v>
      </c>
      <c r="AA13" s="725"/>
      <c r="AB13" s="725"/>
      <c r="AC13" s="725"/>
      <c r="AD13" s="725"/>
      <c r="AE13" s="725"/>
      <c r="AF13" s="725"/>
      <c r="AG13" s="725"/>
      <c r="AH13" s="725"/>
      <c r="AI13" s="725"/>
      <c r="AJ13" s="725"/>
      <c r="AK13" s="725"/>
      <c r="AL13" s="725"/>
      <c r="AM13" s="727">
        <v>15</v>
      </c>
    </row>
    <row s="8300" customFormat="1" customHeight="1" ht="15.75">
      <c r="A14" s="414"/>
      <c r="B14" s="414"/>
      <c r="C14" s="297"/>
      <c r="D14" s="2229"/>
      <c r="E14" s="2231"/>
      <c r="F14" s="2228"/>
      <c r="G14" s="2234"/>
      <c r="H14" s="2235"/>
      <c r="I14" s="2227"/>
      <c r="J14" s="2228"/>
      <c r="K14" s="542"/>
      <c r="L14" s="298"/>
      <c r="M14" s="728" t="s">
        <v>132</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8300" customFormat="1" customHeight="1" ht="15.75">
      <c r="A15" s="414"/>
      <c r="B15" s="414"/>
      <c r="C15" s="297"/>
      <c r="D15" s="2229"/>
      <c r="E15" s="2232"/>
      <c r="F15" s="2228"/>
      <c r="G15" s="1181"/>
      <c r="H15" s="1182"/>
      <c r="I15" s="701" t="s">
        <v>133</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134</v>
      </c>
      <c r="F16" s="298"/>
      <c r="G16" s="298"/>
      <c r="H16" s="298"/>
      <c r="I16" s="298"/>
      <c r="J16" s="298"/>
      <c r="K16" s="298" t="s">
        <v>28</v>
      </c>
      <c r="L16" s="298"/>
      <c r="M16" s="729"/>
      <c r="N16" s="1748"/>
      <c r="AM16" s="704">
        <v>15</v>
      </c>
    </row>
    <row customHeight="1" ht="11.25" hidden="1">
      <c r="A17" s="704" t="s">
        <v>82</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B4B08-6DAC-57B4-E0AA-0.236B9B27}" mc:Ignorable="x14ac xr xr2 xr3">
  <sheetPr>
    <tabColor rgb="FFCCCCFF"/>
  </sheetPr>
  <dimension ref="A1:AR150"/>
  <sheetViews>
    <sheetView topLeftCell="C4" showGridLines="0" zoomScale="90" workbookViewId="0" tabSelected="1">
      <selection activeCell="J36" sqref="J36"/>
    </sheetView>
  </sheetViews>
  <sheetFormatPr defaultColWidth="9.140625" customHeight="1" defaultRowHeight="11.25"/>
  <cols>
    <col min="1" max="2" style="7672" width="3.7109375" hidden="1" customWidth="1"/>
    <col min="3" max="3" style="8300" width="3.00390625" customWidth="1"/>
    <col min="4" max="4" style="8300" width="6.00390625" customWidth="1"/>
    <col min="5" max="5" style="8300" width="42.00390625" customWidth="1"/>
    <col min="6" max="6" style="8300" width="15.00390625" customWidth="1"/>
    <col min="7" max="7" style="8300" width="42.00390625" customWidth="1"/>
    <col min="8" max="8" style="8300" width="3.00390625" customWidth="1"/>
    <col min="9" max="9" style="8300" width="5.00390625" customWidth="1"/>
    <col min="10" max="10" style="8300" width="47.00390625" customWidth="1"/>
    <col min="11" max="12" style="8300" width="3.00390625" customWidth="1"/>
    <col min="13" max="13" style="8300" width="5.00390625" customWidth="1"/>
    <col min="14" max="14" style="8300" width="28.00390625" customWidth="1"/>
    <col min="15" max="16" style="8300" width="3.00390625" customWidth="1"/>
    <col min="17" max="17" style="8300" width="5.00390625" customWidth="1"/>
    <col min="18" max="18" style="8300" width="34.00390625" customWidth="1"/>
    <col min="19" max="20" style="8300" width="3.7109375" customWidth="1"/>
    <col min="21" max="21" style="8300" width="5.7109375" customWidth="1"/>
    <col min="22" max="22" style="8300" width="34.421875" customWidth="1"/>
    <col min="23" max="23" style="8300" width="30.00390625" customWidth="1"/>
    <col min="24" max="24" style="8300" width="3.00390625" customWidth="1"/>
    <col min="25" max="28" style="7837" width="9.8515625" hidden="1" customWidth="1"/>
    <col min="29" max="29" style="7837" width="27.00390625" hidden="1" customWidth="1"/>
    <col min="30" max="30" style="7837" width="10.57421875" hidden="1" customWidth="1"/>
    <col min="31" max="31" style="7837" width="10.7109375" hidden="1" customWidth="1"/>
    <col min="32" max="32" style="7837" width="10.00390625" hidden="1" customWidth="1"/>
    <col min="33" max="33" style="7837" width="12.8515625" hidden="1" customWidth="1"/>
    <col min="34" max="34" style="7837" width="24.421875" hidden="1" customWidth="1"/>
    <col min="35" max="35" style="7837" width="15.8515625" hidden="1" customWidth="1"/>
    <col min="36" max="36" style="7837" width="19.421875" hidden="1" customWidth="1"/>
    <col min="37" max="37" style="7837" width="11.00390625" hidden="1" customWidth="1"/>
    <col min="38" max="38" style="7837" width="23.57421875" hidden="1" customWidth="1"/>
    <col min="39" max="39" style="7837" width="23.8515625" hidden="1" customWidth="1"/>
    <col min="40" max="40" style="7837" width="25.28125" hidden="1" customWidth="1"/>
    <col min="41" max="41" style="7837" width="16.8515625" hidden="1" customWidth="1"/>
    <col min="42" max="42" style="7837" width="29.57421875" hidden="1" customWidth="1"/>
    <col min="43" max="43" style="7837" width="29.8515625" hidden="1" customWidth="1"/>
    <col min="44" max="44" style="8300" width="9.140625" hidden="1"/>
  </cols>
  <sheetData>
    <row customHeight="1" ht="11.25" hidden="1">
      <c r="A1" s="277"/>
      <c r="AR1" s="225" t="s">
        <v>14</v>
      </c>
    </row>
    <row customHeight="1" ht="11.25" hidden="1">
      <c r="AR2" s="225">
        <v>0</v>
      </c>
    </row>
    <row customHeight="1" ht="11.25" hidden="1">
      <c r="AR3" s="225">
        <v>0</v>
      </c>
    </row>
    <row customHeight="1" ht="3">
      <c r="AR4" s="225">
        <v>3</v>
      </c>
    </row>
    <row s="5960" customFormat="1" customHeight="1" ht="30.45">
      <c r="A5" s="275"/>
      <c r="B5" s="275"/>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9"/>
      <c r="F5" s="2279"/>
      <c r="G5" s="2279"/>
      <c r="H5" s="2279"/>
      <c r="I5" s="2279"/>
      <c r="J5" s="228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960" customFormat="1" customHeight="1" ht="14.699999999999998">
      <c r="A6" s="706"/>
      <c r="B6" s="706"/>
      <c r="C6" s="706"/>
      <c r="D6" s="2284" t="str">
        <f>IF(org=0,"Не определено",org)</f>
        <v>ПАО "ТГК-1" филиал "Невский"</v>
      </c>
      <c r="E6" s="2284"/>
      <c r="F6" s="2284"/>
      <c r="G6" s="2284"/>
      <c r="H6" s="2284"/>
      <c r="I6" s="2284"/>
      <c r="J6" s="228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958" customFormat="1" customHeight="1" ht="11.549999999999999">
      <c r="A7" s="332"/>
      <c r="B7" s="332"/>
      <c r="D7" s="2281"/>
      <c r="E7" s="2282"/>
      <c r="F7" s="2282"/>
      <c r="G7" s="2282"/>
      <c r="H7" s="2282"/>
      <c r="I7" s="2282"/>
      <c r="J7" s="228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960"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48" t="s">
        <v>88</v>
      </c>
      <c r="E9" s="2222" t="s">
        <v>135</v>
      </c>
      <c r="F9" s="2224"/>
      <c r="G9" s="2248" t="s">
        <v>119</v>
      </c>
      <c r="H9" s="2248" t="s">
        <v>88</v>
      </c>
      <c r="I9" s="2248"/>
      <c r="J9" s="2248" t="s">
        <v>136</v>
      </c>
      <c r="K9" s="2276" t="s">
        <v>137</v>
      </c>
      <c r="L9" s="2276"/>
      <c r="M9" s="2276"/>
      <c r="N9" s="2276"/>
      <c r="O9" s="2276" t="s">
        <v>138</v>
      </c>
      <c r="P9" s="2276"/>
      <c r="Q9" s="2276"/>
      <c r="R9" s="2276"/>
      <c r="S9" s="2276" t="s">
        <v>139</v>
      </c>
      <c r="T9" s="2276"/>
      <c r="U9" s="2276"/>
      <c r="V9" s="2276"/>
      <c r="W9" s="2248" t="s">
        <v>140</v>
      </c>
      <c r="AR9" s="225">
        <v>27</v>
      </c>
    </row>
    <row customHeight="1" ht="31.5">
      <c r="D10" s="2248"/>
      <c r="E10" s="1405" t="s">
        <v>89</v>
      </c>
      <c r="F10" s="1405" t="s">
        <v>141</v>
      </c>
      <c r="G10" s="2248"/>
      <c r="H10" s="2248"/>
      <c r="I10" s="2248"/>
      <c r="J10" s="2248"/>
      <c r="K10" s="231" t="s">
        <v>122</v>
      </c>
      <c r="L10" s="2248" t="s">
        <v>88</v>
      </c>
      <c r="M10" s="2248"/>
      <c r="N10" s="231" t="s">
        <v>142</v>
      </c>
      <c r="O10" s="231" t="s">
        <v>122</v>
      </c>
      <c r="P10" s="2248" t="s">
        <v>88</v>
      </c>
      <c r="Q10" s="2248"/>
      <c r="R10" s="231" t="s">
        <v>142</v>
      </c>
      <c r="S10" s="404" t="s">
        <v>122</v>
      </c>
      <c r="T10" s="2248" t="s">
        <v>88</v>
      </c>
      <c r="U10" s="2248"/>
      <c r="V10" s="404" t="s">
        <v>89</v>
      </c>
      <c r="W10" s="2248"/>
      <c r="Z10" s="1380" t="s">
        <v>143</v>
      </c>
      <c r="AA10" s="1380" t="s">
        <v>144</v>
      </c>
      <c r="AB10" s="1380" t="s">
        <v>145</v>
      </c>
      <c r="AC10" s="1380" t="s">
        <v>146</v>
      </c>
      <c r="AD10" s="1380" t="s">
        <v>147</v>
      </c>
      <c r="AE10" s="1380" t="s">
        <v>148</v>
      </c>
      <c r="AF10" s="1380" t="s">
        <v>149</v>
      </c>
      <c r="AG10" s="1380" t="s">
        <v>150</v>
      </c>
      <c r="AH10" s="1380" t="s">
        <v>151</v>
      </c>
      <c r="AI10" s="1380" t="s">
        <v>152</v>
      </c>
      <c r="AJ10" s="1380" t="s">
        <v>153</v>
      </c>
      <c r="AK10" s="1380" t="s">
        <v>154</v>
      </c>
      <c r="AL10" s="1380" t="s">
        <v>155</v>
      </c>
      <c r="AM10" s="1380" t="s">
        <v>156</v>
      </c>
      <c r="AN10" s="1380" t="s">
        <v>157</v>
      </c>
      <c r="AO10" s="1380" t="s">
        <v>158</v>
      </c>
      <c r="AP10" s="1380" t="s">
        <v>159</v>
      </c>
      <c r="AQ10" s="1380" t="s">
        <v>160</v>
      </c>
      <c r="AR10" s="225">
        <v>30</v>
      </c>
    </row>
    <row s="7672" customFormat="1" customHeight="1" ht="12" hidden="1">
      <c r="D11" s="1370" t="s">
        <v>123</v>
      </c>
      <c r="E11" s="1370" t="s">
        <v>103</v>
      </c>
      <c r="F11" s="1370"/>
      <c r="G11" s="1370" t="s">
        <v>90</v>
      </c>
      <c r="H11" s="2277" t="s">
        <v>124</v>
      </c>
      <c r="I11" s="2277"/>
      <c r="J11" s="1370" t="s">
        <v>92</v>
      </c>
      <c r="K11" s="1370" t="s">
        <v>93</v>
      </c>
      <c r="L11" s="2277" t="s">
        <v>125</v>
      </c>
      <c r="M11" s="2277"/>
      <c r="N11" s="1370" t="s">
        <v>161</v>
      </c>
      <c r="O11" s="1370" t="s">
        <v>162</v>
      </c>
      <c r="P11" s="2277" t="s">
        <v>163</v>
      </c>
      <c r="Q11" s="2277"/>
      <c r="R11" s="1370" t="s">
        <v>164</v>
      </c>
      <c r="S11" s="1370" t="s">
        <v>163</v>
      </c>
      <c r="T11" s="2277" t="s">
        <v>164</v>
      </c>
      <c r="U11" s="2277"/>
      <c r="V11" s="1370" t="s">
        <v>165</v>
      </c>
      <c r="W11" s="1370" t="s">
        <v>166</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8300" customFormat="1" customHeight="1" ht="17.25">
      <c r="A13" s="442"/>
      <c r="C13" s="330"/>
      <c r="D13" s="2256">
        <v>1</v>
      </c>
      <c r="E13" s="2264" t="s">
        <v>167</v>
      </c>
      <c r="F13" s="2266" t="s">
        <v>66</v>
      </c>
      <c r="G13" s="3148"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3149"/>
      <c r="I13" s="3149">
        <v>1</v>
      </c>
      <c r="J13" s="3150" t="s">
        <v>168</v>
      </c>
      <c r="K13" s="3151" t="s">
        <v>66</v>
      </c>
      <c r="L13" s="3152"/>
      <c r="M13" s="3152" t="s">
        <v>123</v>
      </c>
      <c r="N13" s="3153" t="str">
        <f>IF(Z13="","",INDEX(TERRITORY_MR_LIST,MATCH(Z13,TERRITORY_LIST_ID,0)))</f>
        <v>Территория 1</v>
      </c>
      <c r="O13" s="3151" t="s">
        <v>19</v>
      </c>
      <c r="P13" s="3152"/>
      <c r="Q13" s="3152" t="s">
        <v>123</v>
      </c>
      <c r="R13" s="3154" t="s">
        <v>28</v>
      </c>
      <c r="S13" s="3155" t="s">
        <v>19</v>
      </c>
      <c r="T13" s="3152"/>
      <c r="U13" s="3152" t="s">
        <v>123</v>
      </c>
      <c r="V13" s="3154" t="s">
        <v>28</v>
      </c>
      <c r="W13" s="3150"/>
      <c r="Y13" s="1388"/>
      <c r="Z13" s="1388" t="s">
        <v>98</v>
      </c>
      <c r="AA13" s="1388"/>
      <c r="AB13" s="1388" t="s">
        <v>169</v>
      </c>
      <c r="AC13" s="1388" t="s">
        <v>170</v>
      </c>
      <c r="AD13" s="1388" t="s">
        <v>171</v>
      </c>
      <c r="AE13" s="1388" t="s">
        <v>172</v>
      </c>
      <c r="AF13" s="1388" t="s">
        <v>173</v>
      </c>
      <c r="AG13" s="1388" t="s">
        <v>174</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388" t="str">
        <f>IF($J$13=0,"",$J$13)</f>
        <v>Тариф на тепловую энергию (мощность) без учета затрат на теплоноситель, 
поставляемую потребителям узла теплоснабжения ТЭЦ-21 и бойлерные ПАО "ТГК-1"</v>
      </c>
      <c r="AK13" s="1388" t="str">
        <f>IF($K$13="нет","без дифференциации",IF($N$13=0,"",$N$13))</f>
        <v>Территория 1</v>
      </c>
      <c r="AL13" s="1388" t="str">
        <f>IF($O$13="нет","без дифференциации",IF($R$13=0,"",$R$13))</f>
        <v>без дифференциации</v>
      </c>
      <c r="AM13" s="1388" t="str">
        <f>IF($S$13="нет","без дифференциации",IF($V$13=0,"",$V$13))</f>
        <v>без дифференциации</v>
      </c>
      <c r="AN13" s="1388">
        <f>$I$13</f>
        <v>1</v>
      </c>
      <c r="AO13" s="1388" t="str">
        <f>$I$13&amp;"."&amp;$M$13</f>
        <v>1.1</v>
      </c>
      <c r="AP13" s="1388" t="str">
        <f>$I$13&amp;"."&amp;$M$13&amp;"."&amp;$Q$13</f>
        <v>1.1.1</v>
      </c>
      <c r="AQ13" s="1388" t="str">
        <f>$I$13&amp;"."&amp;$M$13&amp;"."&amp;$Q$13&amp;"."&amp;$U$13</f>
        <v>1.1.1.1</v>
      </c>
      <c r="AR13" s="871">
        <v>0</v>
      </c>
    </row>
    <row s="8300" customFormat="1" customHeight="1" ht="17.25">
      <c r="A14" s="442"/>
      <c r="C14" s="441"/>
      <c r="D14" s="2256"/>
      <c r="E14" s="2264"/>
      <c r="F14" s="2267"/>
      <c r="G14" s="3148"/>
      <c r="H14" s="3149"/>
      <c r="I14" s="3149"/>
      <c r="J14" s="3150"/>
      <c r="K14" s="3160"/>
      <c r="L14" s="3152"/>
      <c r="M14" s="3152"/>
      <c r="N14" s="3153"/>
      <c r="O14" s="3160"/>
      <c r="P14" s="3152"/>
      <c r="Q14" s="3152"/>
      <c r="R14" s="3154" t="s">
        <v>28</v>
      </c>
      <c r="S14" s="3155"/>
      <c r="T14" s="3161"/>
      <c r="U14" s="3162"/>
      <c r="V14" s="3163" t="s">
        <v>175</v>
      </c>
      <c r="W14" s="3164"/>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8300" customFormat="1" customHeight="1" ht="17.25">
      <c r="A15" s="442"/>
      <c r="C15" s="330"/>
      <c r="D15" s="2256"/>
      <c r="E15" s="2264"/>
      <c r="F15" s="2267"/>
      <c r="G15" s="3148"/>
      <c r="H15" s="3165"/>
      <c r="I15" s="3165"/>
      <c r="J15" s="3166"/>
      <c r="K15" s="3160"/>
      <c r="L15" s="3165"/>
      <c r="M15" s="3165"/>
      <c r="N15" s="3167"/>
      <c r="O15" s="3168"/>
      <c r="P15" s="3169"/>
      <c r="Q15" s="3170"/>
      <c r="R15" s="3171" t="s">
        <v>176</v>
      </c>
      <c r="S15" s="3172"/>
      <c r="T15" s="3173"/>
      <c r="U15" s="3174"/>
      <c r="V15" s="3175"/>
      <c r="W15" s="3176"/>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8300" customFormat="1" customHeight="1" ht="17.25">
      <c r="A16" s="442"/>
      <c r="C16" s="441"/>
      <c r="D16" s="2256"/>
      <c r="E16" s="2264"/>
      <c r="F16" s="2267"/>
      <c r="G16" s="3148"/>
      <c r="H16" s="3165"/>
      <c r="I16" s="3165"/>
      <c r="J16" s="3166"/>
      <c r="K16" s="3168"/>
      <c r="L16" s="3178"/>
      <c r="M16" s="3179"/>
      <c r="N16" s="3180" t="s">
        <v>177</v>
      </c>
      <c r="O16" s="3181"/>
      <c r="P16" s="3182"/>
      <c r="Q16" s="3183"/>
      <c r="R16" s="3184"/>
      <c r="S16" s="3185"/>
      <c r="T16" s="3186"/>
      <c r="U16" s="3187"/>
      <c r="V16" s="3188"/>
      <c r="W16" s="318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customHeight="1" ht="17.25">
      <c r="A17" s="1961"/>
      <c r="B17" s="3191"/>
      <c r="C17" s="1963"/>
      <c r="D17" s="1951"/>
      <c r="E17" s="1968"/>
      <c r="F17" s="1905"/>
      <c r="G17" s="1969"/>
      <c r="H17" s="2650" t="s">
        <v>104</v>
      </c>
      <c r="I17" s="2650" t="s">
        <v>103</v>
      </c>
      <c r="J17" s="2622" t="s">
        <v>178</v>
      </c>
      <c r="K17" s="2306" t="s">
        <v>66</v>
      </c>
      <c r="L17" s="2229"/>
      <c r="M17" s="2229" t="s">
        <v>123</v>
      </c>
      <c r="N17" s="2625" t="str">
        <f>IF(Z17="","",INDEX(TERRITORY_MR_LIST,MATCH(Z17,TERRITORY_LIST_ID,0)))</f>
        <v>Территория 2</v>
      </c>
      <c r="O17" s="2306" t="s">
        <v>19</v>
      </c>
      <c r="P17" s="2229"/>
      <c r="Q17" s="2229" t="s">
        <v>123</v>
      </c>
      <c r="R17" s="3200" t="s">
        <v>28</v>
      </c>
      <c r="S17" s="2228" t="s">
        <v>19</v>
      </c>
      <c r="T17" s="1932"/>
      <c r="U17" s="1932" t="s">
        <v>123</v>
      </c>
      <c r="V17" s="3202" t="s">
        <v>28</v>
      </c>
      <c r="W17" s="1922"/>
      <c r="X17" s="3191"/>
      <c r="Y17" s="1388"/>
      <c r="Z17" s="1388" t="s">
        <v>113</v>
      </c>
      <c r="AA17" s="1388"/>
      <c r="AB17" s="1388"/>
      <c r="AC17" s="3204" t="s">
        <v>170</v>
      </c>
      <c r="AD17" s="1388" t="s">
        <v>179</v>
      </c>
      <c r="AE17" s="1388" t="s">
        <v>180</v>
      </c>
      <c r="AF17" s="1388" t="s">
        <v>181</v>
      </c>
      <c r="AG17" s="1388" t="s">
        <v>182</v>
      </c>
      <c r="AH17"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388"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388" t="str">
        <f>IF($J$17=0,"",$J$17)</f>
        <v>Тариф на тепловую энергию (мощность), 
поставляемую потребителям узла теплоснабжения ТЭЦ-5 ПАО "ТГК-1"</v>
      </c>
      <c r="AK17" s="1388" t="str">
        <f>IF($K$17="нет","без дифференциации",IF($N$17=0,"",$N$17))</f>
        <v>Территория 2</v>
      </c>
      <c r="AL17" s="1965" t="str">
        <f>IF($O$17="нет","без дифференциации",IF($R$17=0,"",$R$17))</f>
        <v>без дифференциации</v>
      </c>
      <c r="AM17" s="1965" t="str">
        <f>IF($S$17="нет","без дифференциации",IF($V$17=0,"",$V$17))</f>
        <v>без дифференциации</v>
      </c>
      <c r="AN17" s="1388" t="str">
        <f>$I$17</f>
        <v>2</v>
      </c>
      <c r="AO17" s="1388" t="str">
        <f>$I$17&amp;"."&amp;$M$17</f>
        <v>2.1</v>
      </c>
      <c r="AP17" s="1388" t="str">
        <f>$I$17&amp;"."&amp;$M$17&amp;"."&amp;$Q$17</f>
        <v>2.1.1</v>
      </c>
      <c r="AQ17" s="1388" t="str">
        <f>$I$17&amp;"."&amp;$M$17&amp;"."&amp;$Q$17&amp;"."&amp;$U$17</f>
        <v>2.1.1.1</v>
      </c>
      <c r="AR17" s="3191"/>
    </row>
    <row customHeight="1" ht="17.25">
      <c r="A18" s="1961"/>
      <c r="B18" s="3191"/>
      <c r="C18" s="1966"/>
      <c r="D18" s="1951"/>
      <c r="E18" s="1968"/>
      <c r="F18" s="1905"/>
      <c r="G18" s="1969"/>
      <c r="H18" s="2650"/>
      <c r="I18" s="2650"/>
      <c r="J18" s="2622"/>
      <c r="K18" s="2307"/>
      <c r="L18" s="2229"/>
      <c r="M18" s="2229"/>
      <c r="N18" s="2625"/>
      <c r="O18" s="2307"/>
      <c r="P18" s="2229"/>
      <c r="Q18" s="2229"/>
      <c r="R18" s="3200" t="s">
        <v>28</v>
      </c>
      <c r="S18" s="2228"/>
      <c r="T18" s="438"/>
      <c r="U18" s="439"/>
      <c r="V18" s="439" t="s">
        <v>175</v>
      </c>
      <c r="W18" s="440"/>
      <c r="X18" s="3191"/>
      <c r="Y18" s="1380"/>
      <c r="Z18" s="1380"/>
      <c r="AA18" s="1380"/>
      <c r="AB18" s="1380"/>
      <c r="AC18" s="1380"/>
      <c r="AD18" s="1380"/>
      <c r="AE18" s="1380"/>
      <c r="AF18" s="1380"/>
      <c r="AG18" s="1380"/>
      <c r="AH18" s="1380"/>
      <c r="AI18" s="1380"/>
      <c r="AJ18" s="1380"/>
      <c r="AK18" s="1380"/>
      <c r="AL18" s="3191"/>
      <c r="AM18" s="3191"/>
      <c r="AN18" s="3191"/>
      <c r="AO18" s="3191"/>
      <c r="AP18" s="3191"/>
      <c r="AQ18" s="3191"/>
      <c r="AR18" s="3191"/>
    </row>
    <row customHeight="1" ht="17.25">
      <c r="A19" s="1961"/>
      <c r="B19" s="3191"/>
      <c r="C19" s="1966"/>
      <c r="D19" s="1951"/>
      <c r="E19" s="1968"/>
      <c r="F19" s="1905"/>
      <c r="G19" s="1969"/>
      <c r="H19" s="2624"/>
      <c r="I19" s="2624"/>
      <c r="J19" s="2654"/>
      <c r="K19" s="2307"/>
      <c r="L19" s="2624"/>
      <c r="M19" s="2624"/>
      <c r="N19" s="2626"/>
      <c r="O19" s="2233"/>
      <c r="P19" s="438"/>
      <c r="Q19" s="439"/>
      <c r="R19" s="439" t="s">
        <v>176</v>
      </c>
      <c r="S19" s="1967"/>
      <c r="T19" s="1967"/>
      <c r="U19" s="1967"/>
      <c r="V19" s="1967"/>
      <c r="W19" s="440"/>
      <c r="X19" s="3191"/>
      <c r="Y19" s="1380"/>
      <c r="Z19" s="1380"/>
      <c r="AA19" s="1380"/>
      <c r="AB19" s="1380"/>
      <c r="AC19" s="1380"/>
      <c r="AD19" s="1380"/>
      <c r="AE19" s="1380"/>
      <c r="AF19" s="1380"/>
      <c r="AG19" s="1380"/>
      <c r="AH19" s="1380"/>
      <c r="AI19" s="1380"/>
      <c r="AJ19" s="1380"/>
      <c r="AK19" s="1380"/>
      <c r="AL19" s="3191"/>
      <c r="AM19" s="3191"/>
      <c r="AN19" s="3191"/>
      <c r="AO19" s="3191"/>
      <c r="AP19" s="3191"/>
      <c r="AQ19" s="3191"/>
      <c r="AR19" s="3191"/>
    </row>
    <row customHeight="1" ht="17.25">
      <c r="A20" s="1961"/>
      <c r="B20" s="3191"/>
      <c r="C20" s="1966"/>
      <c r="D20" s="1951"/>
      <c r="E20" s="1968"/>
      <c r="F20" s="1905"/>
      <c r="G20" s="1969"/>
      <c r="H20" s="2624"/>
      <c r="I20" s="2624"/>
      <c r="J20" s="2654"/>
      <c r="K20" s="2233"/>
      <c r="L20" s="438"/>
      <c r="M20" s="439"/>
      <c r="N20" s="439" t="s">
        <v>177</v>
      </c>
      <c r="O20" s="439"/>
      <c r="P20" s="439"/>
      <c r="Q20" s="439"/>
      <c r="R20" s="439"/>
      <c r="S20" s="1967"/>
      <c r="T20" s="1967"/>
      <c r="U20" s="1967"/>
      <c r="V20" s="1967"/>
      <c r="W20" s="440"/>
      <c r="X20" s="3191"/>
      <c r="Y20" s="1380"/>
      <c r="Z20" s="1380"/>
      <c r="AA20" s="1380"/>
      <c r="AB20" s="1380"/>
      <c r="AC20" s="1380"/>
      <c r="AD20" s="1380"/>
      <c r="AE20" s="1380"/>
      <c r="AF20" s="1380"/>
      <c r="AG20" s="1380"/>
      <c r="AH20" s="1380"/>
      <c r="AI20" s="1380"/>
      <c r="AJ20" s="1380"/>
      <c r="AK20" s="1380"/>
      <c r="AL20" s="3191"/>
      <c r="AM20" s="3191"/>
      <c r="AN20" s="3191"/>
      <c r="AO20" s="3191"/>
      <c r="AP20" s="3191"/>
      <c r="AQ20" s="3191"/>
      <c r="AR20" s="3191"/>
    </row>
    <row s="8300" customFormat="1" customHeight="1" ht="17.25">
      <c r="A21" s="442"/>
      <c r="C21" s="441"/>
      <c r="D21" s="2257"/>
      <c r="E21" s="2265"/>
      <c r="F21" s="2268"/>
      <c r="G21" s="3218"/>
      <c r="H21" s="3219"/>
      <c r="I21" s="3220"/>
      <c r="J21" s="3221" t="s">
        <v>183</v>
      </c>
      <c r="K21" s="3222"/>
      <c r="L21" s="3223"/>
      <c r="M21" s="3224"/>
      <c r="N21" s="3225"/>
      <c r="O21" s="3226"/>
      <c r="P21" s="3227"/>
      <c r="Q21" s="3228"/>
      <c r="R21" s="3229"/>
      <c r="S21" s="3230"/>
      <c r="T21" s="3231"/>
      <c r="U21" s="3232"/>
      <c r="V21" s="3233"/>
      <c r="W21" s="3234"/>
      <c r="Y21" s="1380"/>
      <c r="Z21" s="1380"/>
      <c r="AA21" s="1380"/>
      <c r="AB21" s="1380"/>
      <c r="AC21" s="1380"/>
      <c r="AD21" s="1380"/>
      <c r="AE21" s="1380"/>
      <c r="AF21" s="1380"/>
      <c r="AG21" s="1380"/>
      <c r="AH21" s="1380"/>
      <c r="AI21" s="1380"/>
      <c r="AJ21" s="1380"/>
      <c r="AK21" s="1380"/>
      <c r="AL21" s="1380"/>
      <c r="AM21" s="1380"/>
      <c r="AN21" s="1380"/>
      <c r="AO21" s="1380"/>
      <c r="AP21" s="1380"/>
      <c r="AQ21" s="1380"/>
      <c r="AR21" s="871">
        <v>0</v>
      </c>
    </row>
    <row s="8300" customFormat="1" customHeight="1" ht="17.25">
      <c r="A22" s="442"/>
      <c r="C22" s="330"/>
      <c r="D22" s="2256">
        <v>2</v>
      </c>
      <c r="E22" s="3235" t="s">
        <v>184</v>
      </c>
      <c r="F22" s="2266" t="s">
        <v>19</v>
      </c>
      <c r="G22" s="2264"/>
      <c r="H22" s="2269"/>
      <c r="I22" s="2271"/>
      <c r="J22" s="2273"/>
      <c r="K22" s="2258"/>
      <c r="L22" s="2258"/>
      <c r="M22" s="2258"/>
      <c r="N22" s="2260"/>
      <c r="O22" s="2258"/>
      <c r="P22" s="2258"/>
      <c r="Q22" s="2258"/>
      <c r="R22" s="2263"/>
      <c r="S22" s="2258"/>
      <c r="T22" s="1541"/>
      <c r="U22" s="1541"/>
      <c r="V22" s="1540"/>
      <c r="W22" s="1417"/>
      <c r="X22" s="1388"/>
      <c r="Y22" s="1388"/>
      <c r="Z22" s="1388"/>
      <c r="AA22" s="1388"/>
      <c r="AB22" s="1388"/>
      <c r="AC22" s="1388" t="s">
        <v>185</v>
      </c>
      <c r="AD22" s="1388" t="s">
        <v>186</v>
      </c>
      <c r="AE22" s="1388" t="s">
        <v>187</v>
      </c>
      <c r="AF22" s="1388" t="s">
        <v>188</v>
      </c>
      <c r="AG22" s="1388" t="s">
        <v>189</v>
      </c>
      <c r="AH22" s="1388" t="str">
        <f>IF($E$22=0,"",$E$22)</f>
        <v>Тарифы на тепловую энергию (мощность), поставляемую теплоснабжающими организациями потребителям, другим теплоснабжающим организациям</v>
      </c>
      <c r="AI22" s="1388" t="str">
        <f>IF($G$22=0,"",$G$22)</f>
        <v/>
      </c>
      <c r="AJ22" s="1388" t="str">
        <f>IF($J$22=0,"",$J$22)</f>
        <v/>
      </c>
      <c r="AK22" s="1388" t="str">
        <f>IF($K$22="нет","без дифференциации",IF($N$22=0,"",$N$22))</f>
        <v/>
      </c>
      <c r="AL22" s="1388" t="str">
        <f>IF($O$22="нет","без дифференциации",IF($R$22=0,"",$R$22))</f>
        <v/>
      </c>
      <c r="AM22" s="1388" t="str">
        <f>IF($S$22="нет","без дифференциации",IF($V$22=0,"",$V$22))</f>
        <v/>
      </c>
      <c r="AN22" s="1893">
        <f>$I$22</f>
        <v>0</v>
      </c>
      <c r="AO22" s="1388" t="str">
        <f>$I$22&amp;"."&amp;$M$22</f>
        <v>.</v>
      </c>
      <c r="AP22" s="1380" t="str">
        <f>$I$22&amp;"."&amp;$M$22&amp;"."&amp;$Q$22</f>
        <v>..</v>
      </c>
      <c r="AQ22" s="1380" t="str">
        <f>$I$22&amp;"."&amp;$M$22&amp;"."&amp;$Q$22&amp;"."&amp;$U$22</f>
        <v>...</v>
      </c>
      <c r="AR22" s="1404">
        <v>0</v>
      </c>
    </row>
    <row s="8300" customFormat="1" customHeight="1" ht="17.25">
      <c r="A23" s="442"/>
      <c r="C23" s="441"/>
      <c r="D23" s="2256"/>
      <c r="E23" s="2285"/>
      <c r="F23" s="2267"/>
      <c r="G23" s="2264"/>
      <c r="H23" s="2270"/>
      <c r="I23" s="2272"/>
      <c r="J23" s="2274"/>
      <c r="K23" s="2259"/>
      <c r="L23" s="2259"/>
      <c r="M23" s="2259"/>
      <c r="N23" s="2261"/>
      <c r="O23" s="2259"/>
      <c r="P23" s="2259"/>
      <c r="Q23" s="2259"/>
      <c r="R23" s="2262"/>
      <c r="S23" s="2259"/>
      <c r="T23" s="1418"/>
      <c r="U23" s="1418"/>
      <c r="V23" s="1418"/>
      <c r="W23" s="1419"/>
      <c r="X23" s="1380"/>
      <c r="Y23" s="1380"/>
      <c r="Z23" s="1380"/>
      <c r="AA23" s="1380"/>
      <c r="AB23" s="1380"/>
      <c r="AC23" s="1380"/>
      <c r="AD23" s="1380"/>
      <c r="AE23" s="1380"/>
      <c r="AF23" s="1380"/>
      <c r="AG23" s="1380"/>
      <c r="AH23" s="1380"/>
      <c r="AI23" s="1380"/>
      <c r="AJ23" s="1380"/>
      <c r="AK23" s="1380"/>
      <c r="AL23" s="1380"/>
      <c r="AM23" s="1380"/>
      <c r="AN23" s="1380"/>
      <c r="AO23" s="1380"/>
      <c r="AP23" s="1380"/>
      <c r="AQ23" s="1380"/>
      <c r="AR23" s="1404">
        <v>0</v>
      </c>
    </row>
    <row s="8300" customFormat="1" customHeight="1" ht="17.25">
      <c r="A24" s="442"/>
      <c r="C24" s="441"/>
      <c r="D24" s="2257"/>
      <c r="E24" s="2286"/>
      <c r="F24" s="2267"/>
      <c r="G24" s="2265"/>
      <c r="H24" s="2270"/>
      <c r="I24" s="2272"/>
      <c r="J24" s="2275"/>
      <c r="K24" s="2259"/>
      <c r="L24" s="2259"/>
      <c r="M24" s="2259"/>
      <c r="N24" s="2262"/>
      <c r="O24" s="2259"/>
      <c r="P24" s="1539"/>
      <c r="Q24" s="1418"/>
      <c r="R24" s="1418"/>
      <c r="S24" s="450"/>
      <c r="T24" s="450"/>
      <c r="U24" s="450"/>
      <c r="V24" s="450"/>
      <c r="W24" s="1419"/>
      <c r="X24" s="1380"/>
      <c r="Y24" s="1380"/>
      <c r="Z24" s="1380"/>
      <c r="AA24" s="1380"/>
      <c r="AB24" s="1380"/>
      <c r="AC24" s="1380"/>
      <c r="AD24" s="1380"/>
      <c r="AE24" s="1380"/>
      <c r="AF24" s="1380"/>
      <c r="AG24" s="1380"/>
      <c r="AH24" s="1380"/>
      <c r="AI24" s="1380"/>
      <c r="AJ24" s="1380"/>
      <c r="AK24" s="1380"/>
      <c r="AL24" s="1380"/>
      <c r="AM24" s="1380"/>
      <c r="AN24" s="1380"/>
      <c r="AO24" s="1380"/>
      <c r="AP24" s="1380"/>
      <c r="AQ24" s="1380"/>
      <c r="AR24" s="1404">
        <v>0</v>
      </c>
    </row>
    <row s="8300" customFormat="1" customHeight="1" ht="17.25">
      <c r="A25" s="442"/>
      <c r="C25" s="441"/>
      <c r="D25" s="2257"/>
      <c r="E25" s="2286"/>
      <c r="F25" s="2267"/>
      <c r="G25" s="2265"/>
      <c r="H25" s="2270"/>
      <c r="I25" s="2272"/>
      <c r="J25" s="2275"/>
      <c r="K25" s="2259"/>
      <c r="L25" s="1418"/>
      <c r="M25" s="1418"/>
      <c r="N25" s="1418"/>
      <c r="O25" s="1418"/>
      <c r="P25" s="1418"/>
      <c r="Q25" s="1418"/>
      <c r="R25" s="1418"/>
      <c r="S25" s="450"/>
      <c r="T25" s="450"/>
      <c r="U25" s="450"/>
      <c r="V25" s="450"/>
      <c r="W25" s="1419"/>
      <c r="X25" s="1380"/>
      <c r="Y25" s="1380"/>
      <c r="Z25" s="1380"/>
      <c r="AA25" s="1380"/>
      <c r="AB25" s="1380"/>
      <c r="AC25" s="1380"/>
      <c r="AD25" s="1380"/>
      <c r="AE25" s="1380"/>
      <c r="AF25" s="1380"/>
      <c r="AG25" s="1380"/>
      <c r="AH25" s="1380"/>
      <c r="AI25" s="1380"/>
      <c r="AJ25" s="1380"/>
      <c r="AK25" s="1380"/>
      <c r="AL25" s="1380"/>
      <c r="AM25" s="1380"/>
      <c r="AN25" s="1380"/>
      <c r="AO25" s="1380"/>
      <c r="AP25" s="1380"/>
      <c r="AQ25" s="1380"/>
      <c r="AR25" s="1404">
        <v>0</v>
      </c>
    </row>
    <row s="8300" customFormat="1" customHeight="1" ht="17.25">
      <c r="A26" s="442"/>
      <c r="C26" s="441"/>
      <c r="D26" s="2257"/>
      <c r="E26" s="2286"/>
      <c r="F26" s="2268"/>
      <c r="G26" s="2265"/>
      <c r="H26" s="1420"/>
      <c r="I26" s="1421"/>
      <c r="J26" s="1421"/>
      <c r="K26" s="1421"/>
      <c r="L26" s="1421"/>
      <c r="M26" s="1421"/>
      <c r="N26" s="1421"/>
      <c r="O26" s="1421"/>
      <c r="P26" s="1421"/>
      <c r="Q26" s="1421"/>
      <c r="R26" s="1421"/>
      <c r="S26" s="1422"/>
      <c r="T26" s="1422"/>
      <c r="U26" s="1422"/>
      <c r="V26" s="1422"/>
      <c r="W26" s="1423"/>
      <c r="X26" s="1380"/>
      <c r="Y26" s="1380"/>
      <c r="Z26" s="1380"/>
      <c r="AA26" s="1380"/>
      <c r="AB26" s="1380"/>
      <c r="AC26" s="1380"/>
      <c r="AD26" s="1380"/>
      <c r="AE26" s="1380"/>
      <c r="AF26" s="1380"/>
      <c r="AG26" s="1380"/>
      <c r="AH26" s="1380"/>
      <c r="AI26" s="1380"/>
      <c r="AJ26" s="1380"/>
      <c r="AK26" s="1380"/>
      <c r="AL26" s="1380"/>
      <c r="AM26" s="1380"/>
      <c r="AN26" s="1380"/>
      <c r="AO26" s="1380"/>
      <c r="AP26" s="1380"/>
      <c r="AQ26" s="1380"/>
      <c r="AR26" s="1404">
        <v>0</v>
      </c>
    </row>
    <row s="8300" customFormat="1" customHeight="1" ht="17.25" hidden="1">
      <c r="A27" s="442"/>
      <c r="C27" s="330"/>
      <c r="D27" s="2256">
        <v>2</v>
      </c>
      <c r="E27" s="2264" t="s">
        <v>184</v>
      </c>
      <c r="F27" s="2266" t="s">
        <v>19</v>
      </c>
      <c r="G27" s="2264"/>
      <c r="H27" s="2269"/>
      <c r="I27" s="2271"/>
      <c r="J27" s="2273"/>
      <c r="K27" s="2258"/>
      <c r="L27" s="2258"/>
      <c r="M27" s="2258"/>
      <c r="N27" s="2260"/>
      <c r="O27" s="2258"/>
      <c r="P27" s="2258"/>
      <c r="Q27" s="2258"/>
      <c r="R27" s="2263"/>
      <c r="S27" s="2258"/>
      <c r="T27" s="2119"/>
      <c r="U27" s="2119"/>
      <c r="V27" s="2121"/>
      <c r="W27" s="1417"/>
      <c r="X27" s="1388"/>
      <c r="Y27" s="1388"/>
      <c r="Z27" s="1388" t="s">
        <v>28</v>
      </c>
      <c r="AA27" s="1388" t="s">
        <v>28</v>
      </c>
      <c r="AB27" s="1388" t="s">
        <v>28</v>
      </c>
      <c r="AC27" s="1388" t="s">
        <v>28</v>
      </c>
      <c r="AD27" s="1388" t="s">
        <v>28</v>
      </c>
      <c r="AE27" s="1388" t="s">
        <v>28</v>
      </c>
      <c r="AF27" s="1388" t="s">
        <v>28</v>
      </c>
      <c r="AG27" s="1388" t="s">
        <v>28</v>
      </c>
      <c r="AH27" s="1388" t="s">
        <v>28</v>
      </c>
      <c r="AI27" s="1388" t="s">
        <v>28</v>
      </c>
      <c r="AJ27" s="1388" t="s">
        <v>28</v>
      </c>
      <c r="AK27" s="1388" t="s">
        <v>28</v>
      </c>
      <c r="AL27" s="1388" t="s">
        <v>28</v>
      </c>
      <c r="AM27" s="1388" t="s">
        <v>28</v>
      </c>
      <c r="AN27" s="1893" t="s">
        <v>28</v>
      </c>
      <c r="AO27" s="1388" t="s">
        <v>28</v>
      </c>
      <c r="AP27" s="1387" t="s">
        <v>28</v>
      </c>
      <c r="AQ27" s="1387" t="s">
        <v>28</v>
      </c>
      <c r="AR27" s="1588">
        <v>0</v>
      </c>
    </row>
    <row s="8300" customFormat="1" customHeight="1" ht="17.25" hidden="1">
      <c r="A28" s="442"/>
      <c r="C28" s="441"/>
      <c r="D28" s="2256"/>
      <c r="E28" s="2264"/>
      <c r="F28" s="2267"/>
      <c r="G28" s="2264"/>
      <c r="H28" s="2270"/>
      <c r="I28" s="2272"/>
      <c r="J28" s="2274"/>
      <c r="K28" s="2259"/>
      <c r="L28" s="2259"/>
      <c r="M28" s="2259"/>
      <c r="N28" s="2261"/>
      <c r="O28" s="2259"/>
      <c r="P28" s="2259"/>
      <c r="Q28" s="2259"/>
      <c r="R28" s="2262"/>
      <c r="S28" s="2259"/>
      <c r="T28" s="2124"/>
      <c r="U28" s="2124"/>
      <c r="V28" s="2124"/>
      <c r="W28" s="2125"/>
      <c r="X28" s="1387"/>
      <c r="Y28" s="1387"/>
      <c r="Z28" s="1387"/>
      <c r="AA28" s="1387"/>
      <c r="AB28" s="1387"/>
      <c r="AC28" s="1387"/>
      <c r="AD28" s="1387"/>
      <c r="AE28" s="1387"/>
      <c r="AF28" s="1387"/>
      <c r="AG28" s="1387"/>
      <c r="AH28" s="1387"/>
      <c r="AI28" s="1387"/>
      <c r="AJ28" s="1387"/>
      <c r="AK28" s="1387"/>
      <c r="AL28" s="1387"/>
      <c r="AM28" s="1387"/>
      <c r="AN28" s="1387"/>
      <c r="AO28" s="1387"/>
      <c r="AP28" s="1387"/>
      <c r="AQ28" s="1387"/>
      <c r="AR28" s="1588">
        <v>0</v>
      </c>
    </row>
    <row s="8300" customFormat="1" customHeight="1" ht="17.25" hidden="1">
      <c r="A29" s="442"/>
      <c r="C29" s="441"/>
      <c r="D29" s="2257"/>
      <c r="E29" s="2265"/>
      <c r="F29" s="2267"/>
      <c r="G29" s="2265"/>
      <c r="H29" s="2270"/>
      <c r="I29" s="2272"/>
      <c r="J29" s="2275"/>
      <c r="K29" s="2259"/>
      <c r="L29" s="2259"/>
      <c r="M29" s="2259"/>
      <c r="N29" s="2262"/>
      <c r="O29" s="2259"/>
      <c r="P29" s="2120"/>
      <c r="Q29" s="2124"/>
      <c r="R29" s="2124"/>
      <c r="S29" s="450"/>
      <c r="T29" s="450"/>
      <c r="U29" s="450"/>
      <c r="V29" s="450"/>
      <c r="W29" s="2125"/>
      <c r="X29" s="1387"/>
      <c r="Y29" s="1387"/>
      <c r="Z29" s="1387"/>
      <c r="AA29" s="1387"/>
      <c r="AB29" s="1387"/>
      <c r="AC29" s="1387"/>
      <c r="AD29" s="1387"/>
      <c r="AE29" s="1387"/>
      <c r="AF29" s="1387"/>
      <c r="AG29" s="1387"/>
      <c r="AH29" s="1387"/>
      <c r="AI29" s="1387"/>
      <c r="AJ29" s="1387"/>
      <c r="AK29" s="1387"/>
      <c r="AL29" s="1387"/>
      <c r="AM29" s="1387"/>
      <c r="AN29" s="1387"/>
      <c r="AO29" s="1387"/>
      <c r="AP29" s="1387"/>
      <c r="AQ29" s="1387"/>
      <c r="AR29" s="1588">
        <v>0</v>
      </c>
    </row>
    <row s="8300" customFormat="1" customHeight="1" ht="17.25" hidden="1">
      <c r="A30" s="442"/>
      <c r="C30" s="441"/>
      <c r="D30" s="2257"/>
      <c r="E30" s="2265"/>
      <c r="F30" s="2267"/>
      <c r="G30" s="2265"/>
      <c r="H30" s="2270"/>
      <c r="I30" s="2272"/>
      <c r="J30" s="2275"/>
      <c r="K30" s="2259"/>
      <c r="L30" s="2124"/>
      <c r="M30" s="2124"/>
      <c r="N30" s="2124"/>
      <c r="O30" s="2124"/>
      <c r="P30" s="2124"/>
      <c r="Q30" s="2124"/>
      <c r="R30" s="2124"/>
      <c r="S30" s="450"/>
      <c r="T30" s="450"/>
      <c r="U30" s="450"/>
      <c r="V30" s="450"/>
      <c r="W30" s="2125"/>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588">
        <v>0</v>
      </c>
    </row>
    <row s="8300" customFormat="1" customHeight="1" ht="17.25" hidden="1">
      <c r="A31" s="442"/>
      <c r="C31" s="441"/>
      <c r="D31" s="2257"/>
      <c r="E31" s="2265"/>
      <c r="F31" s="2268"/>
      <c r="G31" s="2265"/>
      <c r="H31" s="1420"/>
      <c r="I31" s="2122"/>
      <c r="J31" s="2122"/>
      <c r="K31" s="2122"/>
      <c r="L31" s="2122"/>
      <c r="M31" s="2122"/>
      <c r="N31" s="2122"/>
      <c r="O31" s="2122"/>
      <c r="P31" s="2122"/>
      <c r="Q31" s="2122"/>
      <c r="R31" s="2122"/>
      <c r="S31" s="1422"/>
      <c r="T31" s="1422"/>
      <c r="U31" s="1422"/>
      <c r="V31" s="1422"/>
      <c r="W31" s="2123"/>
      <c r="X31" s="1387"/>
      <c r="Y31" s="1387"/>
      <c r="Z31" s="1387"/>
      <c r="AA31" s="1387"/>
      <c r="AB31" s="1387"/>
      <c r="AC31" s="1387"/>
      <c r="AD31" s="1387"/>
      <c r="AE31" s="1387"/>
      <c r="AF31" s="1387"/>
      <c r="AG31" s="1387"/>
      <c r="AH31" s="1387"/>
      <c r="AI31" s="1387"/>
      <c r="AJ31" s="1387"/>
      <c r="AK31" s="1387"/>
      <c r="AL31" s="1387"/>
      <c r="AM31" s="1387"/>
      <c r="AN31" s="1387"/>
      <c r="AO31" s="1387"/>
      <c r="AP31" s="1387"/>
      <c r="AQ31" s="1387"/>
      <c r="AR31" s="1588">
        <v>0</v>
      </c>
    </row>
    <row s="8300" customFormat="1" customHeight="1" ht="17.25">
      <c r="A32" s="442"/>
      <c r="C32" s="330"/>
      <c r="D32" s="2256">
        <v>3</v>
      </c>
      <c r="E32" s="2264" t="s">
        <v>190</v>
      </c>
      <c r="F32" s="2266" t="s">
        <v>66</v>
      </c>
      <c r="G32" s="3148" t="str">
        <f>INDEX(VD_NAME_LIST,MATCH("4190067",VD_ID_LIST,0))&amp;"; "&amp;INDEX(VD_NAME_LIST,MATCH("4190071",VD_ID_LIST,0))</f>
        <v>Производство. Теплоноситель; Сбыт. Теплоноситель</v>
      </c>
      <c r="H32" s="3149"/>
      <c r="I32" s="3149">
        <v>1</v>
      </c>
      <c r="J32" s="3150" t="s">
        <v>191</v>
      </c>
      <c r="K32" s="3151" t="s">
        <v>66</v>
      </c>
      <c r="L32" s="3152"/>
      <c r="M32" s="3152" t="s">
        <v>123</v>
      </c>
      <c r="N32" s="3153" t="str">
        <f>IF(Z32="","",INDEX(TERRITORY_MR_LIST,MATCH(Z32,TERRITORY_LIST_ID,0)))</f>
        <v>Территория 1</v>
      </c>
      <c r="O32" s="3151" t="s">
        <v>19</v>
      </c>
      <c r="P32" s="3152"/>
      <c r="Q32" s="3152" t="s">
        <v>123</v>
      </c>
      <c r="R32" s="3154" t="s">
        <v>28</v>
      </c>
      <c r="S32" s="3155" t="s">
        <v>19</v>
      </c>
      <c r="T32" s="3152"/>
      <c r="U32" s="3152" t="s">
        <v>123</v>
      </c>
      <c r="V32" s="3154" t="s">
        <v>28</v>
      </c>
      <c r="W32" s="3150"/>
      <c r="X32" s="1388"/>
      <c r="Y32" s="1388"/>
      <c r="Z32" s="1388" t="s">
        <v>98</v>
      </c>
      <c r="AA32" s="1388"/>
      <c r="AB32" s="1388" t="s">
        <v>192</v>
      </c>
      <c r="AC32" s="1388" t="s">
        <v>193</v>
      </c>
      <c r="AD32" s="1388" t="s">
        <v>194</v>
      </c>
      <c r="AE32" s="1388" t="s">
        <v>195</v>
      </c>
      <c r="AF32" s="1388" t="s">
        <v>196</v>
      </c>
      <c r="AG32" s="1388" t="s">
        <v>197</v>
      </c>
      <c r="AH32" s="1388" t="str">
        <f>IF($E$32=0,"",$E$32)</f>
        <v>Тарифы на теплоноситель, поставляемый теплоснабжающими организациями потребителям, другим теплоснабжающим организациям</v>
      </c>
      <c r="AI32" s="1388" t="str">
        <f>IF($G$32=0,"",$G$32)</f>
        <v>Производство. Теплоноситель; Сбыт. Теплоноситель</v>
      </c>
      <c r="AJ32" s="1388" t="str">
        <f>IF($J$32=0,"",$J$32)</f>
        <v>Тариф на теплоноситель, поставляемый потребителям узла теплоснабжения ТЭЦ-21 ПАО "ТГК-1"</v>
      </c>
      <c r="AK32" s="1388" t="str">
        <f>IF($K$32="нет","без дифференциации",IF($N$32=0,"",$N$32))</f>
        <v>Территория 1</v>
      </c>
      <c r="AL32" s="1388" t="str">
        <f>IF($O$32="нет","без дифференциации",IF($R$32=0,"",$R$32))</f>
        <v>без дифференциации</v>
      </c>
      <c r="AM32" s="1388" t="str">
        <f>IF($S$32="нет","без дифференциации",IF($V$32=0,"",$V$32))</f>
        <v>без дифференциации</v>
      </c>
      <c r="AN32" s="1893">
        <f>$I$32</f>
        <v>1</v>
      </c>
      <c r="AO32" s="1388" t="str">
        <f>$I$32&amp;"."&amp;$M$32</f>
        <v>1.1</v>
      </c>
      <c r="AP32" s="1380" t="str">
        <f>$I$32&amp;"."&amp;$M$32&amp;"."&amp;$Q$32</f>
        <v>1.1.1</v>
      </c>
      <c r="AQ32" s="1380" t="str">
        <f>$I$32&amp;"."&amp;$M$32&amp;"."&amp;$Q$32&amp;"."&amp;$U$32</f>
        <v>1.1.1.1</v>
      </c>
      <c r="AR32" s="1404">
        <v>0</v>
      </c>
    </row>
    <row s="8300" customFormat="1" customHeight="1" ht="17.25">
      <c r="A33" s="442"/>
      <c r="C33" s="441"/>
      <c r="D33" s="2256"/>
      <c r="E33" s="2264"/>
      <c r="F33" s="2267"/>
      <c r="G33" s="3148"/>
      <c r="H33" s="3149"/>
      <c r="I33" s="3149"/>
      <c r="J33" s="3150"/>
      <c r="K33" s="3160"/>
      <c r="L33" s="3152"/>
      <c r="M33" s="3152"/>
      <c r="N33" s="3153"/>
      <c r="O33" s="3160"/>
      <c r="P33" s="3152"/>
      <c r="Q33" s="3152"/>
      <c r="R33" s="3154" t="s">
        <v>28</v>
      </c>
      <c r="S33" s="3155"/>
      <c r="T33" s="3272"/>
      <c r="U33" s="3273"/>
      <c r="V33" s="3274" t="s">
        <v>175</v>
      </c>
      <c r="W33" s="3275"/>
      <c r="X33" s="1380"/>
      <c r="Y33" s="1380"/>
      <c r="Z33" s="1380"/>
      <c r="AA33" s="1380"/>
      <c r="AB33" s="1380"/>
      <c r="AC33" s="1380"/>
      <c r="AD33" s="1380"/>
      <c r="AE33" s="1380"/>
      <c r="AF33" s="1380"/>
      <c r="AG33" s="1380"/>
      <c r="AH33" s="1380"/>
      <c r="AI33" s="1380"/>
      <c r="AJ33" s="1380"/>
      <c r="AK33" s="1380"/>
      <c r="AL33" s="1380"/>
      <c r="AM33" s="1380"/>
      <c r="AN33" s="1380"/>
      <c r="AO33" s="1380"/>
      <c r="AP33" s="1380"/>
      <c r="AQ33" s="1380"/>
      <c r="AR33" s="1404">
        <v>0</v>
      </c>
    </row>
    <row s="8300" customFormat="1" customHeight="1" ht="17.25">
      <c r="A34" s="442"/>
      <c r="C34" s="441"/>
      <c r="D34" s="2257"/>
      <c r="E34" s="2265"/>
      <c r="F34" s="2267"/>
      <c r="G34" s="3218"/>
      <c r="H34" s="3165"/>
      <c r="I34" s="3165"/>
      <c r="J34" s="3166"/>
      <c r="K34" s="3160"/>
      <c r="L34" s="3165"/>
      <c r="M34" s="3165"/>
      <c r="N34" s="3167"/>
      <c r="O34" s="3168"/>
      <c r="P34" s="3276"/>
      <c r="Q34" s="3277"/>
      <c r="R34" s="3278" t="s">
        <v>176</v>
      </c>
      <c r="S34" s="3279"/>
      <c r="T34" s="3280"/>
      <c r="U34" s="3281"/>
      <c r="V34" s="3282"/>
      <c r="W34" s="3283"/>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8300" customFormat="1" customHeight="1" ht="17.25">
      <c r="A35" s="442"/>
      <c r="C35" s="441"/>
      <c r="D35" s="2257"/>
      <c r="E35" s="2265"/>
      <c r="F35" s="2267"/>
      <c r="G35" s="3218"/>
      <c r="H35" s="3165"/>
      <c r="I35" s="3165"/>
      <c r="J35" s="3166"/>
      <c r="K35" s="3168"/>
      <c r="L35" s="3284"/>
      <c r="M35" s="3285"/>
      <c r="N35" s="3286" t="s">
        <v>177</v>
      </c>
      <c r="O35" s="3287"/>
      <c r="P35" s="3288"/>
      <c r="Q35" s="3289"/>
      <c r="R35" s="3290"/>
      <c r="S35" s="3291"/>
      <c r="T35" s="3292"/>
      <c r="U35" s="3293"/>
      <c r="V35" s="3294"/>
      <c r="W35" s="3295"/>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8300" customFormat="1" customHeight="1" ht="17.25">
      <c r="A36" s="442"/>
      <c r="C36" s="441"/>
      <c r="D36" s="2257"/>
      <c r="E36" s="2265"/>
      <c r="F36" s="2268"/>
      <c r="G36" s="3218"/>
      <c r="H36" s="3296"/>
      <c r="I36" s="3297"/>
      <c r="J36" s="3298" t="s">
        <v>183</v>
      </c>
      <c r="K36" s="3299"/>
      <c r="L36" s="3300"/>
      <c r="M36" s="3301"/>
      <c r="N36" s="3302"/>
      <c r="O36" s="3303"/>
      <c r="P36" s="3304"/>
      <c r="Q36" s="3305"/>
      <c r="R36" s="3306"/>
      <c r="S36" s="3307"/>
      <c r="T36" s="3308"/>
      <c r="U36" s="3309"/>
      <c r="V36" s="3310"/>
      <c r="W36" s="3311"/>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8300" customFormat="1" customHeight="1" ht="17.25">
      <c r="A37" s="442"/>
      <c r="C37" s="330"/>
      <c r="D37" s="2256">
        <v>4</v>
      </c>
      <c r="E37" s="2264" t="s">
        <v>198</v>
      </c>
      <c r="F37" s="2266" t="s">
        <v>19</v>
      </c>
      <c r="G37" s="2264"/>
      <c r="H37" s="2269"/>
      <c r="I37" s="2271"/>
      <c r="J37" s="2273"/>
      <c r="K37" s="2258"/>
      <c r="L37" s="2258"/>
      <c r="M37" s="2258"/>
      <c r="N37" s="2260"/>
      <c r="O37" s="2258"/>
      <c r="P37" s="2258"/>
      <c r="Q37" s="2258"/>
      <c r="R37" s="2263"/>
      <c r="S37" s="2258"/>
      <c r="T37" s="1541"/>
      <c r="U37" s="1541"/>
      <c r="V37" s="1540"/>
      <c r="W37" s="1417"/>
      <c r="X37" s="1388"/>
      <c r="Y37" s="1388"/>
      <c r="Z37" s="1388"/>
      <c r="AA37" s="1388"/>
      <c r="AB37" s="1388"/>
      <c r="AC37" s="1388" t="s">
        <v>199</v>
      </c>
      <c r="AD37" s="1388" t="s">
        <v>200</v>
      </c>
      <c r="AE37" s="1388" t="s">
        <v>201</v>
      </c>
      <c r="AF37" s="1388" t="s">
        <v>202</v>
      </c>
      <c r="AG37" s="1388" t="s">
        <v>203</v>
      </c>
      <c r="AH37" s="1388"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88" t="str">
        <f>IF($G$37=0,"",$G$37)</f>
        <v/>
      </c>
      <c r="AJ37" s="1388" t="str">
        <f>IF($J$37=0,"",$J$37)</f>
        <v/>
      </c>
      <c r="AK37" s="1388" t="str">
        <f>IF($K$37="нет","без дифференциации",IF($N$37=0,"",$N$37))</f>
        <v/>
      </c>
      <c r="AL37" s="1388" t="str">
        <f>IF($O$37="нет","без дифференциации",IF($R$37=0,"",$R$37))</f>
        <v/>
      </c>
      <c r="AM37" s="1388" t="str">
        <f>IF($S$37="нет","без дифференциации",IF($V$37=0,"",$V$37))</f>
        <v/>
      </c>
      <c r="AN37" s="1893">
        <f>$I$37</f>
        <v>0</v>
      </c>
      <c r="AO37" s="1388" t="str">
        <f>$I$37&amp;"."&amp;$M$37</f>
        <v>.</v>
      </c>
      <c r="AP37" s="1380" t="str">
        <f>$I$37&amp;"."&amp;$M$37&amp;"."&amp;$Q$37</f>
        <v>..</v>
      </c>
      <c r="AQ37" s="1380" t="str">
        <f>$I$37&amp;"."&amp;$M$37&amp;"."&amp;$Q$37&amp;"."&amp;$U$37</f>
        <v>...</v>
      </c>
      <c r="AR37" s="1404">
        <v>0</v>
      </c>
    </row>
    <row s="8300" customFormat="1" customHeight="1" ht="17.25">
      <c r="A38" s="442"/>
      <c r="C38" s="441"/>
      <c r="D38" s="2256"/>
      <c r="E38" s="2264"/>
      <c r="F38" s="2267"/>
      <c r="G38" s="2264"/>
      <c r="H38" s="2270"/>
      <c r="I38" s="2272"/>
      <c r="J38" s="2274"/>
      <c r="K38" s="2259"/>
      <c r="L38" s="2259"/>
      <c r="M38" s="2259"/>
      <c r="N38" s="2261"/>
      <c r="O38" s="2259"/>
      <c r="P38" s="2259"/>
      <c r="Q38" s="2259"/>
      <c r="R38" s="2262"/>
      <c r="S38" s="2259"/>
      <c r="T38" s="1418"/>
      <c r="U38" s="1418"/>
      <c r="V38" s="1418"/>
      <c r="W38" s="1419"/>
      <c r="X38" s="1380"/>
      <c r="Y38" s="1380"/>
      <c r="Z38" s="1380"/>
      <c r="AA38" s="1380"/>
      <c r="AB38" s="1380"/>
      <c r="AC38" s="1380"/>
      <c r="AD38" s="1380"/>
      <c r="AE38" s="1380"/>
      <c r="AF38" s="1380"/>
      <c r="AG38" s="1380"/>
      <c r="AH38" s="1380"/>
      <c r="AI38" s="1380"/>
      <c r="AJ38" s="1380"/>
      <c r="AK38" s="1380"/>
      <c r="AL38" s="1380"/>
      <c r="AM38" s="1380"/>
      <c r="AN38" s="1380"/>
      <c r="AO38" s="1380"/>
      <c r="AP38" s="1380"/>
      <c r="AQ38" s="1380"/>
      <c r="AR38" s="1404">
        <v>0</v>
      </c>
    </row>
    <row s="8300" customFormat="1" customHeight="1" ht="17.25">
      <c r="A39" s="442"/>
      <c r="C39" s="441"/>
      <c r="D39" s="2257"/>
      <c r="E39" s="2265"/>
      <c r="F39" s="2267"/>
      <c r="G39" s="2265"/>
      <c r="H39" s="2270"/>
      <c r="I39" s="2272"/>
      <c r="J39" s="2275"/>
      <c r="K39" s="2259"/>
      <c r="L39" s="2259"/>
      <c r="M39" s="2259"/>
      <c r="N39" s="2262"/>
      <c r="O39" s="2259"/>
      <c r="P39" s="1539"/>
      <c r="Q39" s="1418"/>
      <c r="R39" s="1418"/>
      <c r="S39" s="450"/>
      <c r="T39" s="450"/>
      <c r="U39" s="450"/>
      <c r="V39" s="450"/>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8300" customFormat="1" customHeight="1" ht="17.25">
      <c r="A40" s="442"/>
      <c r="C40" s="441"/>
      <c r="D40" s="2257"/>
      <c r="E40" s="2265"/>
      <c r="F40" s="2267"/>
      <c r="G40" s="2265"/>
      <c r="H40" s="2270"/>
      <c r="I40" s="2272"/>
      <c r="J40" s="2275"/>
      <c r="K40" s="2259"/>
      <c r="L40" s="1418"/>
      <c r="M40" s="1418"/>
      <c r="N40" s="1418"/>
      <c r="O40" s="1418"/>
      <c r="P40" s="1418"/>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8300" customFormat="1" customHeight="1" ht="17.25">
      <c r="A41" s="442"/>
      <c r="C41" s="441"/>
      <c r="D41" s="2257"/>
      <c r="E41" s="2265"/>
      <c r="F41" s="2268"/>
      <c r="G41" s="2265"/>
      <c r="H41" s="1420"/>
      <c r="I41" s="1421"/>
      <c r="J41" s="1421"/>
      <c r="K41" s="1421"/>
      <c r="L41" s="1421"/>
      <c r="M41" s="1421"/>
      <c r="N41" s="1421"/>
      <c r="O41" s="1421"/>
      <c r="P41" s="1421"/>
      <c r="Q41" s="1421"/>
      <c r="R41" s="1421"/>
      <c r="S41" s="1422"/>
      <c r="T41" s="1422"/>
      <c r="U41" s="1422"/>
      <c r="V41" s="1422"/>
      <c r="W41" s="1423"/>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8300" customFormat="1" customHeight="1" ht="17.25">
      <c r="A42" s="442"/>
      <c r="C42" s="330"/>
      <c r="D42" s="2256">
        <v>5</v>
      </c>
      <c r="E42" s="2264" t="s">
        <v>204</v>
      </c>
      <c r="F42" s="2266" t="s">
        <v>19</v>
      </c>
      <c r="G42" s="2264"/>
      <c r="H42" s="2269"/>
      <c r="I42" s="2271"/>
      <c r="J42" s="2273"/>
      <c r="K42" s="2258"/>
      <c r="L42" s="2258"/>
      <c r="M42" s="2258"/>
      <c r="N42" s="2260"/>
      <c r="O42" s="2258"/>
      <c r="P42" s="2258"/>
      <c r="Q42" s="2258"/>
      <c r="R42" s="2263"/>
      <c r="S42" s="2258"/>
      <c r="T42" s="1541"/>
      <c r="U42" s="1541"/>
      <c r="V42" s="1540"/>
      <c r="W42" s="1417"/>
      <c r="X42" s="1388"/>
      <c r="Y42" s="1388"/>
      <c r="Z42" s="1388"/>
      <c r="AA42" s="1388"/>
      <c r="AB42" s="1388"/>
      <c r="AC42" s="1388" t="s">
        <v>205</v>
      </c>
      <c r="AD42" s="1388" t="s">
        <v>206</v>
      </c>
      <c r="AE42" s="1388" t="s">
        <v>207</v>
      </c>
      <c r="AF42" s="1388" t="s">
        <v>208</v>
      </c>
      <c r="AG42" s="1388" t="s">
        <v>209</v>
      </c>
      <c r="AH42" s="1388" t="str">
        <f>IF($E$42=0,"",$E$42)</f>
        <v>Тарифы на услуги по передаче тепловой энергии</v>
      </c>
      <c r="AI42" s="1388" t="str">
        <f>IF($G$42=0,"",$G$42)</f>
        <v/>
      </c>
      <c r="AJ42" s="1388" t="str">
        <f>IF($J$42=0,"",$J$42)</f>
        <v/>
      </c>
      <c r="AK42" s="1388" t="str">
        <f>IF($K$42="нет","без дифференциации",IF($N$42=0,"",$N$42))</f>
        <v/>
      </c>
      <c r="AL42" s="1388" t="str">
        <f>IF($O$42="нет","без дифференциации",IF($R$42=0,"",$R$42))</f>
        <v/>
      </c>
      <c r="AM42" s="1388" t="str">
        <f>IF($S$42="нет","без дифференциации",IF($V$42=0,"",$V$42))</f>
        <v/>
      </c>
      <c r="AN42" s="1893">
        <f>$I$42</f>
        <v>0</v>
      </c>
      <c r="AO42" s="1388" t="str">
        <f>$I$42&amp;"."&amp;$M$42</f>
        <v>.</v>
      </c>
      <c r="AP42" s="1380" t="str">
        <f>$I$42&amp;"."&amp;$M$42&amp;"."&amp;$Q$42</f>
        <v>..</v>
      </c>
      <c r="AQ42" s="1380" t="str">
        <f>$I$42&amp;"."&amp;$M$42&amp;"."&amp;$Q$42&amp;"."&amp;$U$42</f>
        <v>...</v>
      </c>
      <c r="AR42" s="1404">
        <v>0</v>
      </c>
    </row>
    <row s="8300" customFormat="1" customHeight="1" ht="17.25">
      <c r="A43" s="442"/>
      <c r="C43" s="441"/>
      <c r="D43" s="2256"/>
      <c r="E43" s="2264"/>
      <c r="F43" s="2267"/>
      <c r="G43" s="2264"/>
      <c r="H43" s="2270"/>
      <c r="I43" s="2272"/>
      <c r="J43" s="2274"/>
      <c r="K43" s="2259"/>
      <c r="L43" s="2259"/>
      <c r="M43" s="2259"/>
      <c r="N43" s="2261"/>
      <c r="O43" s="2259"/>
      <c r="P43" s="2259"/>
      <c r="Q43" s="2259"/>
      <c r="R43" s="2262"/>
      <c r="S43" s="2259"/>
      <c r="T43" s="1418"/>
      <c r="U43" s="1418"/>
      <c r="V43" s="1418"/>
      <c r="W43" s="1419"/>
      <c r="X43" s="1380"/>
      <c r="Y43" s="1380"/>
      <c r="Z43" s="1380"/>
      <c r="AA43" s="1380"/>
      <c r="AB43" s="1380"/>
      <c r="AC43" s="1380"/>
      <c r="AD43" s="1380"/>
      <c r="AE43" s="1380"/>
      <c r="AF43" s="1380"/>
      <c r="AG43" s="1380"/>
      <c r="AH43" s="1380"/>
      <c r="AI43" s="1380"/>
      <c r="AJ43" s="1380"/>
      <c r="AK43" s="1380"/>
      <c r="AL43" s="1380"/>
      <c r="AM43" s="1380"/>
      <c r="AN43" s="1380"/>
      <c r="AO43" s="1380"/>
      <c r="AP43" s="1380"/>
      <c r="AQ43" s="1380"/>
      <c r="AR43" s="1404">
        <v>0</v>
      </c>
    </row>
    <row s="8300" customFormat="1" customHeight="1" ht="17.25">
      <c r="A44" s="442"/>
      <c r="C44" s="441"/>
      <c r="D44" s="2257"/>
      <c r="E44" s="2265"/>
      <c r="F44" s="2267"/>
      <c r="G44" s="2265"/>
      <c r="H44" s="2270"/>
      <c r="I44" s="2272"/>
      <c r="J44" s="2275"/>
      <c r="K44" s="2259"/>
      <c r="L44" s="2259"/>
      <c r="M44" s="2259"/>
      <c r="N44" s="2262"/>
      <c r="O44" s="2259"/>
      <c r="P44" s="1539"/>
      <c r="Q44" s="1418"/>
      <c r="R44" s="1418"/>
      <c r="S44" s="450"/>
      <c r="T44" s="450"/>
      <c r="U44" s="450"/>
      <c r="V44" s="450"/>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8300" customFormat="1" customHeight="1" ht="17.25">
      <c r="A45" s="442"/>
      <c r="C45" s="441"/>
      <c r="D45" s="2257"/>
      <c r="E45" s="2265"/>
      <c r="F45" s="2267"/>
      <c r="G45" s="2265"/>
      <c r="H45" s="2270"/>
      <c r="I45" s="2272"/>
      <c r="J45" s="2275"/>
      <c r="K45" s="2259"/>
      <c r="L45" s="1418"/>
      <c r="M45" s="1418"/>
      <c r="N45" s="1418"/>
      <c r="O45" s="1418"/>
      <c r="P45" s="1418"/>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8300" customFormat="1" customHeight="1" ht="17.25">
      <c r="A46" s="442"/>
      <c r="C46" s="441"/>
      <c r="D46" s="2257"/>
      <c r="E46" s="2265"/>
      <c r="F46" s="2268"/>
      <c r="G46" s="2265"/>
      <c r="H46" s="1420"/>
      <c r="I46" s="1421"/>
      <c r="J46" s="1421"/>
      <c r="K46" s="1421"/>
      <c r="L46" s="1421"/>
      <c r="M46" s="1421"/>
      <c r="N46" s="1421"/>
      <c r="O46" s="1421"/>
      <c r="P46" s="1421"/>
      <c r="Q46" s="1421"/>
      <c r="R46" s="1421"/>
      <c r="S46" s="1422"/>
      <c r="T46" s="1422"/>
      <c r="U46" s="1422"/>
      <c r="V46" s="1422"/>
      <c r="W46" s="1423"/>
      <c r="X46" s="1380"/>
      <c r="Y46" s="1380"/>
      <c r="Z46" s="1380"/>
      <c r="AA46" s="1380"/>
      <c r="AB46" s="1380"/>
      <c r="AC46" s="1380"/>
      <c r="AD46" s="1380"/>
      <c r="AE46" s="1380"/>
      <c r="AF46" s="1380"/>
      <c r="AG46" s="1380"/>
      <c r="AH46" s="1380"/>
      <c r="AI46" s="1380"/>
      <c r="AJ46" s="1380"/>
      <c r="AK46" s="1380"/>
      <c r="AL46" s="1380"/>
      <c r="AM46" s="1380"/>
      <c r="AN46" s="1380"/>
      <c r="AO46" s="1380"/>
      <c r="AP46" s="1380"/>
      <c r="AQ46" s="1380"/>
      <c r="AR46" s="1404">
        <v>0</v>
      </c>
    </row>
    <row s="8300" customFormat="1" customHeight="1" ht="17.25">
      <c r="A47" s="442"/>
      <c r="C47" s="330"/>
      <c r="D47" s="2256">
        <v>6</v>
      </c>
      <c r="E47" s="2264" t="s">
        <v>210</v>
      </c>
      <c r="F47" s="2266" t="s">
        <v>19</v>
      </c>
      <c r="G47" s="2264"/>
      <c r="H47" s="2269"/>
      <c r="I47" s="2271"/>
      <c r="J47" s="2273"/>
      <c r="K47" s="2258"/>
      <c r="L47" s="2258"/>
      <c r="M47" s="2258"/>
      <c r="N47" s="2260"/>
      <c r="O47" s="2258"/>
      <c r="P47" s="2258"/>
      <c r="Q47" s="2258"/>
      <c r="R47" s="2263"/>
      <c r="S47" s="2258"/>
      <c r="T47" s="1541"/>
      <c r="U47" s="1541"/>
      <c r="V47" s="1540"/>
      <c r="W47" s="1417"/>
      <c r="X47" s="1388"/>
      <c r="Y47" s="1388"/>
      <c r="Z47" s="1388"/>
      <c r="AA47" s="1388"/>
      <c r="AB47" s="1388"/>
      <c r="AC47" s="1388" t="s">
        <v>211</v>
      </c>
      <c r="AD47" s="1388" t="s">
        <v>212</v>
      </c>
      <c r="AE47" s="1388" t="s">
        <v>213</v>
      </c>
      <c r="AF47" s="1388" t="s">
        <v>214</v>
      </c>
      <c r="AG47" s="1388" t="s">
        <v>215</v>
      </c>
      <c r="AH47" s="1388" t="str">
        <f>IF($E$47=0,"",$E$47)</f>
        <v>Тарифы на услуги по передаче теплоносителя</v>
      </c>
      <c r="AI47" s="1388" t="str">
        <f>IF($G$47=0,"",$G$47)</f>
        <v/>
      </c>
      <c r="AJ47" s="1388" t="str">
        <f>IF($J$47=0,"",$J$47)</f>
        <v/>
      </c>
      <c r="AK47" s="1388" t="str">
        <f>IF($K$47="нет","без дифференциации",IF($N$47=0,"",$N$47))</f>
        <v/>
      </c>
      <c r="AL47" s="1388" t="str">
        <f>IF($O$47="нет","без дифференциации",IF($R$47=0,"",$R$47))</f>
        <v/>
      </c>
      <c r="AM47" s="1388" t="str">
        <f>IF($S$47="нет","без дифференциации",IF($V$47=0,"",$V$47))</f>
        <v/>
      </c>
      <c r="AN47" s="1893">
        <f>$I$47</f>
        <v>0</v>
      </c>
      <c r="AO47" s="1388" t="str">
        <f>$I$47&amp;"."&amp;$M$47</f>
        <v>.</v>
      </c>
      <c r="AP47" s="1380" t="str">
        <f>$I$47&amp;"."&amp;$M$47&amp;"."&amp;$Q$47</f>
        <v>..</v>
      </c>
      <c r="AQ47" s="1380" t="str">
        <f>$I$47&amp;"."&amp;$M$47&amp;"."&amp;$Q$47&amp;"."&amp;$U$47</f>
        <v>...</v>
      </c>
      <c r="AR47" s="1404">
        <v>0</v>
      </c>
    </row>
    <row s="8300" customFormat="1" customHeight="1" ht="17.25">
      <c r="A48" s="442"/>
      <c r="C48" s="441"/>
      <c r="D48" s="2256"/>
      <c r="E48" s="2264"/>
      <c r="F48" s="2267"/>
      <c r="G48" s="2264"/>
      <c r="H48" s="2270"/>
      <c r="I48" s="2272"/>
      <c r="J48" s="2274"/>
      <c r="K48" s="2259"/>
      <c r="L48" s="2259"/>
      <c r="M48" s="2259"/>
      <c r="N48" s="2261"/>
      <c r="O48" s="2259"/>
      <c r="P48" s="2259"/>
      <c r="Q48" s="2259"/>
      <c r="R48" s="2262"/>
      <c r="S48" s="2259"/>
      <c r="T48" s="1418"/>
      <c r="U48" s="1418"/>
      <c r="V48" s="1418"/>
      <c r="W48" s="1419"/>
      <c r="X48" s="1380"/>
      <c r="Y48" s="1380"/>
      <c r="Z48" s="1380"/>
      <c r="AA48" s="1380"/>
      <c r="AB48" s="1380"/>
      <c r="AC48" s="1380"/>
      <c r="AD48" s="1380"/>
      <c r="AE48" s="1380"/>
      <c r="AF48" s="1380"/>
      <c r="AG48" s="1380"/>
      <c r="AH48" s="1380"/>
      <c r="AI48" s="1380"/>
      <c r="AJ48" s="1380"/>
      <c r="AK48" s="1380"/>
      <c r="AL48" s="1380"/>
      <c r="AM48" s="1380"/>
      <c r="AN48" s="1380"/>
      <c r="AO48" s="1380"/>
      <c r="AP48" s="1380"/>
      <c r="AQ48" s="1380"/>
      <c r="AR48" s="1404">
        <v>0</v>
      </c>
    </row>
    <row s="8300" customFormat="1" customHeight="1" ht="17.25">
      <c r="A49" s="442"/>
      <c r="C49" s="441"/>
      <c r="D49" s="2257"/>
      <c r="E49" s="2265"/>
      <c r="F49" s="2267"/>
      <c r="G49" s="2265"/>
      <c r="H49" s="2270"/>
      <c r="I49" s="2272"/>
      <c r="J49" s="2275"/>
      <c r="K49" s="2259"/>
      <c r="L49" s="2259"/>
      <c r="M49" s="2259"/>
      <c r="N49" s="2262"/>
      <c r="O49" s="2259"/>
      <c r="P49" s="1539"/>
      <c r="Q49" s="1418"/>
      <c r="R49" s="1418"/>
      <c r="S49" s="450"/>
      <c r="T49" s="450"/>
      <c r="U49" s="450"/>
      <c r="V49" s="450"/>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04">
        <v>0</v>
      </c>
    </row>
    <row s="8300" customFormat="1" customHeight="1" ht="17.25">
      <c r="A50" s="442"/>
      <c r="C50" s="330"/>
      <c r="D50" s="2257"/>
      <c r="E50" s="2265"/>
      <c r="F50" s="2267"/>
      <c r="G50" s="2265"/>
      <c r="H50" s="2270"/>
      <c r="I50" s="2272"/>
      <c r="J50" s="2275"/>
      <c r="K50" s="2259"/>
      <c r="L50" s="1418"/>
      <c r="M50" s="1418"/>
      <c r="N50" s="1418"/>
      <c r="O50" s="1418"/>
      <c r="P50" s="1418"/>
      <c r="Q50" s="1418"/>
      <c r="R50" s="1418"/>
      <c r="S50" s="450"/>
      <c r="T50" s="450"/>
      <c r="U50" s="450"/>
      <c r="V50" s="450"/>
      <c r="W50" s="1419"/>
      <c r="Y50" s="1388"/>
      <c r="Z50" s="1388"/>
      <c r="AA50" s="1388"/>
      <c r="AB50" s="1388"/>
      <c r="AC50" s="1388"/>
      <c r="AD50" s="1388"/>
      <c r="AE50" s="1388"/>
      <c r="AF50" s="1388"/>
      <c r="AG50" s="1388"/>
      <c r="AH50" s="1388"/>
      <c r="AI50" s="1388"/>
      <c r="AJ50" s="1388"/>
      <c r="AK50" s="1388"/>
      <c r="AL50" s="1388"/>
      <c r="AM50" s="1388"/>
      <c r="AN50" s="1388"/>
      <c r="AO50" s="1388"/>
      <c r="AP50" s="1388"/>
      <c r="AQ50" s="1388"/>
      <c r="AR50" s="1447">
        <v>0</v>
      </c>
    </row>
    <row s="8300" customFormat="1" customHeight="1" ht="17.25">
      <c r="A51" s="442"/>
      <c r="C51" s="441"/>
      <c r="D51" s="2257"/>
      <c r="E51" s="2265"/>
      <c r="F51" s="2268"/>
      <c r="G51" s="2265"/>
      <c r="H51" s="1420"/>
      <c r="I51" s="1421"/>
      <c r="J51" s="1421"/>
      <c r="K51" s="1421"/>
      <c r="L51" s="1421"/>
      <c r="M51" s="1421"/>
      <c r="N51" s="1421"/>
      <c r="O51" s="1421"/>
      <c r="P51" s="1421"/>
      <c r="Q51" s="1421"/>
      <c r="R51" s="1421"/>
      <c r="S51" s="1422"/>
      <c r="T51" s="1422"/>
      <c r="U51" s="1422"/>
      <c r="V51" s="1422"/>
      <c r="W51" s="1423"/>
      <c r="X51" s="1380"/>
      <c r="Y51" s="1380"/>
      <c r="Z51" s="1380"/>
      <c r="AA51" s="1380"/>
      <c r="AB51" s="1380"/>
      <c r="AC51" s="1380"/>
      <c r="AD51" s="1380"/>
      <c r="AE51" s="1380"/>
      <c r="AF51" s="1380"/>
      <c r="AG51" s="1380"/>
      <c r="AH51" s="1380"/>
      <c r="AI51" s="1380"/>
      <c r="AJ51" s="1380"/>
      <c r="AK51" s="1380"/>
      <c r="AL51" s="1380"/>
      <c r="AM51" s="1380"/>
      <c r="AN51" s="1380"/>
      <c r="AO51" s="1380"/>
      <c r="AP51" s="1380"/>
      <c r="AQ51" s="1380"/>
      <c r="AR51" s="1404">
        <v>0</v>
      </c>
    </row>
    <row s="8300" customFormat="1" customHeight="1" ht="17.25">
      <c r="A52" s="442"/>
      <c r="C52" s="330"/>
      <c r="D52" s="2287">
        <v>7</v>
      </c>
      <c r="E52" s="2290" t="s">
        <v>216</v>
      </c>
      <c r="F52" s="2266" t="s">
        <v>19</v>
      </c>
      <c r="G52" s="2290"/>
      <c r="H52" s="2269"/>
      <c r="I52" s="2271"/>
      <c r="J52" s="2273"/>
      <c r="K52" s="2258"/>
      <c r="L52" s="2258"/>
      <c r="M52" s="2258"/>
      <c r="N52" s="2260"/>
      <c r="O52" s="2258"/>
      <c r="P52" s="2258"/>
      <c r="Q52" s="2258"/>
      <c r="R52" s="2263"/>
      <c r="S52" s="2258"/>
      <c r="T52" s="1541"/>
      <c r="U52" s="1541"/>
      <c r="V52" s="1540"/>
      <c r="W52" s="1417"/>
      <c r="X52" s="1388"/>
      <c r="Y52" s="1388"/>
      <c r="Z52" s="1388"/>
      <c r="AA52" s="1388"/>
      <c r="AB52" s="1388"/>
      <c r="AC52" s="1388" t="s">
        <v>217</v>
      </c>
      <c r="AD52" s="1388" t="s">
        <v>218</v>
      </c>
      <c r="AE52" s="1388" t="s">
        <v>219</v>
      </c>
      <c r="AF52" s="1388" t="s">
        <v>220</v>
      </c>
      <c r="AG52" s="1388" t="s">
        <v>221</v>
      </c>
      <c r="AH52" s="1388" t="str">
        <f>IF($E$52=0,"",$E$52)</f>
        <v>Плата за услуги по поддержанию резервной тепловой мощности при отсутствии потребления тепловой энергии</v>
      </c>
      <c r="AI52" s="1388" t="str">
        <f>IF($G$52=0,"",$G$52)</f>
        <v/>
      </c>
      <c r="AJ52" s="1388" t="str">
        <f>IF($J$52=0,"",$J$52)</f>
        <v/>
      </c>
      <c r="AK52" s="1388" t="str">
        <f>IF($K$52="нет","без дифференциации",IF($N$52=0,"",$N$52))</f>
        <v/>
      </c>
      <c r="AL52" s="1388" t="str">
        <f>IF($O$52="нет","без дифференциации",IF($R$52=0,"",$R$52))</f>
        <v/>
      </c>
      <c r="AM52" s="1388" t="str">
        <f>IF($S$52="нет","без дифференциации",IF($V$52=0,"",$V$52))</f>
        <v/>
      </c>
      <c r="AN52" s="1893">
        <f>$I$52</f>
        <v>0</v>
      </c>
      <c r="AO52" s="1388" t="str">
        <f>$I$52&amp;"."&amp;$M$52</f>
        <v>.</v>
      </c>
      <c r="AP52" s="1380" t="str">
        <f>$I$52&amp;"."&amp;$M$52&amp;"."&amp;$Q$52</f>
        <v>..</v>
      </c>
      <c r="AQ52" s="1380" t="str">
        <f>$I$52&amp;"."&amp;$M$52&amp;"."&amp;$Q$52&amp;"."&amp;$U$52</f>
        <v>...</v>
      </c>
      <c r="AR52" s="1429">
        <v>0</v>
      </c>
    </row>
    <row s="8300" customFormat="1" customHeight="1" ht="17.25">
      <c r="A53" s="442"/>
      <c r="C53" s="441"/>
      <c r="D53" s="2288"/>
      <c r="E53" s="2291"/>
      <c r="F53" s="2267"/>
      <c r="G53" s="2291"/>
      <c r="H53" s="2270"/>
      <c r="I53" s="2272"/>
      <c r="J53" s="2274"/>
      <c r="K53" s="2259"/>
      <c r="L53" s="2259"/>
      <c r="M53" s="2259"/>
      <c r="N53" s="2261"/>
      <c r="O53" s="2259"/>
      <c r="P53" s="2259"/>
      <c r="Q53" s="2259"/>
      <c r="R53" s="2262"/>
      <c r="S53" s="2259"/>
      <c r="T53" s="1418"/>
      <c r="U53" s="1418"/>
      <c r="V53" s="1418"/>
      <c r="W53" s="1419"/>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429">
        <v>0</v>
      </c>
    </row>
    <row s="8300" customFormat="1" customHeight="1" ht="17.25">
      <c r="A54" s="442"/>
      <c r="C54" s="441"/>
      <c r="D54" s="2288"/>
      <c r="E54" s="2291"/>
      <c r="F54" s="2267"/>
      <c r="G54" s="2291"/>
      <c r="H54" s="2270"/>
      <c r="I54" s="2272"/>
      <c r="J54" s="2275"/>
      <c r="K54" s="2259"/>
      <c r="L54" s="2259"/>
      <c r="M54" s="2259"/>
      <c r="N54" s="2262"/>
      <c r="O54" s="2259"/>
      <c r="P54" s="1539"/>
      <c r="Q54" s="1418"/>
      <c r="R54" s="1418"/>
      <c r="S54" s="450"/>
      <c r="T54" s="450"/>
      <c r="U54" s="450"/>
      <c r="V54" s="450"/>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8300" customFormat="1" customHeight="1" ht="17.25">
      <c r="A55" s="442"/>
      <c r="C55" s="330"/>
      <c r="D55" s="2288"/>
      <c r="E55" s="2291"/>
      <c r="F55" s="2267"/>
      <c r="G55" s="2291"/>
      <c r="H55" s="2270"/>
      <c r="I55" s="2272"/>
      <c r="J55" s="2275"/>
      <c r="K55" s="2259"/>
      <c r="L55" s="1418"/>
      <c r="M55" s="1418"/>
      <c r="N55" s="1418"/>
      <c r="O55" s="1418"/>
      <c r="P55" s="1418"/>
      <c r="Q55" s="1418"/>
      <c r="R55" s="1418"/>
      <c r="S55" s="450"/>
      <c r="T55" s="450"/>
      <c r="U55" s="450"/>
      <c r="V55" s="450"/>
      <c r="W55" s="1419"/>
      <c r="Y55" s="1388"/>
      <c r="Z55" s="1388"/>
      <c r="AA55" s="1388"/>
      <c r="AB55" s="1388"/>
      <c r="AC55" s="1388"/>
      <c r="AD55" s="1388"/>
      <c r="AE55" s="1388"/>
      <c r="AF55" s="1388"/>
      <c r="AG55" s="1388"/>
      <c r="AH55" s="1388"/>
      <c r="AI55" s="1388"/>
      <c r="AJ55" s="1388"/>
      <c r="AK55" s="1388"/>
      <c r="AL55" s="1388"/>
      <c r="AM55" s="1388"/>
      <c r="AN55" s="1388"/>
      <c r="AO55" s="1388"/>
      <c r="AP55" s="1388"/>
      <c r="AQ55" s="1388"/>
      <c r="AR55" s="1447">
        <v>0</v>
      </c>
    </row>
    <row s="8300" customFormat="1" customHeight="1" ht="17.25">
      <c r="A56" s="442"/>
      <c r="C56" s="441"/>
      <c r="D56" s="2289"/>
      <c r="E56" s="2292"/>
      <c r="F56" s="2268"/>
      <c r="G56" s="2292"/>
      <c r="H56" s="1420"/>
      <c r="I56" s="1421"/>
      <c r="J56" s="1421"/>
      <c r="K56" s="1421"/>
      <c r="L56" s="1421"/>
      <c r="M56" s="1421"/>
      <c r="N56" s="1421"/>
      <c r="O56" s="1421"/>
      <c r="P56" s="1421"/>
      <c r="Q56" s="1421"/>
      <c r="R56" s="1421"/>
      <c r="S56" s="1422"/>
      <c r="T56" s="1422"/>
      <c r="U56" s="1422"/>
      <c r="V56" s="1422"/>
      <c r="W56" s="1423"/>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1429">
        <v>0</v>
      </c>
    </row>
    <row s="8300" customFormat="1" customHeight="1" ht="17.25">
      <c r="A57" s="442"/>
      <c r="C57" s="330"/>
      <c r="D57" s="2256">
        <v>8</v>
      </c>
      <c r="E57" s="2264" t="s">
        <v>222</v>
      </c>
      <c r="F57" s="2266" t="s">
        <v>19</v>
      </c>
      <c r="G57" s="2264"/>
      <c r="H57" s="2269"/>
      <c r="I57" s="2271"/>
      <c r="J57" s="2273"/>
      <c r="K57" s="2258"/>
      <c r="L57" s="2258"/>
      <c r="M57" s="2258"/>
      <c r="N57" s="2260"/>
      <c r="O57" s="2258"/>
      <c r="P57" s="2258"/>
      <c r="Q57" s="2258"/>
      <c r="R57" s="2263"/>
      <c r="S57" s="2258"/>
      <c r="T57" s="1591"/>
      <c r="U57" s="1591"/>
      <c r="V57" s="1593"/>
      <c r="W57" s="1417"/>
      <c r="X57" s="1388"/>
      <c r="Y57" s="1388"/>
      <c r="Z57" s="1388"/>
      <c r="AA57" s="1388"/>
      <c r="AB57" s="1388"/>
      <c r="AC57" s="1388" t="s">
        <v>223</v>
      </c>
      <c r="AD57" s="1388" t="s">
        <v>224</v>
      </c>
      <c r="AE57" s="1388" t="s">
        <v>225</v>
      </c>
      <c r="AF57" s="1388" t="s">
        <v>226</v>
      </c>
      <c r="AG57" s="1388" t="s">
        <v>227</v>
      </c>
      <c r="AH57" s="1388" t="str">
        <f>IF($E$57=0,"",$E$57)</f>
        <v>Плата за подключение (технологическое присоединение) к системе теплоснабжения</v>
      </c>
      <c r="AI57" s="1388" t="str">
        <f>IF($G$57=0,"",$G$57)</f>
        <v/>
      </c>
      <c r="AJ57" s="1388" t="str">
        <f>IF($J$57=0,"",$J$57)</f>
        <v/>
      </c>
      <c r="AK57" s="1388" t="str">
        <f>IF($K$57="нет","без дифференциации",IF($N$57=0,"",$N$57))</f>
        <v/>
      </c>
      <c r="AL57" s="1388" t="str">
        <f>IF($O$57="нет","без дифференциации",IF($R$57=0,"",$R$57))</f>
        <v/>
      </c>
      <c r="AM57" s="1388" t="str">
        <f>IF($S$57="нет","без дифференциации",IF($V$57=0,"",$V$57))</f>
        <v/>
      </c>
      <c r="AN57" s="1893">
        <f>$I$57</f>
        <v>0</v>
      </c>
      <c r="AO57" s="1388" t="str">
        <f>$I$57&amp;"."&amp;$M$57</f>
        <v>.</v>
      </c>
      <c r="AP57" s="1380" t="str">
        <f>$I$57&amp;"."&amp;$M$57&amp;"."&amp;$Q$57</f>
        <v>..</v>
      </c>
      <c r="AQ57" s="1380" t="str">
        <f>$I$57&amp;"."&amp;$M$57&amp;"."&amp;$Q$57&amp;"."&amp;$U$57</f>
        <v>...</v>
      </c>
      <c r="AR57" s="1429">
        <v>0</v>
      </c>
    </row>
    <row s="8300" customFormat="1" customHeight="1" ht="17.25">
      <c r="A58" s="442"/>
      <c r="C58" s="441"/>
      <c r="D58" s="2256"/>
      <c r="E58" s="2264"/>
      <c r="F58" s="2267"/>
      <c r="G58" s="2264"/>
      <c r="H58" s="2270"/>
      <c r="I58" s="2272"/>
      <c r="J58" s="2274"/>
      <c r="K58" s="2259"/>
      <c r="L58" s="2259"/>
      <c r="M58" s="2259"/>
      <c r="N58" s="2261"/>
      <c r="O58" s="2259"/>
      <c r="P58" s="2259"/>
      <c r="Q58" s="2259"/>
      <c r="R58" s="2262"/>
      <c r="S58" s="2259"/>
      <c r="T58" s="1418"/>
      <c r="U58" s="1418"/>
      <c r="V58" s="1418"/>
      <c r="W58" s="1419"/>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429">
        <v>0</v>
      </c>
    </row>
    <row s="8300" customFormat="1" customHeight="1" ht="17.25">
      <c r="A59" s="442"/>
      <c r="C59" s="441"/>
      <c r="D59" s="2257"/>
      <c r="E59" s="2265"/>
      <c r="F59" s="2267"/>
      <c r="G59" s="2265"/>
      <c r="H59" s="2270"/>
      <c r="I59" s="2272"/>
      <c r="J59" s="2275"/>
      <c r="K59" s="2259"/>
      <c r="L59" s="2259"/>
      <c r="M59" s="2259"/>
      <c r="N59" s="2262"/>
      <c r="O59" s="2259"/>
      <c r="P59" s="1592"/>
      <c r="Q59" s="1418"/>
      <c r="R59" s="1418"/>
      <c r="S59" s="450"/>
      <c r="T59" s="450"/>
      <c r="U59" s="450"/>
      <c r="V59" s="450"/>
      <c r="W59" s="1419"/>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429">
        <v>0</v>
      </c>
    </row>
    <row s="8300" customFormat="1" customHeight="1" ht="17.25">
      <c r="A60" s="442"/>
      <c r="C60" s="330"/>
      <c r="D60" s="2257"/>
      <c r="E60" s="2265"/>
      <c r="F60" s="2267"/>
      <c r="G60" s="2265"/>
      <c r="H60" s="2270"/>
      <c r="I60" s="2272"/>
      <c r="J60" s="2275"/>
      <c r="K60" s="2259"/>
      <c r="L60" s="1418"/>
      <c r="M60" s="1418"/>
      <c r="N60" s="1418"/>
      <c r="O60" s="1418"/>
      <c r="P60" s="1418"/>
      <c r="Q60" s="1418"/>
      <c r="R60" s="1418"/>
      <c r="S60" s="450"/>
      <c r="T60" s="450"/>
      <c r="U60" s="450"/>
      <c r="V60" s="450"/>
      <c r="W60" s="1419"/>
      <c r="Y60" s="1388"/>
      <c r="Z60" s="1388"/>
      <c r="AA60" s="1388"/>
      <c r="AB60" s="1388"/>
      <c r="AC60" s="1388"/>
      <c r="AD60" s="1388"/>
      <c r="AE60" s="1388"/>
      <c r="AF60" s="1388"/>
      <c r="AG60" s="1388"/>
      <c r="AH60" s="1388"/>
      <c r="AI60" s="1388"/>
      <c r="AJ60" s="1388"/>
      <c r="AK60" s="1388"/>
      <c r="AL60" s="1388"/>
      <c r="AM60" s="1388"/>
      <c r="AN60" s="1388"/>
      <c r="AO60" s="1388"/>
      <c r="AP60" s="1388"/>
      <c r="AQ60" s="1388"/>
      <c r="AR60" s="1447">
        <v>0</v>
      </c>
    </row>
    <row s="8300" customFormat="1" customHeight="1" ht="17.25">
      <c r="A61" s="442"/>
      <c r="C61" s="441"/>
      <c r="D61" s="2257"/>
      <c r="E61" s="2265"/>
      <c r="F61" s="2268"/>
      <c r="G61" s="2265"/>
      <c r="H61" s="1420"/>
      <c r="I61" s="1421"/>
      <c r="J61" s="1421"/>
      <c r="K61" s="1421"/>
      <c r="L61" s="1421"/>
      <c r="M61" s="1421"/>
      <c r="N61" s="1421"/>
      <c r="O61" s="1421"/>
      <c r="P61" s="1421"/>
      <c r="Q61" s="1421"/>
      <c r="R61" s="1421"/>
      <c r="S61" s="1422"/>
      <c r="T61" s="1422"/>
      <c r="U61" s="1422"/>
      <c r="V61" s="1422"/>
      <c r="W61" s="1423"/>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429">
        <v>0</v>
      </c>
    </row>
    <row s="8300" customFormat="1" customHeight="1" ht="17.25">
      <c r="A62" s="442"/>
      <c r="C62" s="330"/>
      <c r="D62" s="2256">
        <v>9</v>
      </c>
      <c r="E62" s="2264" t="s">
        <v>228</v>
      </c>
      <c r="F62" s="2266" t="s">
        <v>19</v>
      </c>
      <c r="G62" s="2264"/>
      <c r="H62" s="2269"/>
      <c r="I62" s="2271"/>
      <c r="J62" s="2273"/>
      <c r="K62" s="2258"/>
      <c r="L62" s="2258"/>
      <c r="M62" s="2258"/>
      <c r="N62" s="2260"/>
      <c r="O62" s="2258"/>
      <c r="P62" s="2258"/>
      <c r="Q62" s="2258"/>
      <c r="R62" s="2263"/>
      <c r="S62" s="2258"/>
      <c r="T62" s="2052"/>
      <c r="U62" s="2052"/>
      <c r="V62" s="2054"/>
      <c r="W62" s="1417"/>
      <c r="X62" s="1388"/>
      <c r="Y62" s="1388"/>
      <c r="Z62" s="1388"/>
      <c r="AA62" s="1388"/>
      <c r="AB62" s="1388"/>
      <c r="AC62" s="1388" t="s">
        <v>229</v>
      </c>
      <c r="AD62" s="1388" t="s">
        <v>230</v>
      </c>
      <c r="AE62" s="1388" t="s">
        <v>231</v>
      </c>
      <c r="AF62" s="1388" t="s">
        <v>232</v>
      </c>
      <c r="AG62" s="1388" t="s">
        <v>233</v>
      </c>
      <c r="AH62" s="1388" t="str">
        <f>IF($E$62=0,"",$E$62)</f>
        <v>Плата за подключение (технологическое присоединение) к системе теплоснабжения (индивидуальная)</v>
      </c>
      <c r="AI62" s="1388" t="str">
        <f>IF($G$62=0,"",$G$62)</f>
        <v/>
      </c>
      <c r="AJ62" s="1388" t="str">
        <f>IF($J$62=0,"",$J$62)</f>
        <v/>
      </c>
      <c r="AK62" s="1388" t="str">
        <f>IF($K$62="нет","без дифференциации",IF($N$62=0,"",$N$62))</f>
        <v/>
      </c>
      <c r="AL62" s="1388" t="str">
        <f>IF($O$62="нет","без дифференциации",IF($R$62=0,"",$R$62))</f>
        <v/>
      </c>
      <c r="AM62" s="1388" t="str">
        <f>IF($S$62="нет","без дифференциации",IF($V$62=0,"",$V$62))</f>
        <v/>
      </c>
      <c r="AN62" s="1893">
        <f>$I$62</f>
        <v>0</v>
      </c>
      <c r="AO62" s="1388" t="str">
        <f>$I$62&amp;"."&amp;$M$62</f>
        <v>.</v>
      </c>
      <c r="AP62" s="1387" t="str">
        <f>$I$62&amp;"."&amp;$M$62&amp;"."&amp;$Q$62</f>
        <v>..</v>
      </c>
      <c r="AQ62" s="1387" t="str">
        <f>$I$62&amp;"."&amp;$M$62&amp;"."&amp;$Q$62&amp;"."&amp;$U$62</f>
        <v>...</v>
      </c>
      <c r="AR62" s="1588">
        <v>0</v>
      </c>
    </row>
    <row s="8300" customFormat="1" customHeight="1" ht="17.25">
      <c r="A63" s="442"/>
      <c r="C63" s="441"/>
      <c r="D63" s="2256"/>
      <c r="E63" s="2264"/>
      <c r="F63" s="2267"/>
      <c r="G63" s="2264"/>
      <c r="H63" s="2270"/>
      <c r="I63" s="2272"/>
      <c r="J63" s="2274"/>
      <c r="K63" s="2259"/>
      <c r="L63" s="2259"/>
      <c r="M63" s="2259"/>
      <c r="N63" s="2261"/>
      <c r="O63" s="2259"/>
      <c r="P63" s="2259"/>
      <c r="Q63" s="2259"/>
      <c r="R63" s="2262"/>
      <c r="S63" s="2259"/>
      <c r="T63" s="2055"/>
      <c r="U63" s="2055"/>
      <c r="V63" s="2055"/>
      <c r="W63" s="2056"/>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588">
        <v>0</v>
      </c>
    </row>
    <row s="8300" customFormat="1" customHeight="1" ht="17.25">
      <c r="A64" s="442"/>
      <c r="C64" s="441"/>
      <c r="D64" s="2257"/>
      <c r="E64" s="2265"/>
      <c r="F64" s="2267"/>
      <c r="G64" s="2265"/>
      <c r="H64" s="2270"/>
      <c r="I64" s="2272"/>
      <c r="J64" s="2275"/>
      <c r="K64" s="2259"/>
      <c r="L64" s="2259"/>
      <c r="M64" s="2259"/>
      <c r="N64" s="2262"/>
      <c r="O64" s="2259"/>
      <c r="P64" s="2053"/>
      <c r="Q64" s="2055"/>
      <c r="R64" s="2055"/>
      <c r="S64" s="450"/>
      <c r="T64" s="450"/>
      <c r="U64" s="450"/>
      <c r="V64" s="450"/>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8300" customFormat="1" customHeight="1" ht="17.25">
      <c r="A65" s="442"/>
      <c r="C65" s="330"/>
      <c r="D65" s="2257"/>
      <c r="E65" s="2265"/>
      <c r="F65" s="2267"/>
      <c r="G65" s="2265"/>
      <c r="H65" s="2270"/>
      <c r="I65" s="2272"/>
      <c r="J65" s="2275"/>
      <c r="K65" s="2259"/>
      <c r="L65" s="2055"/>
      <c r="M65" s="2055"/>
      <c r="N65" s="2055"/>
      <c r="O65" s="2055"/>
      <c r="P65" s="2055"/>
      <c r="Q65" s="2055"/>
      <c r="R65" s="2055"/>
      <c r="S65" s="450"/>
      <c r="T65" s="450"/>
      <c r="U65" s="450"/>
      <c r="V65" s="450"/>
      <c r="W65" s="2056"/>
      <c r="Y65" s="1388"/>
      <c r="Z65" s="1388"/>
      <c r="AA65" s="1388"/>
      <c r="AB65" s="1388"/>
      <c r="AC65" s="1388"/>
      <c r="AD65" s="1388"/>
      <c r="AE65" s="1388"/>
      <c r="AF65" s="1388"/>
      <c r="AG65" s="1388"/>
      <c r="AH65" s="1388"/>
      <c r="AI65" s="1388"/>
      <c r="AJ65" s="1388"/>
      <c r="AK65" s="1388"/>
      <c r="AL65" s="1388"/>
      <c r="AM65" s="1388"/>
      <c r="AN65" s="1388"/>
      <c r="AO65" s="1388"/>
      <c r="AP65" s="1388"/>
      <c r="AQ65" s="1388"/>
      <c r="AR65" s="1588">
        <v>0</v>
      </c>
    </row>
    <row s="8300" customFormat="1" customHeight="1" ht="17.25">
      <c r="A66" s="442"/>
      <c r="C66" s="441"/>
      <c r="D66" s="2257"/>
      <c r="E66" s="2265"/>
      <c r="F66" s="2268"/>
      <c r="G66" s="2265"/>
      <c r="H66" s="1420"/>
      <c r="I66" s="2057"/>
      <c r="J66" s="2057"/>
      <c r="K66" s="2057"/>
      <c r="L66" s="2057"/>
      <c r="M66" s="2057"/>
      <c r="N66" s="2057"/>
      <c r="O66" s="2057"/>
      <c r="P66" s="2057"/>
      <c r="Q66" s="2057"/>
      <c r="R66" s="2057"/>
      <c r="S66" s="1422"/>
      <c r="T66" s="1422"/>
      <c r="U66" s="1422"/>
      <c r="V66" s="1422"/>
      <c r="W66" s="2058"/>
      <c r="X66" s="1387"/>
      <c r="Y66" s="1387"/>
      <c r="Z66" s="1387"/>
      <c r="AA66" s="1387"/>
      <c r="AB66" s="1387"/>
      <c r="AC66" s="1387"/>
      <c r="AD66" s="1387"/>
      <c r="AE66" s="1387"/>
      <c r="AF66" s="1387"/>
      <c r="AG66" s="1387"/>
      <c r="AH66" s="1387"/>
      <c r="AI66" s="1387"/>
      <c r="AJ66" s="1387"/>
      <c r="AK66" s="1387"/>
      <c r="AL66" s="1387"/>
      <c r="AM66" s="1387"/>
      <c r="AN66" s="1387"/>
      <c r="AO66" s="1387"/>
      <c r="AP66" s="1387"/>
      <c r="AQ66" s="1387"/>
      <c r="AR66" s="1588">
        <v>0</v>
      </c>
    </row>
    <row s="8300" customFormat="1" customHeight="1" ht="17.25" hidden="1">
      <c r="A67" s="442"/>
      <c r="C67" s="330"/>
      <c r="D67" s="2256">
        <v>10</v>
      </c>
      <c r="E67" s="2264" t="s">
        <v>234</v>
      </c>
      <c r="F67" s="2266" t="s">
        <v>19</v>
      </c>
      <c r="G67" s="2264"/>
      <c r="H67" s="2269"/>
      <c r="I67" s="2271"/>
      <c r="J67" s="2273"/>
      <c r="K67" s="2258"/>
      <c r="L67" s="2258"/>
      <c r="M67" s="2258"/>
      <c r="N67" s="2260"/>
      <c r="O67" s="2258"/>
      <c r="P67" s="2258"/>
      <c r="Q67" s="2258"/>
      <c r="R67" s="2263"/>
      <c r="S67" s="2258"/>
      <c r="T67" s="2052"/>
      <c r="U67" s="2052"/>
      <c r="V67" s="2054"/>
      <c r="W67" s="1417"/>
      <c r="X67" s="1388"/>
      <c r="Y67" s="1388"/>
      <c r="Z67" s="1388"/>
      <c r="AA67" s="1388"/>
      <c r="AB67" s="1388"/>
      <c r="AC67" s="1388" t="s">
        <v>235</v>
      </c>
      <c r="AD67" s="1388" t="s">
        <v>236</v>
      </c>
      <c r="AE67" s="1388" t="s">
        <v>237</v>
      </c>
      <c r="AF67" s="1388" t="s">
        <v>238</v>
      </c>
      <c r="AG67" s="1388" t="s">
        <v>239</v>
      </c>
      <c r="AH67" s="1388" t="str">
        <f>IF($E$67=0,"",$E$67)</f>
        <v>Предельный уровень цены на тепловую энергию (мощность), поставляемую теплоснабжающими организациями потребителям</v>
      </c>
      <c r="AI67" s="1388" t="str">
        <f>IF($G$67=0,"",$G$67)</f>
        <v/>
      </c>
      <c r="AJ67" s="1388" t="str">
        <f>IF($J$67=0,"",$J$67)</f>
        <v/>
      </c>
      <c r="AK67" s="1388" t="str">
        <f>IF($K$67="нет","без дифференциации",IF($N$67=0,"",$N$67))</f>
        <v/>
      </c>
      <c r="AL67" s="1388" t="str">
        <f>IF($O$67="нет","без дифференциации",IF($R$67=0,"",$R$67))</f>
        <v/>
      </c>
      <c r="AM67" s="1388" t="str">
        <f>IF($S$67="нет","без дифференциации",IF($V$67=0,"",$V$67))</f>
        <v/>
      </c>
      <c r="AN67" s="1893">
        <f>$I$67</f>
        <v>0</v>
      </c>
      <c r="AO67" s="1388" t="str">
        <f>$I$67&amp;"."&amp;$M$67</f>
        <v>.</v>
      </c>
      <c r="AP67" s="1387" t="str">
        <f>$I$67&amp;"."&amp;$M$67&amp;"."&amp;$Q$67</f>
        <v>..</v>
      </c>
      <c r="AQ67" s="1387" t="str">
        <f>$I$67&amp;"."&amp;$M$67&amp;"."&amp;$Q$67&amp;"."&amp;$U$67</f>
        <v>...</v>
      </c>
      <c r="AR67" s="1588">
        <v>0</v>
      </c>
    </row>
    <row s="8300" customFormat="1" customHeight="1" ht="17.25" hidden="1">
      <c r="A68" s="442"/>
      <c r="C68" s="441"/>
      <c r="D68" s="2256"/>
      <c r="E68" s="2264"/>
      <c r="F68" s="2267"/>
      <c r="G68" s="2264"/>
      <c r="H68" s="2270"/>
      <c r="I68" s="2272"/>
      <c r="J68" s="2274"/>
      <c r="K68" s="2259"/>
      <c r="L68" s="2259"/>
      <c r="M68" s="2259"/>
      <c r="N68" s="2261"/>
      <c r="O68" s="2259"/>
      <c r="P68" s="2259"/>
      <c r="Q68" s="2259"/>
      <c r="R68" s="2262"/>
      <c r="S68" s="2259"/>
      <c r="T68" s="2055"/>
      <c r="U68" s="2055"/>
      <c r="V68" s="2055"/>
      <c r="W68" s="2056"/>
      <c r="X68" s="1387"/>
      <c r="Y68" s="1387"/>
      <c r="Z68" s="1387"/>
      <c r="AA68" s="1387"/>
      <c r="AB68" s="1387"/>
      <c r="AC68" s="1387"/>
      <c r="AD68" s="1387"/>
      <c r="AE68" s="1387"/>
      <c r="AF68" s="1387"/>
      <c r="AG68" s="1387"/>
      <c r="AH68" s="1387"/>
      <c r="AI68" s="1387"/>
      <c r="AJ68" s="1387"/>
      <c r="AK68" s="1387"/>
      <c r="AL68" s="1387"/>
      <c r="AM68" s="1387"/>
      <c r="AN68" s="1387"/>
      <c r="AO68" s="1387"/>
      <c r="AP68" s="1387"/>
      <c r="AQ68" s="1387"/>
      <c r="AR68" s="1588">
        <v>0</v>
      </c>
    </row>
    <row s="8300" customFormat="1" customHeight="1" ht="17.25" hidden="1">
      <c r="A69" s="442"/>
      <c r="C69" s="441"/>
      <c r="D69" s="2257"/>
      <c r="E69" s="2265"/>
      <c r="F69" s="2267"/>
      <c r="G69" s="2265"/>
      <c r="H69" s="2270"/>
      <c r="I69" s="2272"/>
      <c r="J69" s="2275"/>
      <c r="K69" s="2259"/>
      <c r="L69" s="2259"/>
      <c r="M69" s="2259"/>
      <c r="N69" s="2262"/>
      <c r="O69" s="2259"/>
      <c r="P69" s="2053"/>
      <c r="Q69" s="2055"/>
      <c r="R69" s="2055"/>
      <c r="S69" s="450"/>
      <c r="T69" s="450"/>
      <c r="U69" s="450"/>
      <c r="V69" s="450"/>
      <c r="W69" s="2056"/>
      <c r="X69" s="1387"/>
      <c r="Y69" s="1387"/>
      <c r="Z69" s="1387"/>
      <c r="AA69" s="1387"/>
      <c r="AB69" s="1387"/>
      <c r="AC69" s="1387"/>
      <c r="AD69" s="1387"/>
      <c r="AE69" s="1387"/>
      <c r="AF69" s="1387"/>
      <c r="AG69" s="1387"/>
      <c r="AH69" s="1387"/>
      <c r="AI69" s="1387"/>
      <c r="AJ69" s="1387"/>
      <c r="AK69" s="1387"/>
      <c r="AL69" s="1387"/>
      <c r="AM69" s="1387"/>
      <c r="AN69" s="1387"/>
      <c r="AO69" s="1387"/>
      <c r="AP69" s="1387"/>
      <c r="AQ69" s="1387"/>
      <c r="AR69" s="1588">
        <v>0</v>
      </c>
    </row>
    <row s="8300" customFormat="1" customHeight="1" ht="17.25" hidden="1">
      <c r="A70" s="442"/>
      <c r="C70" s="330"/>
      <c r="D70" s="2257"/>
      <c r="E70" s="2265"/>
      <c r="F70" s="2267"/>
      <c r="G70" s="2265"/>
      <c r="H70" s="2270"/>
      <c r="I70" s="2272"/>
      <c r="J70" s="2275"/>
      <c r="K70" s="2259"/>
      <c r="L70" s="2055"/>
      <c r="M70" s="2055"/>
      <c r="N70" s="2055"/>
      <c r="O70" s="2055"/>
      <c r="P70" s="2055"/>
      <c r="Q70" s="2055"/>
      <c r="R70" s="2055"/>
      <c r="S70" s="450"/>
      <c r="T70" s="450"/>
      <c r="U70" s="450"/>
      <c r="V70" s="450"/>
      <c r="W70" s="2056"/>
      <c r="Y70" s="1388"/>
      <c r="Z70" s="1388"/>
      <c r="AA70" s="1388"/>
      <c r="AB70" s="1388"/>
      <c r="AC70" s="1388"/>
      <c r="AD70" s="1388"/>
      <c r="AE70" s="1388"/>
      <c r="AF70" s="1388"/>
      <c r="AG70" s="1388"/>
      <c r="AH70" s="1388"/>
      <c r="AI70" s="1388"/>
      <c r="AJ70" s="1388"/>
      <c r="AK70" s="1388"/>
      <c r="AL70" s="1388"/>
      <c r="AM70" s="1388"/>
      <c r="AN70" s="1388"/>
      <c r="AO70" s="1388"/>
      <c r="AP70" s="1388"/>
      <c r="AQ70" s="1388"/>
      <c r="AR70" s="1588">
        <v>0</v>
      </c>
    </row>
    <row s="8300" customFormat="1" customHeight="1" ht="17.25" hidden="1">
      <c r="A71" s="442"/>
      <c r="C71" s="441"/>
      <c r="D71" s="2257"/>
      <c r="E71" s="2265"/>
      <c r="F71" s="2268"/>
      <c r="G71" s="2265"/>
      <c r="H71" s="1420"/>
      <c r="I71" s="2057"/>
      <c r="J71" s="2057"/>
      <c r="K71" s="2057"/>
      <c r="L71" s="2057"/>
      <c r="M71" s="2057"/>
      <c r="N71" s="2057"/>
      <c r="O71" s="2057"/>
      <c r="P71" s="2057"/>
      <c r="Q71" s="2057"/>
      <c r="R71" s="2057"/>
      <c r="S71" s="1422"/>
      <c r="T71" s="1422"/>
      <c r="U71" s="1422"/>
      <c r="V71" s="1422"/>
      <c r="W71" s="2058"/>
      <c r="X71" s="1387"/>
      <c r="Y71" s="1387"/>
      <c r="Z71" s="1387"/>
      <c r="AA71" s="1387"/>
      <c r="AB71" s="1387"/>
      <c r="AC71" s="1387"/>
      <c r="AD71" s="1387"/>
      <c r="AE71" s="1387"/>
      <c r="AF71" s="1387"/>
      <c r="AG71" s="1387"/>
      <c r="AH71" s="1387"/>
      <c r="AI71" s="1387"/>
      <c r="AJ71" s="1387"/>
      <c r="AK71" s="1387"/>
      <c r="AL71" s="1387"/>
      <c r="AM71" s="1387"/>
      <c r="AN71" s="1387"/>
      <c r="AO71" s="1387"/>
      <c r="AP71" s="1387"/>
      <c r="AQ71" s="1387"/>
      <c r="AR71" s="1588">
        <v>0</v>
      </c>
    </row>
    <row customHeight="1" ht="11.25">
      <c r="AR72" s="225">
        <v>0</v>
      </c>
    </row>
    <row customHeight="1" ht="11.25">
      <c r="E73" s="2295" t="s">
        <v>240</v>
      </c>
      <c r="F73" s="2295"/>
      <c r="G73" s="2295"/>
      <c r="H73" s="2295"/>
      <c r="I73" s="2295"/>
      <c r="J73" s="2295"/>
      <c r="K73" s="2295"/>
      <c r="L73" s="2295"/>
      <c r="M73" s="2295"/>
      <c r="N73" s="2295"/>
      <c r="O73" s="2295"/>
      <c r="P73" s="2295"/>
      <c r="Q73" s="2295"/>
      <c r="R73" s="2295"/>
      <c r="S73" s="2295"/>
      <c r="T73" s="2295"/>
      <c r="U73" s="2295"/>
      <c r="V73" s="2295"/>
      <c r="W73" s="2295"/>
      <c r="AR73" s="225">
        <v>0</v>
      </c>
    </row>
    <row customHeight="1" ht="36.75">
      <c r="E74" s="2293" t="s">
        <v>241</v>
      </c>
      <c r="F74" s="2293"/>
      <c r="G74" s="2294"/>
      <c r="H74" s="2294"/>
      <c r="I74" s="2294"/>
      <c r="J74" s="2294"/>
      <c r="K74" s="2294"/>
      <c r="L74" s="2294"/>
      <c r="M74" s="2294"/>
      <c r="N74" s="2294"/>
      <c r="O74" s="2294"/>
      <c r="P74" s="2294"/>
      <c r="Q74" s="2294"/>
      <c r="R74" s="2294"/>
      <c r="S74" s="2294"/>
      <c r="T74" s="2294"/>
      <c r="U74" s="2294"/>
      <c r="V74" s="2294"/>
      <c r="W74" s="2294"/>
      <c r="AR74" s="225">
        <v>0</v>
      </c>
    </row>
    <row customHeight="1" ht="28.5">
      <c r="E75" s="2293" t="s">
        <v>242</v>
      </c>
      <c r="F75" s="2293"/>
      <c r="G75" s="2294"/>
      <c r="H75" s="2294"/>
      <c r="I75" s="2294"/>
      <c r="J75" s="2294"/>
      <c r="K75" s="2294"/>
      <c r="L75" s="2294"/>
      <c r="M75" s="2294"/>
      <c r="N75" s="2294"/>
      <c r="O75" s="2294"/>
      <c r="P75" s="2294"/>
      <c r="Q75" s="2294"/>
      <c r="R75" s="2294"/>
      <c r="S75" s="2294"/>
      <c r="T75" s="2294"/>
      <c r="U75" s="2294"/>
      <c r="V75" s="2294"/>
      <c r="W75" s="2294"/>
      <c r="AR75" s="225">
        <v>0</v>
      </c>
    </row>
    <row customHeight="1" ht="27">
      <c r="E76" s="2293" t="s">
        <v>243</v>
      </c>
      <c r="F76" s="2293"/>
      <c r="G76" s="2294"/>
      <c r="H76" s="2294"/>
      <c r="I76" s="2294"/>
      <c r="J76" s="2294"/>
      <c r="K76" s="2294"/>
      <c r="L76" s="2294"/>
      <c r="M76" s="2294"/>
      <c r="N76" s="2294"/>
      <c r="O76" s="2294"/>
      <c r="P76" s="2294"/>
      <c r="Q76" s="2294"/>
      <c r="R76" s="2294"/>
      <c r="S76" s="2294"/>
      <c r="T76" s="2294"/>
      <c r="U76" s="2294"/>
      <c r="V76" s="2294"/>
      <c r="W76" s="2294"/>
      <c r="AR76" s="225">
        <v>0</v>
      </c>
    </row>
    <row customHeight="1" ht="17.25">
      <c r="E77" s="2293" t="s">
        <v>244</v>
      </c>
      <c r="F77" s="2293"/>
      <c r="G77" s="2294"/>
      <c r="H77" s="2294"/>
      <c r="I77" s="2294"/>
      <c r="J77" s="2294"/>
      <c r="K77" s="2294"/>
      <c r="L77" s="2294"/>
      <c r="M77" s="2294"/>
      <c r="N77" s="2294"/>
      <c r="O77" s="2294"/>
      <c r="P77" s="2294"/>
      <c r="Q77" s="2294"/>
      <c r="R77" s="2294"/>
      <c r="S77" s="2294"/>
      <c r="T77" s="2294"/>
      <c r="U77" s="2294"/>
      <c r="V77" s="2294"/>
      <c r="W77" s="2294"/>
      <c r="AR77" s="225">
        <v>0</v>
      </c>
    </row>
    <row customHeight="1" ht="15">
      <c r="E78" s="461"/>
      <c r="F78" s="1406"/>
      <c r="G78" s="278"/>
      <c r="H78" s="278"/>
      <c r="I78" s="278"/>
      <c r="J78" s="278"/>
      <c r="K78" s="278"/>
      <c r="L78" s="278"/>
      <c r="M78" s="278"/>
      <c r="N78" s="278"/>
      <c r="O78" s="278"/>
      <c r="P78" s="278"/>
      <c r="Q78" s="278"/>
      <c r="R78" s="278"/>
      <c r="S78" s="278"/>
      <c r="T78" s="278"/>
      <c r="U78" s="278"/>
      <c r="V78" s="278"/>
      <c r="W78" s="278"/>
      <c r="AR78" s="225">
        <v>0</v>
      </c>
    </row>
    <row customHeight="1" ht="15">
      <c r="E79" s="2295" t="s">
        <v>245</v>
      </c>
      <c r="F79" s="2295"/>
      <c r="G79" s="2295"/>
      <c r="H79" s="2295"/>
      <c r="I79" s="2295"/>
      <c r="J79" s="2295"/>
      <c r="K79" s="2295"/>
      <c r="L79" s="2295"/>
      <c r="M79" s="2295"/>
      <c r="N79" s="2295"/>
      <c r="O79" s="2295"/>
      <c r="P79" s="2295"/>
      <c r="Q79" s="2295"/>
      <c r="R79" s="2295"/>
      <c r="S79" s="2295"/>
      <c r="T79" s="2295"/>
      <c r="U79" s="2295"/>
      <c r="V79" s="2295"/>
      <c r="W79" s="2295"/>
      <c r="AR79" s="225">
        <v>0</v>
      </c>
    </row>
    <row customHeight="1" ht="17.25">
      <c r="E80" s="2293" t="s">
        <v>246</v>
      </c>
      <c r="F80" s="2293"/>
      <c r="G80" s="2294"/>
      <c r="H80" s="2294"/>
      <c r="I80" s="2294"/>
      <c r="J80" s="2294"/>
      <c r="K80" s="2294"/>
      <c r="L80" s="2294"/>
      <c r="M80" s="2294"/>
      <c r="N80" s="2294"/>
      <c r="O80" s="2294"/>
      <c r="P80" s="2294"/>
      <c r="Q80" s="2294"/>
      <c r="R80" s="2294"/>
      <c r="S80" s="2294"/>
      <c r="T80" s="2294"/>
      <c r="U80" s="2294"/>
      <c r="V80" s="2294"/>
      <c r="W80" s="2294"/>
      <c r="AR80" s="225">
        <v>0</v>
      </c>
    </row>
    <row customHeight="1" ht="17.25">
      <c r="E81" s="2293" t="s">
        <v>247</v>
      </c>
      <c r="F81" s="2293"/>
      <c r="G81" s="2294"/>
      <c r="H81" s="2294"/>
      <c r="I81" s="2294"/>
      <c r="J81" s="2294"/>
      <c r="K81" s="2294"/>
      <c r="L81" s="2294"/>
      <c r="M81" s="2294"/>
      <c r="N81" s="2294"/>
      <c r="O81" s="2294"/>
      <c r="P81" s="2294"/>
      <c r="Q81" s="2294"/>
      <c r="R81" s="2294"/>
      <c r="S81" s="2294"/>
      <c r="T81" s="2294"/>
      <c r="U81" s="2294"/>
      <c r="V81" s="2294"/>
      <c r="W81" s="2294"/>
      <c r="AR81" s="225">
        <v>0</v>
      </c>
    </row>
    <row s="8300" customFormat="1" customHeight="1" ht="11.25" hidden="1">
      <c r="A82" s="398"/>
      <c r="B82" s="398"/>
      <c r="Y82" s="1380"/>
      <c r="Z82" s="1380"/>
      <c r="AA82" s="1380"/>
      <c r="AB82" s="1380"/>
      <c r="AC82" s="1380"/>
      <c r="AD82" s="1380"/>
      <c r="AE82" s="1380"/>
      <c r="AF82" s="1380"/>
      <c r="AG82" s="1380"/>
      <c r="AH82" s="1380"/>
      <c r="AI82" s="1380"/>
      <c r="AJ82" s="1380"/>
      <c r="AK82" s="1380"/>
      <c r="AL82" s="1380"/>
      <c r="AM82" s="1380"/>
      <c r="AN82" s="1380"/>
      <c r="AO82" s="1380"/>
      <c r="AP82" s="1380"/>
      <c r="AQ82" s="1380"/>
      <c r="AR82" s="1471">
        <v>0</v>
      </c>
    </row>
    <row s="8300" customFormat="1" customHeight="1" ht="17.25" hidden="1">
      <c r="A83" s="442"/>
      <c r="C83" s="330"/>
      <c r="D83" s="2256">
        <v>1</v>
      </c>
      <c r="E83" s="2264" t="s">
        <v>248</v>
      </c>
      <c r="F83" s="2266" t="s">
        <v>19</v>
      </c>
      <c r="G83" s="2264"/>
      <c r="H83" s="2269"/>
      <c r="I83" s="2271"/>
      <c r="J83" s="2273"/>
      <c r="K83" s="2258"/>
      <c r="L83" s="2258"/>
      <c r="M83" s="2258"/>
      <c r="N83" s="2260"/>
      <c r="O83" s="2258"/>
      <c r="P83" s="2258"/>
      <c r="Q83" s="2258"/>
      <c r="R83" s="2263"/>
      <c r="S83" s="2258"/>
      <c r="T83" s="1591"/>
      <c r="U83" s="1591"/>
      <c r="V83" s="1593"/>
      <c r="W83" s="1417"/>
      <c r="Y83" s="1388"/>
      <c r="Z83" s="1388"/>
      <c r="AA83" s="1388"/>
      <c r="AB83" s="1388"/>
      <c r="AC83" s="1388" t="s">
        <v>249</v>
      </c>
      <c r="AD83" s="1388" t="s">
        <v>250</v>
      </c>
      <c r="AE83" s="1388" t="s">
        <v>251</v>
      </c>
      <c r="AF83" s="1388" t="s">
        <v>252</v>
      </c>
      <c r="AG83" s="1388"/>
      <c r="AH83" s="1388" t="str">
        <f>IF($E$83=0,"",$E$83)</f>
        <v>Тариф на питьевую воду (питьевое водоснабжение)</v>
      </c>
      <c r="AI83" s="1388" t="str">
        <f>IF($G$83=0,"",$G$83)</f>
        <v/>
      </c>
      <c r="AJ83" s="1388" t="str">
        <f>IF($J$83=0,"",$J$83)</f>
        <v/>
      </c>
      <c r="AK83" s="1388" t="str">
        <f>IF($K$83="нет","без дифференциации",IF($N$83=0,"",$N$83))</f>
        <v/>
      </c>
      <c r="AL83" s="1388" t="str">
        <f>IF($O$83="нет","без дифференциации",IF($R$83=0,"",$R$83))</f>
        <v/>
      </c>
      <c r="AM83" s="1388" t="str">
        <f>IF($S$83="нет","без дифференциации",IF($V$83=0,"",$V$83))</f>
        <v/>
      </c>
      <c r="AN83" s="1388">
        <f>$I$83</f>
        <v>0</v>
      </c>
      <c r="AO83" s="1388" t="str">
        <f>$I$83&amp;"."&amp;$M$83</f>
        <v>.</v>
      </c>
      <c r="AP83" s="1388" t="str">
        <f>$I$83&amp;"."&amp;$M$83&amp;"."&amp;$Q$83</f>
        <v>..</v>
      </c>
      <c r="AQ83" s="1388" t="str">
        <f>$I$83&amp;"."&amp;$M$83&amp;"."&amp;$Q$83&amp;"."&amp;$U$83</f>
        <v>...</v>
      </c>
      <c r="AR83" s="1471">
        <v>0</v>
      </c>
    </row>
    <row s="8300" customFormat="1" customHeight="1" ht="17.25" hidden="1">
      <c r="A84" s="442"/>
      <c r="C84" s="441"/>
      <c r="D84" s="2256"/>
      <c r="E84" s="2264"/>
      <c r="F84" s="2267"/>
      <c r="G84" s="2264"/>
      <c r="H84" s="2270"/>
      <c r="I84" s="2272"/>
      <c r="J84" s="2274"/>
      <c r="K84" s="2259"/>
      <c r="L84" s="2259"/>
      <c r="M84" s="2259"/>
      <c r="N84" s="2261"/>
      <c r="O84" s="2259"/>
      <c r="P84" s="2259"/>
      <c r="Q84" s="2259"/>
      <c r="R84" s="2262"/>
      <c r="S84" s="2259"/>
      <c r="T84" s="1418"/>
      <c r="U84" s="1418"/>
      <c r="V84" s="1418"/>
      <c r="W84" s="1419"/>
      <c r="Y84" s="1380"/>
      <c r="Z84" s="1380"/>
      <c r="AA84" s="1380"/>
      <c r="AB84" s="1380"/>
      <c r="AC84" s="1380"/>
      <c r="AD84" s="1380"/>
      <c r="AE84" s="1380"/>
      <c r="AF84" s="1380"/>
      <c r="AG84" s="1380"/>
      <c r="AH84" s="1380"/>
      <c r="AI84" s="1380"/>
      <c r="AJ84" s="1380"/>
      <c r="AK84" s="1380"/>
      <c r="AL84" s="1380"/>
      <c r="AM84" s="1380"/>
      <c r="AN84" s="1380"/>
      <c r="AO84" s="1380"/>
      <c r="AP84" s="1380"/>
      <c r="AQ84" s="1380"/>
      <c r="AR84" s="1471">
        <v>0</v>
      </c>
    </row>
    <row s="8300" customFormat="1" customHeight="1" ht="17.25" hidden="1">
      <c r="A85" s="442"/>
      <c r="C85" s="330"/>
      <c r="D85" s="2256"/>
      <c r="E85" s="2264"/>
      <c r="F85" s="2267"/>
      <c r="G85" s="2264"/>
      <c r="H85" s="2270"/>
      <c r="I85" s="2272"/>
      <c r="J85" s="2275"/>
      <c r="K85" s="2259"/>
      <c r="L85" s="2259"/>
      <c r="M85" s="2259"/>
      <c r="N85" s="2262"/>
      <c r="O85" s="2259"/>
      <c r="P85" s="1592"/>
      <c r="Q85" s="1418"/>
      <c r="R85" s="1418"/>
      <c r="S85" s="450"/>
      <c r="T85" s="450"/>
      <c r="U85" s="450"/>
      <c r="V85" s="450"/>
      <c r="W85" s="1419"/>
      <c r="Y85" s="1388"/>
      <c r="Z85" s="1388"/>
      <c r="AA85" s="1388"/>
      <c r="AB85" s="1388"/>
      <c r="AC85" s="1388"/>
      <c r="AD85" s="1388"/>
      <c r="AE85" s="1388"/>
      <c r="AF85" s="1388"/>
      <c r="AG85" s="1388"/>
      <c r="AH85" s="1388"/>
      <c r="AI85" s="1388"/>
      <c r="AJ85" s="1388"/>
      <c r="AK85" s="1388"/>
      <c r="AL85" s="1388"/>
      <c r="AM85" s="1388"/>
      <c r="AN85" s="1388"/>
      <c r="AO85" s="1388"/>
      <c r="AP85" s="1388"/>
      <c r="AQ85" s="1388"/>
      <c r="AR85" s="1562">
        <v>0</v>
      </c>
    </row>
    <row s="8300" customFormat="1" customHeight="1" ht="17.25" hidden="1">
      <c r="A86" s="442"/>
      <c r="C86" s="441"/>
      <c r="D86" s="2256"/>
      <c r="E86" s="2264"/>
      <c r="F86" s="2267"/>
      <c r="G86" s="2264"/>
      <c r="H86" s="2270"/>
      <c r="I86" s="2272"/>
      <c r="J86" s="2275"/>
      <c r="K86" s="2259"/>
      <c r="L86" s="1418"/>
      <c r="M86" s="1418"/>
      <c r="N86" s="1418"/>
      <c r="O86" s="1418"/>
      <c r="P86" s="1418"/>
      <c r="Q86" s="1418"/>
      <c r="R86" s="1418"/>
      <c r="S86" s="450"/>
      <c r="T86" s="450"/>
      <c r="U86" s="450"/>
      <c r="V86" s="450"/>
      <c r="W86" s="1419"/>
      <c r="Y86" s="1380"/>
      <c r="Z86" s="1380"/>
      <c r="AA86" s="1380"/>
      <c r="AB86" s="1380"/>
      <c r="AC86" s="1380"/>
      <c r="AD86" s="1380"/>
      <c r="AE86" s="1380"/>
      <c r="AF86" s="1380"/>
      <c r="AG86" s="1380"/>
      <c r="AH86" s="1380"/>
      <c r="AI86" s="1380"/>
      <c r="AJ86" s="1380"/>
      <c r="AK86" s="1380"/>
      <c r="AL86" s="1380"/>
      <c r="AM86" s="1380"/>
      <c r="AN86" s="1380"/>
      <c r="AO86" s="1380"/>
      <c r="AP86" s="1380"/>
      <c r="AQ86" s="1380"/>
      <c r="AR86" s="1562">
        <v>0</v>
      </c>
    </row>
    <row s="8300" customFormat="1" customHeight="1" ht="17.25" hidden="1">
      <c r="A87" s="442"/>
      <c r="C87" s="441"/>
      <c r="D87" s="2257"/>
      <c r="E87" s="2265"/>
      <c r="F87" s="2268"/>
      <c r="G87" s="2265"/>
      <c r="H87" s="1420"/>
      <c r="I87" s="1421"/>
      <c r="J87" s="1421"/>
      <c r="K87" s="1421"/>
      <c r="L87" s="1421"/>
      <c r="M87" s="1421"/>
      <c r="N87" s="1421"/>
      <c r="O87" s="1421"/>
      <c r="P87" s="1421"/>
      <c r="Q87" s="1421"/>
      <c r="R87" s="1421"/>
      <c r="S87" s="1422"/>
      <c r="T87" s="1422"/>
      <c r="U87" s="1422"/>
      <c r="V87" s="1422"/>
      <c r="W87" s="1423"/>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8300" customFormat="1" customHeight="1" ht="17.25" hidden="1">
      <c r="A88" s="442"/>
      <c r="C88" s="330"/>
      <c r="D88" s="2256">
        <v>2</v>
      </c>
      <c r="E88" s="2264" t="s">
        <v>253</v>
      </c>
      <c r="F88" s="2266" t="s">
        <v>19</v>
      </c>
      <c r="G88" s="2264"/>
      <c r="H88" s="2269"/>
      <c r="I88" s="2271"/>
      <c r="J88" s="2273"/>
      <c r="K88" s="2258"/>
      <c r="L88" s="2258"/>
      <c r="M88" s="2258"/>
      <c r="N88" s="2260"/>
      <c r="O88" s="2258"/>
      <c r="P88" s="2258"/>
      <c r="Q88" s="2258"/>
      <c r="R88" s="2263"/>
      <c r="S88" s="2258"/>
      <c r="T88" s="1564"/>
      <c r="U88" s="1564"/>
      <c r="V88" s="1566"/>
      <c r="W88" s="1417"/>
      <c r="X88" s="1388"/>
      <c r="Y88" s="1388"/>
      <c r="Z88" s="1388"/>
      <c r="AA88" s="1388"/>
      <c r="AB88" s="1388"/>
      <c r="AC88" s="1388" t="s">
        <v>254</v>
      </c>
      <c r="AD88" s="1388" t="s">
        <v>255</v>
      </c>
      <c r="AE88" s="1388" t="s">
        <v>256</v>
      </c>
      <c r="AF88" s="1388" t="s">
        <v>257</v>
      </c>
      <c r="AG88" s="1388"/>
      <c r="AH88" s="1388" t="str">
        <f>IF($E$88=0,"",$E$88)</f>
        <v>Тариф на техническую воду</v>
      </c>
      <c r="AI88" s="1388" t="str">
        <f>IF($G$88=0,"",$G$88)</f>
        <v/>
      </c>
      <c r="AJ88" s="1388" t="str">
        <f>IF($J$88=0,"",$J$88)</f>
        <v/>
      </c>
      <c r="AK88" s="1388" t="str">
        <f>IF($K$88="нет","без дифференциации",IF($N$88=0,"",$N$88))</f>
        <v/>
      </c>
      <c r="AL88" s="1388" t="str">
        <f>IF($O$88="нет","без дифференциации",IF($R$88=0,"",$R$88))</f>
        <v/>
      </c>
      <c r="AM88" s="1388" t="str">
        <f>IF($S$88="нет","без дифференциации",IF($V$88=0,"",$V$88))</f>
        <v/>
      </c>
      <c r="AN88" s="1893">
        <f>$I$88</f>
        <v>0</v>
      </c>
      <c r="AO88" s="1388" t="str">
        <f>$I$88&amp;"."&amp;$M$88</f>
        <v>.</v>
      </c>
      <c r="AP88" s="1380" t="str">
        <f>$I$88&amp;"."&amp;$M$88&amp;"."&amp;$Q$88</f>
        <v>..</v>
      </c>
      <c r="AQ88" s="1380" t="str">
        <f>$I$88&amp;"."&amp;$M$88&amp;"."&amp;$Q$88&amp;"."&amp;$U$88</f>
        <v>...</v>
      </c>
      <c r="AR88" s="1471">
        <v>0</v>
      </c>
    </row>
    <row s="8300" customFormat="1" customHeight="1" ht="17.25" hidden="1">
      <c r="A89" s="442"/>
      <c r="C89" s="441"/>
      <c r="D89" s="2256"/>
      <c r="E89" s="2264"/>
      <c r="F89" s="2267"/>
      <c r="G89" s="2264"/>
      <c r="H89" s="2270"/>
      <c r="I89" s="2272"/>
      <c r="J89" s="2274"/>
      <c r="K89" s="2259"/>
      <c r="L89" s="2259"/>
      <c r="M89" s="2259"/>
      <c r="N89" s="2261"/>
      <c r="O89" s="2259"/>
      <c r="P89" s="2259"/>
      <c r="Q89" s="2259"/>
      <c r="R89" s="2262"/>
      <c r="S89" s="2259"/>
      <c r="T89" s="1418"/>
      <c r="U89" s="1418"/>
      <c r="V89" s="1418"/>
      <c r="W89" s="1419"/>
      <c r="X89" s="1380"/>
      <c r="Y89" s="1380"/>
      <c r="Z89" s="1380"/>
      <c r="AA89" s="1380"/>
      <c r="AB89" s="1380"/>
      <c r="AC89" s="1380"/>
      <c r="AD89" s="1380"/>
      <c r="AE89" s="1380"/>
      <c r="AF89" s="1380"/>
      <c r="AG89" s="1380"/>
      <c r="AH89" s="1380"/>
      <c r="AI89" s="1380"/>
      <c r="AJ89" s="1380"/>
      <c r="AK89" s="1380"/>
      <c r="AL89" s="1380"/>
      <c r="AM89" s="1380"/>
      <c r="AN89" s="1380"/>
      <c r="AO89" s="1380"/>
      <c r="AP89" s="1380"/>
      <c r="AQ89" s="1380"/>
      <c r="AR89" s="1471">
        <v>0</v>
      </c>
    </row>
    <row s="8300" customFormat="1" customHeight="1" ht="17.25" hidden="1">
      <c r="A90" s="442"/>
      <c r="C90" s="441"/>
      <c r="D90" s="2257"/>
      <c r="E90" s="2265"/>
      <c r="F90" s="2267"/>
      <c r="G90" s="2265"/>
      <c r="H90" s="2270"/>
      <c r="I90" s="2272"/>
      <c r="J90" s="2275"/>
      <c r="K90" s="2259"/>
      <c r="L90" s="2259"/>
      <c r="M90" s="2259"/>
      <c r="N90" s="2262"/>
      <c r="O90" s="2259"/>
      <c r="P90" s="1565"/>
      <c r="Q90" s="1418"/>
      <c r="R90" s="1418"/>
      <c r="S90" s="450"/>
      <c r="T90" s="450"/>
      <c r="U90" s="450"/>
      <c r="V90" s="450"/>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8300" customFormat="1" customHeight="1" ht="17.25" hidden="1">
      <c r="A91" s="442"/>
      <c r="C91" s="441"/>
      <c r="D91" s="2257"/>
      <c r="E91" s="2265"/>
      <c r="F91" s="2267"/>
      <c r="G91" s="2265"/>
      <c r="H91" s="2270"/>
      <c r="I91" s="2272"/>
      <c r="J91" s="2275"/>
      <c r="K91" s="2259"/>
      <c r="L91" s="1418"/>
      <c r="M91" s="1418"/>
      <c r="N91" s="1418"/>
      <c r="O91" s="1418"/>
      <c r="P91" s="1418"/>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8300" customFormat="1" customHeight="1" ht="17.25" hidden="1">
      <c r="A92" s="442"/>
      <c r="C92" s="441"/>
      <c r="D92" s="2257"/>
      <c r="E92" s="2265"/>
      <c r="F92" s="2268"/>
      <c r="G92" s="2265"/>
      <c r="H92" s="1420"/>
      <c r="I92" s="1421"/>
      <c r="J92" s="1421"/>
      <c r="K92" s="1421"/>
      <c r="L92" s="1421"/>
      <c r="M92" s="1421"/>
      <c r="N92" s="1421"/>
      <c r="O92" s="1421"/>
      <c r="P92" s="1421"/>
      <c r="Q92" s="1421"/>
      <c r="R92" s="1421"/>
      <c r="S92" s="1422"/>
      <c r="T92" s="1422"/>
      <c r="U92" s="1422"/>
      <c r="V92" s="1422"/>
      <c r="W92" s="1423"/>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8300" customFormat="1" customHeight="1" ht="17.25" hidden="1">
      <c r="A93" s="442"/>
      <c r="C93" s="330"/>
      <c r="D93" s="2256">
        <v>3</v>
      </c>
      <c r="E93" s="2264" t="s">
        <v>258</v>
      </c>
      <c r="F93" s="2266" t="s">
        <v>19</v>
      </c>
      <c r="G93" s="2264"/>
      <c r="H93" s="2269"/>
      <c r="I93" s="2271"/>
      <c r="J93" s="2273"/>
      <c r="K93" s="2258"/>
      <c r="L93" s="2258"/>
      <c r="M93" s="2258"/>
      <c r="N93" s="2260"/>
      <c r="O93" s="2258"/>
      <c r="P93" s="2258"/>
      <c r="Q93" s="2258"/>
      <c r="R93" s="2263"/>
      <c r="S93" s="2258"/>
      <c r="T93" s="1564"/>
      <c r="U93" s="1564"/>
      <c r="V93" s="1566"/>
      <c r="W93" s="1417"/>
      <c r="X93" s="1388"/>
      <c r="Y93" s="1388"/>
      <c r="Z93" s="1388"/>
      <c r="AA93" s="1388"/>
      <c r="AB93" s="1388"/>
      <c r="AC93" s="1388" t="s">
        <v>259</v>
      </c>
      <c r="AD93" s="1388" t="s">
        <v>260</v>
      </c>
      <c r="AE93" s="1388" t="s">
        <v>261</v>
      </c>
      <c r="AF93" s="1388" t="s">
        <v>262</v>
      </c>
      <c r="AG93" s="1388"/>
      <c r="AH93" s="1388" t="str">
        <f>IF($E$93=0,"",$E$93)</f>
        <v>Тариф на транспортировку воды</v>
      </c>
      <c r="AI93" s="1388" t="str">
        <f>IF($G$93=0,"",$G$93)</f>
        <v/>
      </c>
      <c r="AJ93" s="1388" t="str">
        <f>IF($J$93=0,"",$J$93)</f>
        <v/>
      </c>
      <c r="AK93" s="1388" t="str">
        <f>IF($K$93="нет","без дифференциации",IF($N$93=0,"",$N$93))</f>
        <v/>
      </c>
      <c r="AL93" s="1388" t="str">
        <f>IF($O$93="нет","без дифференциации",IF($R$93=0,"",$R$93))</f>
        <v/>
      </c>
      <c r="AM93" s="1388" t="str">
        <f>IF($S$93="нет","без дифференциации",IF($V$93=0,"",$V$93))</f>
        <v/>
      </c>
      <c r="AN93" s="1893">
        <f>$I$93</f>
        <v>0</v>
      </c>
      <c r="AO93" s="1388" t="str">
        <f>$I$93&amp;"."&amp;$M$93</f>
        <v>.</v>
      </c>
      <c r="AP93" s="1380" t="str">
        <f>$I$93&amp;"."&amp;$M$93&amp;"."&amp;$Q$93</f>
        <v>..</v>
      </c>
      <c r="AQ93" s="1380" t="str">
        <f>$I$93&amp;"."&amp;$M$93&amp;"."&amp;$Q$93&amp;"."&amp;$U$93</f>
        <v>...</v>
      </c>
      <c r="AR93" s="1471">
        <v>0</v>
      </c>
    </row>
    <row s="8300" customFormat="1" customHeight="1" ht="17.25" hidden="1">
      <c r="A94" s="442"/>
      <c r="C94" s="441"/>
      <c r="D94" s="2256"/>
      <c r="E94" s="2264"/>
      <c r="F94" s="2267"/>
      <c r="G94" s="2264"/>
      <c r="H94" s="2270"/>
      <c r="I94" s="2272"/>
      <c r="J94" s="2274"/>
      <c r="K94" s="2259"/>
      <c r="L94" s="2259"/>
      <c r="M94" s="2259"/>
      <c r="N94" s="2261"/>
      <c r="O94" s="2259"/>
      <c r="P94" s="2259"/>
      <c r="Q94" s="2259"/>
      <c r="R94" s="2262"/>
      <c r="S94" s="2259"/>
      <c r="T94" s="1418"/>
      <c r="U94" s="1418"/>
      <c r="V94" s="1418"/>
      <c r="W94" s="1419"/>
      <c r="X94" s="1380"/>
      <c r="Y94" s="1380"/>
      <c r="Z94" s="1380"/>
      <c r="AA94" s="1380"/>
      <c r="AB94" s="1380"/>
      <c r="AC94" s="1380"/>
      <c r="AD94" s="1380"/>
      <c r="AE94" s="1380"/>
      <c r="AF94" s="1380"/>
      <c r="AG94" s="1380"/>
      <c r="AH94" s="1380"/>
      <c r="AI94" s="1380"/>
      <c r="AJ94" s="1380"/>
      <c r="AK94" s="1380"/>
      <c r="AL94" s="1380"/>
      <c r="AM94" s="1380"/>
      <c r="AN94" s="1380"/>
      <c r="AO94" s="1380"/>
      <c r="AP94" s="1380"/>
      <c r="AQ94" s="1380"/>
      <c r="AR94" s="1471">
        <v>0</v>
      </c>
    </row>
    <row s="8300" customFormat="1" customHeight="1" ht="17.25" hidden="1">
      <c r="A95" s="442"/>
      <c r="C95" s="441"/>
      <c r="D95" s="2257"/>
      <c r="E95" s="2265"/>
      <c r="F95" s="2267"/>
      <c r="G95" s="2265"/>
      <c r="H95" s="2270"/>
      <c r="I95" s="2272"/>
      <c r="J95" s="2275"/>
      <c r="K95" s="2259"/>
      <c r="L95" s="2259"/>
      <c r="M95" s="2259"/>
      <c r="N95" s="2262"/>
      <c r="O95" s="2259"/>
      <c r="P95" s="1565"/>
      <c r="Q95" s="1418"/>
      <c r="R95" s="1418"/>
      <c r="S95" s="450"/>
      <c r="T95" s="450"/>
      <c r="U95" s="450"/>
      <c r="V95" s="450"/>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8300" customFormat="1" customHeight="1" ht="17.25" hidden="1">
      <c r="A96" s="442"/>
      <c r="C96" s="441"/>
      <c r="D96" s="2257"/>
      <c r="E96" s="2265"/>
      <c r="F96" s="2267"/>
      <c r="G96" s="2265"/>
      <c r="H96" s="2270"/>
      <c r="I96" s="2272"/>
      <c r="J96" s="2275"/>
      <c r="K96" s="2259"/>
      <c r="L96" s="1418"/>
      <c r="M96" s="1418"/>
      <c r="N96" s="1418"/>
      <c r="O96" s="1418"/>
      <c r="P96" s="1418"/>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8300" customFormat="1" customHeight="1" ht="17.25" hidden="1">
      <c r="A97" s="442"/>
      <c r="C97" s="441"/>
      <c r="D97" s="2257"/>
      <c r="E97" s="2265"/>
      <c r="F97" s="2268"/>
      <c r="G97" s="2265"/>
      <c r="H97" s="1420"/>
      <c r="I97" s="1421"/>
      <c r="J97" s="1421"/>
      <c r="K97" s="1421"/>
      <c r="L97" s="1421"/>
      <c r="M97" s="1421"/>
      <c r="N97" s="1421"/>
      <c r="O97" s="1421"/>
      <c r="P97" s="1421"/>
      <c r="Q97" s="1421"/>
      <c r="R97" s="1421"/>
      <c r="S97" s="1422"/>
      <c r="T97" s="1422"/>
      <c r="U97" s="1422"/>
      <c r="V97" s="1422"/>
      <c r="W97" s="1423"/>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8300" customFormat="1" customHeight="1" ht="17.25" hidden="1">
      <c r="A98" s="442"/>
      <c r="C98" s="330"/>
      <c r="D98" s="2256">
        <v>4</v>
      </c>
      <c r="E98" s="2264" t="s">
        <v>263</v>
      </c>
      <c r="F98" s="2266" t="s">
        <v>19</v>
      </c>
      <c r="G98" s="2264"/>
      <c r="H98" s="2269"/>
      <c r="I98" s="2271"/>
      <c r="J98" s="2273"/>
      <c r="K98" s="2258"/>
      <c r="L98" s="2258"/>
      <c r="M98" s="2258"/>
      <c r="N98" s="2260"/>
      <c r="O98" s="2258"/>
      <c r="P98" s="2258"/>
      <c r="Q98" s="2258"/>
      <c r="R98" s="2263"/>
      <c r="S98" s="2258"/>
      <c r="T98" s="1564"/>
      <c r="U98" s="1564"/>
      <c r="V98" s="1566"/>
      <c r="W98" s="1417"/>
      <c r="X98" s="1388"/>
      <c r="Y98" s="1388"/>
      <c r="Z98" s="1388"/>
      <c r="AA98" s="1388"/>
      <c r="AB98" s="1388"/>
      <c r="AC98" s="1388" t="s">
        <v>264</v>
      </c>
      <c r="AD98" s="1388" t="s">
        <v>265</v>
      </c>
      <c r="AE98" s="1388" t="s">
        <v>266</v>
      </c>
      <c r="AF98" s="1388" t="s">
        <v>267</v>
      </c>
      <c r="AG98" s="1388"/>
      <c r="AH98" s="1388" t="str">
        <f>IF($E$98=0,"",$E$98)</f>
        <v>Тариф на подвоз воды</v>
      </c>
      <c r="AI98" s="1388" t="str">
        <f>IF($G$98=0,"",$G$98)</f>
        <v/>
      </c>
      <c r="AJ98" s="1388" t="str">
        <f>IF($J$98=0,"",$J$98)</f>
        <v/>
      </c>
      <c r="AK98" s="1388" t="str">
        <f>IF($K$98="нет","без дифференциации",IF($N$98=0,"",$N$98))</f>
        <v/>
      </c>
      <c r="AL98" s="1388" t="str">
        <f>IF($O$98="нет","без дифференциации",IF($R$98=0,"",$R$98))</f>
        <v/>
      </c>
      <c r="AM98" s="1388" t="str">
        <f>IF($S$98="нет","без дифференциации",IF($V$98=0,"",$V$98))</f>
        <v/>
      </c>
      <c r="AN98" s="1893">
        <f>$I$98</f>
        <v>0</v>
      </c>
      <c r="AO98" s="1388" t="str">
        <f>$I$98&amp;"."&amp;$M$98</f>
        <v>.</v>
      </c>
      <c r="AP98" s="1380" t="str">
        <f>$I$98&amp;"."&amp;$M$98&amp;"."&amp;$Q$98</f>
        <v>..</v>
      </c>
      <c r="AQ98" s="1380" t="str">
        <f>$I$98&amp;"."&amp;$M$98&amp;"."&amp;$Q$98&amp;"."&amp;$U$98</f>
        <v>...</v>
      </c>
      <c r="AR98" s="1471">
        <v>0</v>
      </c>
    </row>
    <row s="8300" customFormat="1" customHeight="1" ht="17.25" hidden="1">
      <c r="A99" s="442"/>
      <c r="C99" s="441"/>
      <c r="D99" s="2256"/>
      <c r="E99" s="2264"/>
      <c r="F99" s="2267"/>
      <c r="G99" s="2264"/>
      <c r="H99" s="2270"/>
      <c r="I99" s="2272"/>
      <c r="J99" s="2274"/>
      <c r="K99" s="2259"/>
      <c r="L99" s="2259"/>
      <c r="M99" s="2259"/>
      <c r="N99" s="2261"/>
      <c r="O99" s="2259"/>
      <c r="P99" s="2259"/>
      <c r="Q99" s="2259"/>
      <c r="R99" s="2262"/>
      <c r="S99" s="2259"/>
      <c r="T99" s="1418"/>
      <c r="U99" s="1418"/>
      <c r="V99" s="1418"/>
      <c r="W99" s="1419"/>
      <c r="X99" s="1380"/>
      <c r="Y99" s="1380"/>
      <c r="Z99" s="1380"/>
      <c r="AA99" s="1380"/>
      <c r="AB99" s="1380"/>
      <c r="AC99" s="1380"/>
      <c r="AD99" s="1380"/>
      <c r="AE99" s="1380"/>
      <c r="AF99" s="1380"/>
      <c r="AG99" s="1380"/>
      <c r="AH99" s="1380"/>
      <c r="AI99" s="1380"/>
      <c r="AJ99" s="1380"/>
      <c r="AK99" s="1380"/>
      <c r="AL99" s="1380"/>
      <c r="AM99" s="1380"/>
      <c r="AN99" s="1380"/>
      <c r="AO99" s="1380"/>
      <c r="AP99" s="1380"/>
      <c r="AQ99" s="1380"/>
      <c r="AR99" s="1471">
        <v>0</v>
      </c>
    </row>
    <row s="8300" customFormat="1" customHeight="1" ht="17.25" hidden="1">
      <c r="A100" s="442"/>
      <c r="C100" s="441"/>
      <c r="D100" s="2257"/>
      <c r="E100" s="2265"/>
      <c r="F100" s="2267"/>
      <c r="G100" s="2265"/>
      <c r="H100" s="2270"/>
      <c r="I100" s="2272"/>
      <c r="J100" s="2275"/>
      <c r="K100" s="2259"/>
      <c r="L100" s="2259"/>
      <c r="M100" s="2259"/>
      <c r="N100" s="2262"/>
      <c r="O100" s="2259"/>
      <c r="P100" s="1565"/>
      <c r="Q100" s="1418"/>
      <c r="R100" s="1418"/>
      <c r="S100" s="450"/>
      <c r="T100" s="450"/>
      <c r="U100" s="450"/>
      <c r="V100" s="450"/>
      <c r="W100" s="1419"/>
      <c r="X100" s="1380"/>
      <c r="Y100" s="1380"/>
      <c r="Z100" s="1380"/>
      <c r="AA100" s="1380"/>
      <c r="AB100" s="1380"/>
      <c r="AC100" s="1380"/>
      <c r="AD100" s="1380"/>
      <c r="AE100" s="1380"/>
      <c r="AF100" s="1380"/>
      <c r="AG100" s="1380"/>
      <c r="AH100" s="1380"/>
      <c r="AI100" s="1380"/>
      <c r="AJ100" s="1380"/>
      <c r="AK100" s="1380"/>
      <c r="AL100" s="1380"/>
      <c r="AM100" s="1380"/>
      <c r="AN100" s="1380"/>
      <c r="AO100" s="1380"/>
      <c r="AP100" s="1380"/>
      <c r="AQ100" s="1380"/>
      <c r="AR100" s="1471">
        <v>0</v>
      </c>
    </row>
    <row s="8300" customFormat="1" customHeight="1" ht="17.25" hidden="1">
      <c r="A101" s="442"/>
      <c r="C101" s="441"/>
      <c r="D101" s="2257"/>
      <c r="E101" s="2265"/>
      <c r="F101" s="2267"/>
      <c r="G101" s="2265"/>
      <c r="H101" s="2270"/>
      <c r="I101" s="2272"/>
      <c r="J101" s="2275"/>
      <c r="K101" s="2259"/>
      <c r="L101" s="1418"/>
      <c r="M101" s="1418"/>
      <c r="N101" s="1418"/>
      <c r="O101" s="1418"/>
      <c r="P101" s="1418"/>
      <c r="Q101" s="1418"/>
      <c r="R101" s="1418"/>
      <c r="S101" s="450"/>
      <c r="T101" s="450"/>
      <c r="U101" s="450"/>
      <c r="V101" s="450"/>
      <c r="W101" s="1419"/>
      <c r="X101" s="1380"/>
      <c r="Y101" s="1380"/>
      <c r="Z101" s="1380"/>
      <c r="AA101" s="1380"/>
      <c r="AB101" s="1380"/>
      <c r="AC101" s="1380"/>
      <c r="AD101" s="1380"/>
      <c r="AE101" s="1380"/>
      <c r="AF101" s="1380"/>
      <c r="AG101" s="1380"/>
      <c r="AH101" s="1380"/>
      <c r="AI101" s="1380"/>
      <c r="AJ101" s="1380"/>
      <c r="AK101" s="1380"/>
      <c r="AL101" s="1380"/>
      <c r="AM101" s="1380"/>
      <c r="AN101" s="1380"/>
      <c r="AO101" s="1380"/>
      <c r="AP101" s="1380"/>
      <c r="AQ101" s="1380"/>
      <c r="AR101" s="1471">
        <v>0</v>
      </c>
    </row>
    <row s="8300" customFormat="1" customHeight="1" ht="17.25" hidden="1">
      <c r="A102" s="442"/>
      <c r="C102" s="441"/>
      <c r="D102" s="2257"/>
      <c r="E102" s="2265"/>
      <c r="F102" s="2268"/>
      <c r="G102" s="2265"/>
      <c r="H102" s="1420"/>
      <c r="I102" s="1421"/>
      <c r="J102" s="1421"/>
      <c r="K102" s="1421"/>
      <c r="L102" s="1421"/>
      <c r="M102" s="1421"/>
      <c r="N102" s="1421"/>
      <c r="O102" s="1421"/>
      <c r="P102" s="1421"/>
      <c r="Q102" s="1421"/>
      <c r="R102" s="1421"/>
      <c r="S102" s="1422"/>
      <c r="T102" s="1422"/>
      <c r="U102" s="1422"/>
      <c r="V102" s="1422"/>
      <c r="W102" s="1423"/>
      <c r="X102" s="1380"/>
      <c r="Y102" s="1380"/>
      <c r="Z102" s="1380"/>
      <c r="AA102" s="1380"/>
      <c r="AB102" s="1380"/>
      <c r="AC102" s="1380"/>
      <c r="AD102" s="1380"/>
      <c r="AE102" s="1380"/>
      <c r="AF102" s="1380"/>
      <c r="AG102" s="1380"/>
      <c r="AH102" s="1380"/>
      <c r="AI102" s="1380"/>
      <c r="AJ102" s="1380"/>
      <c r="AK102" s="1380"/>
      <c r="AL102" s="1380"/>
      <c r="AM102" s="1380"/>
      <c r="AN102" s="1380"/>
      <c r="AO102" s="1380"/>
      <c r="AP102" s="1380"/>
      <c r="AQ102" s="1380"/>
      <c r="AR102" s="1471">
        <v>0</v>
      </c>
    </row>
    <row s="8300" customFormat="1" customHeight="1" ht="17.25" hidden="1">
      <c r="A103" s="442"/>
      <c r="C103" s="330"/>
      <c r="D103" s="2256">
        <v>5</v>
      </c>
      <c r="E103" s="2264" t="s">
        <v>268</v>
      </c>
      <c r="F103" s="2266" t="s">
        <v>19</v>
      </c>
      <c r="G103" s="2264"/>
      <c r="H103" s="2269"/>
      <c r="I103" s="2271"/>
      <c r="J103" s="2273"/>
      <c r="K103" s="2258"/>
      <c r="L103" s="2258"/>
      <c r="M103" s="2258"/>
      <c r="N103" s="2260"/>
      <c r="O103" s="2258"/>
      <c r="P103" s="2258"/>
      <c r="Q103" s="2258"/>
      <c r="R103" s="2263"/>
      <c r="S103" s="2258"/>
      <c r="T103" s="2064"/>
      <c r="U103" s="2064"/>
      <c r="V103" s="2066"/>
      <c r="W103" s="1417"/>
      <c r="X103" s="1388"/>
      <c r="Y103" s="1388"/>
      <c r="Z103" s="1388"/>
      <c r="AA103" s="1388"/>
      <c r="AB103" s="1388"/>
      <c r="AC103" s="1388" t="s">
        <v>269</v>
      </c>
      <c r="AD103" s="1388" t="s">
        <v>270</v>
      </c>
      <c r="AE103" s="1388" t="s">
        <v>271</v>
      </c>
      <c r="AF103" s="1388" t="s">
        <v>272</v>
      </c>
      <c r="AG103" s="1388"/>
      <c r="AH103" s="1388" t="str">
        <f>IF($E$103=0,"",$E$103)</f>
        <v>Тариф на подключение (технологическое присоединение) к централизованной системе холодного водоснабжения</v>
      </c>
      <c r="AI103" s="1388" t="str">
        <f>IF($G$103=0,"",$G$103)</f>
        <v/>
      </c>
      <c r="AJ103" s="1388" t="str">
        <f>IF($J$103=0,"",$J$103)</f>
        <v/>
      </c>
      <c r="AK103" s="1388" t="str">
        <f>IF($K$103="нет","без дифференциации",IF($N$103=0,"",$N$103))</f>
        <v/>
      </c>
      <c r="AL103" s="1388" t="str">
        <f>IF($O$103="нет","без дифференциации",IF($R$103=0,"",$R$103))</f>
        <v/>
      </c>
      <c r="AM103" s="1388" t="str">
        <f>IF($S$103="нет","без дифференциации",IF($V$103=0,"",$V$103))</f>
        <v/>
      </c>
      <c r="AN103" s="1893">
        <f>$I$103</f>
        <v>0</v>
      </c>
      <c r="AO103" s="1388" t="str">
        <f>$I$103&amp;"."&amp;$M$103</f>
        <v>.</v>
      </c>
      <c r="AP103" s="1387" t="str">
        <f>$I$103&amp;"."&amp;$M$103&amp;"."&amp;$Q$103</f>
        <v>..</v>
      </c>
      <c r="AQ103" s="1387" t="str">
        <f>$I$103&amp;"."&amp;$M$103&amp;"."&amp;$Q$103&amp;"."&amp;$U$103</f>
        <v>...</v>
      </c>
      <c r="AR103" s="1588">
        <v>0</v>
      </c>
    </row>
    <row s="8300" customFormat="1" customHeight="1" ht="17.25" hidden="1">
      <c r="A104" s="442"/>
      <c r="C104" s="441"/>
      <c r="D104" s="2256"/>
      <c r="E104" s="2264"/>
      <c r="F104" s="2267"/>
      <c r="G104" s="2264"/>
      <c r="H104" s="2270"/>
      <c r="I104" s="2272"/>
      <c r="J104" s="2274"/>
      <c r="K104" s="2259"/>
      <c r="L104" s="2259"/>
      <c r="M104" s="2259"/>
      <c r="N104" s="2261"/>
      <c r="O104" s="2259"/>
      <c r="P104" s="2259"/>
      <c r="Q104" s="2259"/>
      <c r="R104" s="2262"/>
      <c r="S104" s="2259"/>
      <c r="T104" s="2069"/>
      <c r="U104" s="2069"/>
      <c r="V104" s="2069"/>
      <c r="W104" s="2070"/>
      <c r="X104" s="1387"/>
      <c r="Y104" s="1387"/>
      <c r="Z104" s="1387"/>
      <c r="AA104" s="1387"/>
      <c r="AB104" s="1387"/>
      <c r="AC104" s="1387"/>
      <c r="AD104" s="1387"/>
      <c r="AE104" s="1387"/>
      <c r="AF104" s="1387"/>
      <c r="AG104" s="1387"/>
      <c r="AH104" s="1387"/>
      <c r="AI104" s="1387"/>
      <c r="AJ104" s="1387"/>
      <c r="AK104" s="1387"/>
      <c r="AL104" s="1387"/>
      <c r="AM104" s="1387"/>
      <c r="AN104" s="1387"/>
      <c r="AO104" s="1387"/>
      <c r="AP104" s="1387"/>
      <c r="AQ104" s="1387"/>
      <c r="AR104" s="1588">
        <v>0</v>
      </c>
    </row>
    <row s="8300" customFormat="1" customHeight="1" ht="17.25" hidden="1">
      <c r="A105" s="442"/>
      <c r="C105" s="441"/>
      <c r="D105" s="2257"/>
      <c r="E105" s="2265"/>
      <c r="F105" s="2267"/>
      <c r="G105" s="2265"/>
      <c r="H105" s="2270"/>
      <c r="I105" s="2272"/>
      <c r="J105" s="2275"/>
      <c r="K105" s="2259"/>
      <c r="L105" s="2259"/>
      <c r="M105" s="2259"/>
      <c r="N105" s="2262"/>
      <c r="O105" s="2259"/>
      <c r="P105" s="2065"/>
      <c r="Q105" s="2069"/>
      <c r="R105" s="2069"/>
      <c r="S105" s="450"/>
      <c r="T105" s="450"/>
      <c r="U105" s="450"/>
      <c r="V105" s="450"/>
      <c r="W105" s="2070"/>
      <c r="X105" s="1387"/>
      <c r="Y105" s="1387"/>
      <c r="Z105" s="1387"/>
      <c r="AA105" s="1387"/>
      <c r="AB105" s="1387"/>
      <c r="AC105" s="1387"/>
      <c r="AD105" s="1387"/>
      <c r="AE105" s="1387"/>
      <c r="AF105" s="1387"/>
      <c r="AG105" s="1387"/>
      <c r="AH105" s="1387"/>
      <c r="AI105" s="1387"/>
      <c r="AJ105" s="1387"/>
      <c r="AK105" s="1387"/>
      <c r="AL105" s="1387"/>
      <c r="AM105" s="1387"/>
      <c r="AN105" s="1387"/>
      <c r="AO105" s="1387"/>
      <c r="AP105" s="1387"/>
      <c r="AQ105" s="1387"/>
      <c r="AR105" s="1588">
        <v>0</v>
      </c>
    </row>
    <row s="8300" customFormat="1" customHeight="1" ht="17.25" hidden="1">
      <c r="A106" s="442"/>
      <c r="C106" s="441"/>
      <c r="D106" s="2257"/>
      <c r="E106" s="2265"/>
      <c r="F106" s="2267"/>
      <c r="G106" s="2265"/>
      <c r="H106" s="2270"/>
      <c r="I106" s="2272"/>
      <c r="J106" s="2275"/>
      <c r="K106" s="2259"/>
      <c r="L106" s="2069"/>
      <c r="M106" s="2069"/>
      <c r="N106" s="2069"/>
      <c r="O106" s="2069"/>
      <c r="P106" s="2069"/>
      <c r="Q106" s="2069"/>
      <c r="R106" s="2069"/>
      <c r="S106" s="450"/>
      <c r="T106" s="450"/>
      <c r="U106" s="450"/>
      <c r="V106" s="450"/>
      <c r="W106" s="2070"/>
      <c r="X106" s="1387"/>
      <c r="Y106" s="1387"/>
      <c r="Z106" s="1387"/>
      <c r="AA106" s="1387"/>
      <c r="AB106" s="1387"/>
      <c r="AC106" s="1387"/>
      <c r="AD106" s="1387"/>
      <c r="AE106" s="1387"/>
      <c r="AF106" s="1387"/>
      <c r="AG106" s="1387"/>
      <c r="AH106" s="1387"/>
      <c r="AI106" s="1387"/>
      <c r="AJ106" s="1387"/>
      <c r="AK106" s="1387"/>
      <c r="AL106" s="1387"/>
      <c r="AM106" s="1387"/>
      <c r="AN106" s="1387"/>
      <c r="AO106" s="1387"/>
      <c r="AP106" s="1387"/>
      <c r="AQ106" s="1387"/>
      <c r="AR106" s="1588">
        <v>0</v>
      </c>
    </row>
    <row s="8300" customFormat="1" customHeight="1" ht="17.25" hidden="1">
      <c r="A107" s="442"/>
      <c r="C107" s="441"/>
      <c r="D107" s="2257"/>
      <c r="E107" s="2265"/>
      <c r="F107" s="2268"/>
      <c r="G107" s="2265"/>
      <c r="H107" s="1420"/>
      <c r="I107" s="2067"/>
      <c r="J107" s="2067"/>
      <c r="K107" s="2067"/>
      <c r="L107" s="2067"/>
      <c r="M107" s="2067"/>
      <c r="N107" s="2067"/>
      <c r="O107" s="2067"/>
      <c r="P107" s="2067"/>
      <c r="Q107" s="2067"/>
      <c r="R107" s="2067"/>
      <c r="S107" s="1422"/>
      <c r="T107" s="1422"/>
      <c r="U107" s="1422"/>
      <c r="V107" s="1422"/>
      <c r="W107" s="2068"/>
      <c r="X107" s="1387"/>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8">
        <v>0</v>
      </c>
    </row>
    <row s="8300" customFormat="1" customHeight="1" ht="11.25" hidden="1">
      <c r="A108" s="398"/>
      <c r="B108" s="398"/>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8300" customFormat="1" customHeight="1" ht="17.25" hidden="1">
      <c r="A109" s="442"/>
      <c r="C109" s="330"/>
      <c r="D109" s="2256">
        <v>1</v>
      </c>
      <c r="E109" s="2264" t="s">
        <v>273</v>
      </c>
      <c r="F109" s="2266" t="s">
        <v>19</v>
      </c>
      <c r="G109" s="2264"/>
      <c r="H109" s="2269"/>
      <c r="I109" s="2271"/>
      <c r="J109" s="2273"/>
      <c r="K109" s="2258"/>
      <c r="L109" s="2258"/>
      <c r="M109" s="2258"/>
      <c r="N109" s="2260"/>
      <c r="O109" s="2258"/>
      <c r="P109" s="2258"/>
      <c r="Q109" s="2258"/>
      <c r="R109" s="2263"/>
      <c r="S109" s="2258"/>
      <c r="T109" s="1591"/>
      <c r="U109" s="1591"/>
      <c r="V109" s="1593"/>
      <c r="W109" s="1417"/>
      <c r="Y109" s="1388"/>
      <c r="Z109" s="1388"/>
      <c r="AA109" s="1388"/>
      <c r="AB109" s="1388"/>
      <c r="AC109" s="1388" t="s">
        <v>274</v>
      </c>
      <c r="AD109" s="1388" t="s">
        <v>275</v>
      </c>
      <c r="AE109" s="1388" t="s">
        <v>276</v>
      </c>
      <c r="AF109" s="1388" t="s">
        <v>277</v>
      </c>
      <c r="AG109" s="1388"/>
      <c r="AH109" s="1388" t="str">
        <f>IF($E$109=0,"",$E$109)</f>
        <v>Тариф на горячую воду (горячее водоснабжение)</v>
      </c>
      <c r="AI109" s="1388" t="str">
        <f>IF($G$109=0,"",$G$109)</f>
        <v/>
      </c>
      <c r="AJ109" s="1388" t="str">
        <f>IF($J$109=0,"",$J$109)</f>
        <v/>
      </c>
      <c r="AK109" s="1388" t="str">
        <f>IF($K$109="нет","без дифференциации",IF($N$109=0,"",$N$109))</f>
        <v/>
      </c>
      <c r="AL109" s="1388" t="str">
        <f>IF($O$109="нет","без дифференциации",IF($R$109=0,"",$R$109))</f>
        <v/>
      </c>
      <c r="AM109" s="1388" t="str">
        <f>IF($S$109="нет","без дифференциации",IF($V$109=0,"",$V$109))</f>
        <v/>
      </c>
      <c r="AN109" s="1388">
        <f>$I$109</f>
        <v>0</v>
      </c>
      <c r="AO109" s="1388" t="str">
        <f>$I$109&amp;"."&amp;$M$109</f>
        <v>.</v>
      </c>
      <c r="AP109" s="1388" t="str">
        <f>$I$109&amp;"."&amp;$M$109&amp;"."&amp;$Q$109</f>
        <v>..</v>
      </c>
      <c r="AQ109" s="1388" t="str">
        <f>$I$109&amp;"."&amp;$M$109&amp;"."&amp;$Q$109&amp;"."&amp;$U$109</f>
        <v>...</v>
      </c>
      <c r="AR109" s="1588">
        <v>0</v>
      </c>
    </row>
    <row s="8300" customFormat="1" customHeight="1" ht="17.25" hidden="1">
      <c r="A110" s="442"/>
      <c r="C110" s="441"/>
      <c r="D110" s="2256"/>
      <c r="E110" s="2264"/>
      <c r="F110" s="2267"/>
      <c r="G110" s="2264"/>
      <c r="H110" s="2270"/>
      <c r="I110" s="2272"/>
      <c r="J110" s="2274"/>
      <c r="K110" s="2259"/>
      <c r="L110" s="2259"/>
      <c r="M110" s="2259"/>
      <c r="N110" s="2261"/>
      <c r="O110" s="2259"/>
      <c r="P110" s="2259"/>
      <c r="Q110" s="2259"/>
      <c r="R110" s="2262"/>
      <c r="S110" s="2259"/>
      <c r="T110" s="1418"/>
      <c r="U110" s="1418"/>
      <c r="V110" s="1418"/>
      <c r="W110" s="1419"/>
      <c r="Y110" s="1380"/>
      <c r="Z110" s="1380"/>
      <c r="AA110" s="1380"/>
      <c r="AB110" s="1380"/>
      <c r="AC110" s="1380"/>
      <c r="AD110" s="1380"/>
      <c r="AE110" s="1380"/>
      <c r="AF110" s="1380"/>
      <c r="AG110" s="1380"/>
      <c r="AH110" s="1380"/>
      <c r="AI110" s="1380"/>
      <c r="AJ110" s="1380"/>
      <c r="AK110" s="1380"/>
      <c r="AL110" s="1380"/>
      <c r="AM110" s="1380"/>
      <c r="AN110" s="1380"/>
      <c r="AO110" s="1380"/>
      <c r="AP110" s="1380"/>
      <c r="AQ110" s="1380"/>
      <c r="AR110" s="1588">
        <v>0</v>
      </c>
    </row>
    <row s="8300" customFormat="1" customHeight="1" ht="17.25" hidden="1">
      <c r="A111" s="442"/>
      <c r="C111" s="330"/>
      <c r="D111" s="2256"/>
      <c r="E111" s="2264"/>
      <c r="F111" s="2267"/>
      <c r="G111" s="2264"/>
      <c r="H111" s="2270"/>
      <c r="I111" s="2272"/>
      <c r="J111" s="2275"/>
      <c r="K111" s="2259"/>
      <c r="L111" s="2259"/>
      <c r="M111" s="2259"/>
      <c r="N111" s="2262"/>
      <c r="O111" s="2259"/>
      <c r="P111" s="1592"/>
      <c r="Q111" s="1418"/>
      <c r="R111" s="1418"/>
      <c r="S111" s="450"/>
      <c r="T111" s="450"/>
      <c r="U111" s="450"/>
      <c r="V111" s="450"/>
      <c r="W111" s="1419"/>
      <c r="Y111" s="1388"/>
      <c r="Z111" s="1388"/>
      <c r="AA111" s="1388"/>
      <c r="AB111" s="1388"/>
      <c r="AC111" s="1388"/>
      <c r="AD111" s="1388"/>
      <c r="AE111" s="1388"/>
      <c r="AF111" s="1388"/>
      <c r="AG111" s="1388"/>
      <c r="AH111" s="1388"/>
      <c r="AI111" s="1388"/>
      <c r="AJ111" s="1388"/>
      <c r="AK111" s="1388"/>
      <c r="AL111" s="1388"/>
      <c r="AM111" s="1388"/>
      <c r="AN111" s="1388"/>
      <c r="AO111" s="1388"/>
      <c r="AP111" s="1388"/>
      <c r="AQ111" s="1388"/>
      <c r="AR111" s="1588">
        <v>0</v>
      </c>
    </row>
    <row s="8300" customFormat="1" customHeight="1" ht="17.25" hidden="1">
      <c r="A112" s="442"/>
      <c r="C112" s="441"/>
      <c r="D112" s="2256"/>
      <c r="E112" s="2264"/>
      <c r="F112" s="2267"/>
      <c r="G112" s="2264"/>
      <c r="H112" s="2270"/>
      <c r="I112" s="2272"/>
      <c r="J112" s="2275"/>
      <c r="K112" s="2259"/>
      <c r="L112" s="1418"/>
      <c r="M112" s="1418"/>
      <c r="N112" s="1418"/>
      <c r="O112" s="1418"/>
      <c r="P112" s="1418"/>
      <c r="Q112" s="1418"/>
      <c r="R112" s="1418"/>
      <c r="S112" s="450"/>
      <c r="T112" s="450"/>
      <c r="U112" s="450"/>
      <c r="V112" s="450"/>
      <c r="W112" s="1419"/>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8300" customFormat="1" customHeight="1" ht="17.25" hidden="1">
      <c r="A113" s="442"/>
      <c r="C113" s="441"/>
      <c r="D113" s="2257"/>
      <c r="E113" s="2265"/>
      <c r="F113" s="2268"/>
      <c r="G113" s="2265"/>
      <c r="H113" s="1420"/>
      <c r="I113" s="1421"/>
      <c r="J113" s="1421"/>
      <c r="K113" s="1421"/>
      <c r="L113" s="1421"/>
      <c r="M113" s="1421"/>
      <c r="N113" s="1421"/>
      <c r="O113" s="1421"/>
      <c r="P113" s="1421"/>
      <c r="Q113" s="1421"/>
      <c r="R113" s="1421"/>
      <c r="S113" s="1422"/>
      <c r="T113" s="1422"/>
      <c r="U113" s="1422"/>
      <c r="V113" s="1422"/>
      <c r="W113" s="1423"/>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8300" customFormat="1" customHeight="1" ht="17.25" hidden="1">
      <c r="A114" s="442"/>
      <c r="C114" s="330"/>
      <c r="D114" s="2256">
        <v>2</v>
      </c>
      <c r="E114" s="2264" t="s">
        <v>278</v>
      </c>
      <c r="F114" s="2266" t="s">
        <v>19</v>
      </c>
      <c r="G114" s="2264"/>
      <c r="H114" s="2269"/>
      <c r="I114" s="2271"/>
      <c r="J114" s="2273"/>
      <c r="K114" s="2258"/>
      <c r="L114" s="2258"/>
      <c r="M114" s="2258"/>
      <c r="N114" s="2260"/>
      <c r="O114" s="2258"/>
      <c r="P114" s="2258"/>
      <c r="Q114" s="2258"/>
      <c r="R114" s="2263"/>
      <c r="S114" s="2258"/>
      <c r="T114" s="1591"/>
      <c r="U114" s="1591"/>
      <c r="V114" s="1593"/>
      <c r="W114" s="1417"/>
      <c r="X114" s="1388"/>
      <c r="Y114" s="1388"/>
      <c r="Z114" s="1388"/>
      <c r="AA114" s="1388"/>
      <c r="AB114" s="1388"/>
      <c r="AC114" s="1388" t="s">
        <v>279</v>
      </c>
      <c r="AD114" s="1388" t="s">
        <v>280</v>
      </c>
      <c r="AE114" s="1388" t="s">
        <v>281</v>
      </c>
      <c r="AF114" s="1388" t="s">
        <v>282</v>
      </c>
      <c r="AG114" s="1388"/>
      <c r="AH114" s="1388" t="str">
        <f>IF($E$114=0,"",$E$114)</f>
        <v>Тариф на транспортировку горячей воды</v>
      </c>
      <c r="AI114" s="1388" t="str">
        <f>IF($G$114=0,"",$G$114)</f>
        <v/>
      </c>
      <c r="AJ114" s="1388" t="str">
        <f>IF($J$114=0,"",$J$114)</f>
        <v/>
      </c>
      <c r="AK114" s="1388" t="str">
        <f>IF($K$114="нет","без дифференциации",IF($N$114=0,"",$N$114))</f>
        <v/>
      </c>
      <c r="AL114" s="1388" t="str">
        <f>IF($O$114="нет","без дифференциации",IF($R$114=0,"",$R$114))</f>
        <v/>
      </c>
      <c r="AM114" s="1388" t="str">
        <f>IF($S$114="нет","без дифференциации",IF($V$114=0,"",$V$114))</f>
        <v/>
      </c>
      <c r="AN114" s="1893">
        <f>$I$114</f>
        <v>0</v>
      </c>
      <c r="AO114" s="1388" t="str">
        <f>$I$114&amp;"."&amp;$M$114</f>
        <v>.</v>
      </c>
      <c r="AP114" s="1380" t="str">
        <f>$I$114&amp;"."&amp;$M$114&amp;"."&amp;$Q$114</f>
        <v>..</v>
      </c>
      <c r="AQ114" s="1380" t="str">
        <f>$I$114&amp;"."&amp;$M$114&amp;"."&amp;$Q$114&amp;"."&amp;$U$114</f>
        <v>...</v>
      </c>
      <c r="AR114" s="1588">
        <v>0</v>
      </c>
    </row>
    <row s="8300" customFormat="1" customHeight="1" ht="17.25" hidden="1">
      <c r="A115" s="442"/>
      <c r="C115" s="441"/>
      <c r="D115" s="2256"/>
      <c r="E115" s="2264"/>
      <c r="F115" s="2267"/>
      <c r="G115" s="2264"/>
      <c r="H115" s="2270"/>
      <c r="I115" s="2272"/>
      <c r="J115" s="2274"/>
      <c r="K115" s="2259"/>
      <c r="L115" s="2259"/>
      <c r="M115" s="2259"/>
      <c r="N115" s="2261"/>
      <c r="O115" s="2259"/>
      <c r="P115" s="2259"/>
      <c r="Q115" s="2259"/>
      <c r="R115" s="2262"/>
      <c r="S115" s="2259"/>
      <c r="T115" s="1418"/>
      <c r="U115" s="1418"/>
      <c r="V115" s="1418"/>
      <c r="W115" s="1419"/>
      <c r="X115" s="1380"/>
      <c r="Y115" s="1380"/>
      <c r="Z115" s="1380"/>
      <c r="AA115" s="1380"/>
      <c r="AB115" s="1380"/>
      <c r="AC115" s="1380"/>
      <c r="AD115" s="1380"/>
      <c r="AE115" s="1380"/>
      <c r="AF115" s="1380"/>
      <c r="AG115" s="1380"/>
      <c r="AH115" s="1380"/>
      <c r="AI115" s="1380"/>
      <c r="AJ115" s="1380"/>
      <c r="AK115" s="1380"/>
      <c r="AL115" s="1380"/>
      <c r="AM115" s="1380"/>
      <c r="AN115" s="1380"/>
      <c r="AO115" s="1380"/>
      <c r="AP115" s="1380"/>
      <c r="AQ115" s="1380"/>
      <c r="AR115" s="1588">
        <v>0</v>
      </c>
    </row>
    <row s="8300" customFormat="1" customHeight="1" ht="17.25" hidden="1">
      <c r="A116" s="442"/>
      <c r="C116" s="441"/>
      <c r="D116" s="2257"/>
      <c r="E116" s="2265"/>
      <c r="F116" s="2267"/>
      <c r="G116" s="2265"/>
      <c r="H116" s="2270"/>
      <c r="I116" s="2272"/>
      <c r="J116" s="2275"/>
      <c r="K116" s="2259"/>
      <c r="L116" s="2259"/>
      <c r="M116" s="2259"/>
      <c r="N116" s="2262"/>
      <c r="O116" s="2259"/>
      <c r="P116" s="1592"/>
      <c r="Q116" s="1418"/>
      <c r="R116" s="1418"/>
      <c r="S116" s="450"/>
      <c r="T116" s="450"/>
      <c r="U116" s="450"/>
      <c r="V116" s="450"/>
      <c r="W116" s="1419"/>
      <c r="X116" s="1380"/>
      <c r="Y116" s="1380"/>
      <c r="Z116" s="1380"/>
      <c r="AA116" s="1380"/>
      <c r="AB116" s="1380"/>
      <c r="AC116" s="1380"/>
      <c r="AD116" s="1380"/>
      <c r="AE116" s="1380"/>
      <c r="AF116" s="1380"/>
      <c r="AG116" s="1380"/>
      <c r="AH116" s="1380"/>
      <c r="AI116" s="1380"/>
      <c r="AJ116" s="1380"/>
      <c r="AK116" s="1380"/>
      <c r="AL116" s="1380"/>
      <c r="AM116" s="1380"/>
      <c r="AN116" s="1380"/>
      <c r="AO116" s="1380"/>
      <c r="AP116" s="1380"/>
      <c r="AQ116" s="1380"/>
      <c r="AR116" s="1588">
        <v>0</v>
      </c>
    </row>
    <row s="8300" customFormat="1" customHeight="1" ht="17.25" hidden="1">
      <c r="A117" s="442"/>
      <c r="C117" s="441"/>
      <c r="D117" s="2257"/>
      <c r="E117" s="2265"/>
      <c r="F117" s="2267"/>
      <c r="G117" s="2265"/>
      <c r="H117" s="2270"/>
      <c r="I117" s="2272"/>
      <c r="J117" s="2275"/>
      <c r="K117" s="2259"/>
      <c r="L117" s="1418"/>
      <c r="M117" s="1418"/>
      <c r="N117" s="1418"/>
      <c r="O117" s="1418"/>
      <c r="P117" s="1418"/>
      <c r="Q117" s="1418"/>
      <c r="R117" s="1418"/>
      <c r="S117" s="450"/>
      <c r="T117" s="450"/>
      <c r="U117" s="450"/>
      <c r="V117" s="450"/>
      <c r="W117" s="1419"/>
      <c r="X117" s="1380"/>
      <c r="Y117" s="1380"/>
      <c r="Z117" s="1380"/>
      <c r="AA117" s="1380"/>
      <c r="AB117" s="1380"/>
      <c r="AC117" s="1380"/>
      <c r="AD117" s="1380"/>
      <c r="AE117" s="1380"/>
      <c r="AF117" s="1380"/>
      <c r="AG117" s="1380"/>
      <c r="AH117" s="1380"/>
      <c r="AI117" s="1380"/>
      <c r="AJ117" s="1380"/>
      <c r="AK117" s="1380"/>
      <c r="AL117" s="1380"/>
      <c r="AM117" s="1380"/>
      <c r="AN117" s="1380"/>
      <c r="AO117" s="1380"/>
      <c r="AP117" s="1380"/>
      <c r="AQ117" s="1380"/>
      <c r="AR117" s="1588">
        <v>0</v>
      </c>
    </row>
    <row s="8300" customFormat="1" customHeight="1" ht="17.25" hidden="1">
      <c r="A118" s="442"/>
      <c r="C118" s="441"/>
      <c r="D118" s="2257"/>
      <c r="E118" s="2265"/>
      <c r="F118" s="2268"/>
      <c r="G118" s="2265"/>
      <c r="H118" s="1420"/>
      <c r="I118" s="1421"/>
      <c r="J118" s="1421"/>
      <c r="K118" s="1421"/>
      <c r="L118" s="1421"/>
      <c r="M118" s="1421"/>
      <c r="N118" s="1421"/>
      <c r="O118" s="1421"/>
      <c r="P118" s="1421"/>
      <c r="Q118" s="1421"/>
      <c r="R118" s="1421"/>
      <c r="S118" s="1422"/>
      <c r="T118" s="1422"/>
      <c r="U118" s="1422"/>
      <c r="V118" s="1422"/>
      <c r="W118" s="1423"/>
      <c r="X118" s="1380"/>
      <c r="Y118" s="1380"/>
      <c r="Z118" s="1380"/>
      <c r="AA118" s="1380"/>
      <c r="AB118" s="1380"/>
      <c r="AC118" s="1380"/>
      <c r="AD118" s="1380"/>
      <c r="AE118" s="1380"/>
      <c r="AF118" s="1380"/>
      <c r="AG118" s="1380"/>
      <c r="AH118" s="1380"/>
      <c r="AI118" s="1380"/>
      <c r="AJ118" s="1380"/>
      <c r="AK118" s="1380"/>
      <c r="AL118" s="1380"/>
      <c r="AM118" s="1380"/>
      <c r="AN118" s="1380"/>
      <c r="AO118" s="1380"/>
      <c r="AP118" s="1380"/>
      <c r="AQ118" s="1380"/>
      <c r="AR118" s="1588">
        <v>0</v>
      </c>
    </row>
    <row s="8300" customFormat="1" customHeight="1" ht="17.25" hidden="1">
      <c r="A119" s="442"/>
      <c r="C119" s="330"/>
      <c r="D119" s="2256">
        <v>3</v>
      </c>
      <c r="E119" s="2264" t="s">
        <v>283</v>
      </c>
      <c r="F119" s="2266" t="s">
        <v>19</v>
      </c>
      <c r="G119" s="2264"/>
      <c r="H119" s="2269"/>
      <c r="I119" s="2271"/>
      <c r="J119" s="2273"/>
      <c r="K119" s="2258"/>
      <c r="L119" s="2258"/>
      <c r="M119" s="2258"/>
      <c r="N119" s="2260"/>
      <c r="O119" s="2258"/>
      <c r="P119" s="2258"/>
      <c r="Q119" s="2258"/>
      <c r="R119" s="2263"/>
      <c r="S119" s="2258"/>
      <c r="T119" s="2064"/>
      <c r="U119" s="2064"/>
      <c r="V119" s="2066"/>
      <c r="W119" s="1417"/>
      <c r="X119" s="1388"/>
      <c r="Y119" s="1388"/>
      <c r="Z119" s="1388"/>
      <c r="AA119" s="1388"/>
      <c r="AB119" s="1388"/>
      <c r="AC119" s="1388" t="s">
        <v>284</v>
      </c>
      <c r="AD119" s="1388" t="s">
        <v>285</v>
      </c>
      <c r="AE119" s="1388" t="s">
        <v>286</v>
      </c>
      <c r="AF119" s="1388" t="s">
        <v>287</v>
      </c>
      <c r="AG119" s="1388"/>
      <c r="AH119" s="1388" t="str">
        <f>IF($E$119=0,"",$E$119)</f>
        <v>Тариф на подключение (технологическое присоединение) к централизованной системе горячего водоснабжения</v>
      </c>
      <c r="AI119" s="1388" t="str">
        <f>IF($G$119=0,"",$G$119)</f>
        <v/>
      </c>
      <c r="AJ119" s="1388" t="str">
        <f>IF($J$119=0,"",$J$119)</f>
        <v/>
      </c>
      <c r="AK119" s="1388" t="str">
        <f>IF($K$119="нет","без дифференциации",IF($N$119=0,"",$N$119))</f>
        <v/>
      </c>
      <c r="AL119" s="1388" t="str">
        <f>IF($O$119="нет","без дифференциации",IF($R$119=0,"",$R$119))</f>
        <v/>
      </c>
      <c r="AM119" s="1388" t="str">
        <f>IF($S$119="нет","без дифференциации",IF($V$119=0,"",$V$119))</f>
        <v/>
      </c>
      <c r="AN119" s="1893">
        <f>$I$119</f>
        <v>0</v>
      </c>
      <c r="AO119" s="1388" t="str">
        <f>$I$119&amp;"."&amp;$M$119</f>
        <v>.</v>
      </c>
      <c r="AP119" s="1387" t="str">
        <f>$I$119&amp;"."&amp;$M$119&amp;"."&amp;$Q$119</f>
        <v>..</v>
      </c>
      <c r="AQ119" s="1387" t="str">
        <f>$I$119&amp;"."&amp;$M$119&amp;"."&amp;$Q$119&amp;"."&amp;$U$119</f>
        <v>...</v>
      </c>
      <c r="AR119" s="1588">
        <v>0</v>
      </c>
    </row>
    <row s="8300" customFormat="1" customHeight="1" ht="17.25" hidden="1">
      <c r="A120" s="442"/>
      <c r="C120" s="441"/>
      <c r="D120" s="2256"/>
      <c r="E120" s="2264"/>
      <c r="F120" s="2267"/>
      <c r="G120" s="2264"/>
      <c r="H120" s="2270"/>
      <c r="I120" s="2272"/>
      <c r="J120" s="2274"/>
      <c r="K120" s="2259"/>
      <c r="L120" s="2259"/>
      <c r="M120" s="2259"/>
      <c r="N120" s="2261"/>
      <c r="O120" s="2259"/>
      <c r="P120" s="2259"/>
      <c r="Q120" s="2259"/>
      <c r="R120" s="2262"/>
      <c r="S120" s="2259"/>
      <c r="T120" s="2069"/>
      <c r="U120" s="2069"/>
      <c r="V120" s="2069"/>
      <c r="W120" s="2070"/>
      <c r="X120" s="1387"/>
      <c r="Y120" s="1387"/>
      <c r="Z120" s="1387"/>
      <c r="AA120" s="1387"/>
      <c r="AB120" s="1387"/>
      <c r="AC120" s="1387"/>
      <c r="AD120" s="1387"/>
      <c r="AE120" s="1387"/>
      <c r="AF120" s="1387"/>
      <c r="AG120" s="1387"/>
      <c r="AH120" s="1387"/>
      <c r="AI120" s="1387"/>
      <c r="AJ120" s="1387"/>
      <c r="AK120" s="1387"/>
      <c r="AL120" s="1387"/>
      <c r="AM120" s="1387"/>
      <c r="AN120" s="1387"/>
      <c r="AO120" s="1387"/>
      <c r="AP120" s="1387"/>
      <c r="AQ120" s="1387"/>
      <c r="AR120" s="1588">
        <v>0</v>
      </c>
    </row>
    <row s="8300" customFormat="1" customHeight="1" ht="17.25" hidden="1">
      <c r="A121" s="442"/>
      <c r="C121" s="441"/>
      <c r="D121" s="2257"/>
      <c r="E121" s="2265"/>
      <c r="F121" s="2267"/>
      <c r="G121" s="2265"/>
      <c r="H121" s="2270"/>
      <c r="I121" s="2272"/>
      <c r="J121" s="2275"/>
      <c r="K121" s="2259"/>
      <c r="L121" s="2259"/>
      <c r="M121" s="2259"/>
      <c r="N121" s="2262"/>
      <c r="O121" s="2259"/>
      <c r="P121" s="2065"/>
      <c r="Q121" s="2069"/>
      <c r="R121" s="2069"/>
      <c r="S121" s="450"/>
      <c r="T121" s="450"/>
      <c r="U121" s="450"/>
      <c r="V121" s="450"/>
      <c r="W121" s="2070"/>
      <c r="X121" s="1387"/>
      <c r="Y121" s="1387"/>
      <c r="Z121" s="1387"/>
      <c r="AA121" s="1387"/>
      <c r="AB121" s="1387"/>
      <c r="AC121" s="1387"/>
      <c r="AD121" s="1387"/>
      <c r="AE121" s="1387"/>
      <c r="AF121" s="1387"/>
      <c r="AG121" s="1387"/>
      <c r="AH121" s="1387"/>
      <c r="AI121" s="1387"/>
      <c r="AJ121" s="1387"/>
      <c r="AK121" s="1387"/>
      <c r="AL121" s="1387"/>
      <c r="AM121" s="1387"/>
      <c r="AN121" s="1387"/>
      <c r="AO121" s="1387"/>
      <c r="AP121" s="1387"/>
      <c r="AQ121" s="1387"/>
      <c r="AR121" s="1588">
        <v>0</v>
      </c>
    </row>
    <row s="8300" customFormat="1" customHeight="1" ht="17.25" hidden="1">
      <c r="A122" s="442"/>
      <c r="C122" s="441"/>
      <c r="D122" s="2257"/>
      <c r="E122" s="2265"/>
      <c r="F122" s="2267"/>
      <c r="G122" s="2265"/>
      <c r="H122" s="2270"/>
      <c r="I122" s="2272"/>
      <c r="J122" s="2275"/>
      <c r="K122" s="2259"/>
      <c r="L122" s="2069"/>
      <c r="M122" s="2069"/>
      <c r="N122" s="2069"/>
      <c r="O122" s="2069"/>
      <c r="P122" s="2069"/>
      <c r="Q122" s="2069"/>
      <c r="R122" s="2069"/>
      <c r="S122" s="450"/>
      <c r="T122" s="450"/>
      <c r="U122" s="450"/>
      <c r="V122" s="450"/>
      <c r="W122" s="2070"/>
      <c r="X122" s="1387"/>
      <c r="Y122" s="1387"/>
      <c r="Z122" s="1387"/>
      <c r="AA122" s="1387"/>
      <c r="AB122" s="1387"/>
      <c r="AC122" s="1387"/>
      <c r="AD122" s="1387"/>
      <c r="AE122" s="1387"/>
      <c r="AF122" s="1387"/>
      <c r="AG122" s="1387"/>
      <c r="AH122" s="1387"/>
      <c r="AI122" s="1387"/>
      <c r="AJ122" s="1387"/>
      <c r="AK122" s="1387"/>
      <c r="AL122" s="1387"/>
      <c r="AM122" s="1387"/>
      <c r="AN122" s="1387"/>
      <c r="AO122" s="1387"/>
      <c r="AP122" s="1387"/>
      <c r="AQ122" s="1387"/>
      <c r="AR122" s="1588">
        <v>0</v>
      </c>
    </row>
    <row s="8300" customFormat="1" customHeight="1" ht="17.25" hidden="1">
      <c r="A123" s="442"/>
      <c r="C123" s="441"/>
      <c r="D123" s="2257"/>
      <c r="E123" s="2265"/>
      <c r="F123" s="2268"/>
      <c r="G123" s="2265"/>
      <c r="H123" s="1420"/>
      <c r="I123" s="2067"/>
      <c r="J123" s="2067"/>
      <c r="K123" s="2067"/>
      <c r="L123" s="2067"/>
      <c r="M123" s="2067"/>
      <c r="N123" s="2067"/>
      <c r="O123" s="2067"/>
      <c r="P123" s="2067"/>
      <c r="Q123" s="2067"/>
      <c r="R123" s="2067"/>
      <c r="S123" s="1422"/>
      <c r="T123" s="1422"/>
      <c r="U123" s="1422"/>
      <c r="V123" s="1422"/>
      <c r="W123" s="2068"/>
      <c r="X123" s="1387"/>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8">
        <v>0</v>
      </c>
    </row>
    <row s="8300" customFormat="1" customHeight="1" ht="11.25" hidden="1">
      <c r="A124" s="398"/>
      <c r="B124" s="398"/>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8300" customFormat="1" customHeight="1" ht="17.25" hidden="1">
      <c r="A125" s="442"/>
      <c r="C125" s="330"/>
      <c r="D125" s="2256">
        <v>1</v>
      </c>
      <c r="E125" s="2264" t="s">
        <v>288</v>
      </c>
      <c r="F125" s="2266" t="s">
        <v>19</v>
      </c>
      <c r="G125" s="2264"/>
      <c r="H125" s="2269"/>
      <c r="I125" s="2271"/>
      <c r="J125" s="2273"/>
      <c r="K125" s="2258"/>
      <c r="L125" s="2258"/>
      <c r="M125" s="2258"/>
      <c r="N125" s="2260"/>
      <c r="O125" s="2258"/>
      <c r="P125" s="2258"/>
      <c r="Q125" s="2258"/>
      <c r="R125" s="2263"/>
      <c r="S125" s="2258"/>
      <c r="T125" s="1591"/>
      <c r="U125" s="1591"/>
      <c r="V125" s="1593"/>
      <c r="W125" s="1417"/>
      <c r="Y125" s="1388"/>
      <c r="Z125" s="1388"/>
      <c r="AA125" s="1388"/>
      <c r="AB125" s="1388"/>
      <c r="AC125" s="1388" t="s">
        <v>289</v>
      </c>
      <c r="AD125" s="1388" t="s">
        <v>290</v>
      </c>
      <c r="AE125" s="1388" t="s">
        <v>291</v>
      </c>
      <c r="AF125" s="1388" t="s">
        <v>292</v>
      </c>
      <c r="AG125" s="1388"/>
      <c r="AH125" s="1388" t="str">
        <f>IF($E$125=0,"",$E$125)</f>
        <v>Тариф на водоотведение</v>
      </c>
      <c r="AI125" s="1388" t="str">
        <f>IF($G$125=0,"",$G$125)</f>
        <v/>
      </c>
      <c r="AJ125" s="1388" t="str">
        <f>IF($J$125=0,"",$J$125)</f>
        <v/>
      </c>
      <c r="AK125" s="1388" t="str">
        <f>IF($K$125="нет","без дифференциации",IF($N$125=0,"",$N$125))</f>
        <v/>
      </c>
      <c r="AL125" s="1388" t="str">
        <f>IF($O$125="нет","без дифференциации",IF($R$125=0,"",$R$125))</f>
        <v/>
      </c>
      <c r="AM125" s="1388" t="str">
        <f>IF($S$125="нет","без дифференциации",IF($V$125=0,"",$V$125))</f>
        <v/>
      </c>
      <c r="AN125" s="1388">
        <f>$I$125</f>
        <v>0</v>
      </c>
      <c r="AO125" s="1388" t="str">
        <f>$I$125&amp;"."&amp;$M$125</f>
        <v>.</v>
      </c>
      <c r="AP125" s="1388" t="str">
        <f>$I$125&amp;"."&amp;$M$125&amp;"."&amp;$Q$125</f>
        <v>..</v>
      </c>
      <c r="AQ125" s="1388" t="str">
        <f>$I$125&amp;"."&amp;$M$125&amp;"."&amp;$Q$125&amp;"."&amp;$U$125</f>
        <v>...</v>
      </c>
      <c r="AR125" s="1588">
        <v>0</v>
      </c>
    </row>
    <row s="8300" customFormat="1" customHeight="1" ht="17.25" hidden="1">
      <c r="A126" s="442"/>
      <c r="C126" s="441"/>
      <c r="D126" s="2256"/>
      <c r="E126" s="2264"/>
      <c r="F126" s="2267"/>
      <c r="G126" s="2264"/>
      <c r="H126" s="2270"/>
      <c r="I126" s="2272"/>
      <c r="J126" s="2274"/>
      <c r="K126" s="2259"/>
      <c r="L126" s="2259"/>
      <c r="M126" s="2259"/>
      <c r="N126" s="2261"/>
      <c r="O126" s="2259"/>
      <c r="P126" s="2259"/>
      <c r="Q126" s="2259"/>
      <c r="R126" s="2262"/>
      <c r="S126" s="2259"/>
      <c r="T126" s="1418"/>
      <c r="U126" s="1418"/>
      <c r="V126" s="1418"/>
      <c r="W126" s="1419"/>
      <c r="Y126" s="1380"/>
      <c r="Z126" s="1380"/>
      <c r="AA126" s="1380"/>
      <c r="AB126" s="1380"/>
      <c r="AC126" s="1380"/>
      <c r="AD126" s="1380"/>
      <c r="AE126" s="1380"/>
      <c r="AF126" s="1380"/>
      <c r="AG126" s="1380"/>
      <c r="AH126" s="1380"/>
      <c r="AI126" s="1380"/>
      <c r="AJ126" s="1380"/>
      <c r="AK126" s="1380"/>
      <c r="AL126" s="1380"/>
      <c r="AM126" s="1380"/>
      <c r="AN126" s="1380"/>
      <c r="AO126" s="1380"/>
      <c r="AP126" s="1380"/>
      <c r="AQ126" s="1380"/>
      <c r="AR126" s="1588">
        <v>0</v>
      </c>
    </row>
    <row s="8300" customFormat="1" customHeight="1" ht="17.25" hidden="1">
      <c r="A127" s="442"/>
      <c r="C127" s="330"/>
      <c r="D127" s="2256"/>
      <c r="E127" s="2264"/>
      <c r="F127" s="2267"/>
      <c r="G127" s="2264"/>
      <c r="H127" s="2270"/>
      <c r="I127" s="2272"/>
      <c r="J127" s="2275"/>
      <c r="K127" s="2259"/>
      <c r="L127" s="2259"/>
      <c r="M127" s="2259"/>
      <c r="N127" s="2262"/>
      <c r="O127" s="2259"/>
      <c r="P127" s="1592"/>
      <c r="Q127" s="1418"/>
      <c r="R127" s="1418"/>
      <c r="S127" s="450"/>
      <c r="T127" s="450"/>
      <c r="U127" s="450"/>
      <c r="V127" s="450"/>
      <c r="W127" s="1419"/>
      <c r="Y127" s="1388"/>
      <c r="Z127" s="1388"/>
      <c r="AA127" s="1388"/>
      <c r="AB127" s="1388"/>
      <c r="AC127" s="1388"/>
      <c r="AD127" s="1388"/>
      <c r="AE127" s="1388"/>
      <c r="AF127" s="1388"/>
      <c r="AG127" s="1388"/>
      <c r="AH127" s="1388"/>
      <c r="AI127" s="1388"/>
      <c r="AJ127" s="1388"/>
      <c r="AK127" s="1388"/>
      <c r="AL127" s="1388"/>
      <c r="AM127" s="1388"/>
      <c r="AN127" s="1388"/>
      <c r="AO127" s="1388"/>
      <c r="AP127" s="1388"/>
      <c r="AQ127" s="1388"/>
      <c r="AR127" s="1588">
        <v>0</v>
      </c>
    </row>
    <row s="8300" customFormat="1" customHeight="1" ht="17.25" hidden="1">
      <c r="A128" s="442"/>
      <c r="C128" s="441"/>
      <c r="D128" s="2256"/>
      <c r="E128" s="2264"/>
      <c r="F128" s="2267"/>
      <c r="G128" s="2264"/>
      <c r="H128" s="2270"/>
      <c r="I128" s="2272"/>
      <c r="J128" s="2275"/>
      <c r="K128" s="2259"/>
      <c r="L128" s="1418"/>
      <c r="M128" s="1418"/>
      <c r="N128" s="1418"/>
      <c r="O128" s="1418"/>
      <c r="P128" s="1418"/>
      <c r="Q128" s="1418"/>
      <c r="R128" s="1418"/>
      <c r="S128" s="450"/>
      <c r="T128" s="450"/>
      <c r="U128" s="450"/>
      <c r="V128" s="450"/>
      <c r="W128" s="1419"/>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8300" customFormat="1" customHeight="1" ht="17.25" hidden="1">
      <c r="A129" s="442"/>
      <c r="C129" s="441"/>
      <c r="D129" s="2257"/>
      <c r="E129" s="2265"/>
      <c r="F129" s="2268"/>
      <c r="G129" s="2265"/>
      <c r="H129" s="1420"/>
      <c r="I129" s="1421"/>
      <c r="J129" s="1421"/>
      <c r="K129" s="1421"/>
      <c r="L129" s="1421"/>
      <c r="M129" s="1421"/>
      <c r="N129" s="1421"/>
      <c r="O129" s="1421"/>
      <c r="P129" s="1421"/>
      <c r="Q129" s="1421"/>
      <c r="R129" s="1421"/>
      <c r="S129" s="1422"/>
      <c r="T129" s="1422"/>
      <c r="U129" s="1422"/>
      <c r="V129" s="1422"/>
      <c r="W129" s="1423"/>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8300" customFormat="1" customHeight="1" ht="17.25" hidden="1">
      <c r="A130" s="442"/>
      <c r="C130" s="330"/>
      <c r="D130" s="2256">
        <v>2</v>
      </c>
      <c r="E130" s="2264" t="s">
        <v>293</v>
      </c>
      <c r="F130" s="2266" t="s">
        <v>19</v>
      </c>
      <c r="G130" s="2264"/>
      <c r="H130" s="2269"/>
      <c r="I130" s="2271"/>
      <c r="J130" s="2273"/>
      <c r="K130" s="2258"/>
      <c r="L130" s="2258"/>
      <c r="M130" s="2258"/>
      <c r="N130" s="2260"/>
      <c r="O130" s="2258"/>
      <c r="P130" s="2258"/>
      <c r="Q130" s="2258"/>
      <c r="R130" s="2263"/>
      <c r="S130" s="2258"/>
      <c r="T130" s="1591"/>
      <c r="U130" s="1591"/>
      <c r="V130" s="1593"/>
      <c r="W130" s="1417"/>
      <c r="X130" s="1388"/>
      <c r="Y130" s="1388"/>
      <c r="Z130" s="1388"/>
      <c r="AA130" s="1388"/>
      <c r="AB130" s="1388"/>
      <c r="AC130" s="1388" t="s">
        <v>294</v>
      </c>
      <c r="AD130" s="1388" t="s">
        <v>295</v>
      </c>
      <c r="AE130" s="1388" t="s">
        <v>296</v>
      </c>
      <c r="AF130" s="1388" t="s">
        <v>297</v>
      </c>
      <c r="AG130" s="1388"/>
      <c r="AH130" s="1388" t="str">
        <f>IF($E$130=0,"",$E$130)</f>
        <v>Тариф на транспортировку сточных вод</v>
      </c>
      <c r="AI130" s="1388" t="str">
        <f>IF($G$130=0,"",$G$130)</f>
        <v/>
      </c>
      <c r="AJ130" s="1388" t="str">
        <f>IF($J$130=0,"",$J$130)</f>
        <v/>
      </c>
      <c r="AK130" s="1388" t="str">
        <f>IF($K$130="нет","без дифференциации",IF($N$130=0,"",$N$130))</f>
        <v/>
      </c>
      <c r="AL130" s="1388" t="str">
        <f>IF($O$130="нет","без дифференциации",IF($R$130=0,"",$R$130))</f>
        <v/>
      </c>
      <c r="AM130" s="1388" t="str">
        <f>IF($S$130="нет","без дифференциации",IF($V$130=0,"",$V$130))</f>
        <v/>
      </c>
      <c r="AN130" s="1893">
        <f>$I$130</f>
        <v>0</v>
      </c>
      <c r="AO130" s="1388" t="str">
        <f>$I$130&amp;"."&amp;$M$130</f>
        <v>.</v>
      </c>
      <c r="AP130" s="1380" t="str">
        <f>$I$130&amp;"."&amp;$M$130&amp;"."&amp;$Q$130</f>
        <v>..</v>
      </c>
      <c r="AQ130" s="1380" t="str">
        <f>$I$130&amp;"."&amp;$M$130&amp;"."&amp;$Q$130&amp;"."&amp;$U$130</f>
        <v>...</v>
      </c>
      <c r="AR130" s="1588">
        <v>0</v>
      </c>
    </row>
    <row s="8300" customFormat="1" customHeight="1" ht="17.25" hidden="1">
      <c r="A131" s="442"/>
      <c r="C131" s="441"/>
      <c r="D131" s="2256"/>
      <c r="E131" s="2264"/>
      <c r="F131" s="2267"/>
      <c r="G131" s="2264"/>
      <c r="H131" s="2270"/>
      <c r="I131" s="2272"/>
      <c r="J131" s="2274"/>
      <c r="K131" s="2259"/>
      <c r="L131" s="2259"/>
      <c r="M131" s="2259"/>
      <c r="N131" s="2261"/>
      <c r="O131" s="2259"/>
      <c r="P131" s="2259"/>
      <c r="Q131" s="2259"/>
      <c r="R131" s="2262"/>
      <c r="S131" s="2259"/>
      <c r="T131" s="1418"/>
      <c r="U131" s="1418"/>
      <c r="V131" s="1418"/>
      <c r="W131" s="1419"/>
      <c r="X131" s="1380"/>
      <c r="Y131" s="1380"/>
      <c r="Z131" s="1380"/>
      <c r="AA131" s="1380"/>
      <c r="AB131" s="1380"/>
      <c r="AC131" s="1380"/>
      <c r="AD131" s="1380"/>
      <c r="AE131" s="1380"/>
      <c r="AF131" s="1380"/>
      <c r="AG131" s="1380"/>
      <c r="AH131" s="1380"/>
      <c r="AI131" s="1380"/>
      <c r="AJ131" s="1380"/>
      <c r="AK131" s="1380"/>
      <c r="AL131" s="1380"/>
      <c r="AM131" s="1380"/>
      <c r="AN131" s="1380"/>
      <c r="AO131" s="1380"/>
      <c r="AP131" s="1380"/>
      <c r="AQ131" s="1380"/>
      <c r="AR131" s="1588">
        <v>0</v>
      </c>
    </row>
    <row s="8300" customFormat="1" customHeight="1" ht="17.25" hidden="1">
      <c r="A132" s="442"/>
      <c r="C132" s="441"/>
      <c r="D132" s="2257"/>
      <c r="E132" s="2265"/>
      <c r="F132" s="2267"/>
      <c r="G132" s="2265"/>
      <c r="H132" s="2270"/>
      <c r="I132" s="2272"/>
      <c r="J132" s="2275"/>
      <c r="K132" s="2259"/>
      <c r="L132" s="2259"/>
      <c r="M132" s="2259"/>
      <c r="N132" s="2262"/>
      <c r="O132" s="2259"/>
      <c r="P132" s="1592"/>
      <c r="Q132" s="1418"/>
      <c r="R132" s="1418"/>
      <c r="S132" s="450"/>
      <c r="T132" s="450"/>
      <c r="U132" s="450"/>
      <c r="V132" s="450"/>
      <c r="W132" s="1419"/>
      <c r="X132" s="1380"/>
      <c r="Y132" s="1380"/>
      <c r="Z132" s="1380"/>
      <c r="AA132" s="1380"/>
      <c r="AB132" s="1380"/>
      <c r="AC132" s="1380"/>
      <c r="AD132" s="1380"/>
      <c r="AE132" s="1380"/>
      <c r="AF132" s="1380"/>
      <c r="AG132" s="1380"/>
      <c r="AH132" s="1380"/>
      <c r="AI132" s="1380"/>
      <c r="AJ132" s="1380"/>
      <c r="AK132" s="1380"/>
      <c r="AL132" s="1380"/>
      <c r="AM132" s="1380"/>
      <c r="AN132" s="1380"/>
      <c r="AO132" s="1380"/>
      <c r="AP132" s="1380"/>
      <c r="AQ132" s="1380"/>
      <c r="AR132" s="1588">
        <v>0</v>
      </c>
    </row>
    <row s="8300" customFormat="1" customHeight="1" ht="17.25" hidden="1">
      <c r="A133" s="442"/>
      <c r="C133" s="441"/>
      <c r="D133" s="2257"/>
      <c r="E133" s="2265"/>
      <c r="F133" s="2267"/>
      <c r="G133" s="2265"/>
      <c r="H133" s="2270"/>
      <c r="I133" s="2272"/>
      <c r="J133" s="2275"/>
      <c r="K133" s="2259"/>
      <c r="L133" s="1418"/>
      <c r="M133" s="1418"/>
      <c r="N133" s="1418"/>
      <c r="O133" s="1418"/>
      <c r="P133" s="1418"/>
      <c r="Q133" s="1418"/>
      <c r="R133" s="1418"/>
      <c r="S133" s="450"/>
      <c r="T133" s="450"/>
      <c r="U133" s="450"/>
      <c r="V133" s="450"/>
      <c r="W133" s="1419"/>
      <c r="X133" s="1380"/>
      <c r="Y133" s="1380"/>
      <c r="Z133" s="1380"/>
      <c r="AA133" s="1380"/>
      <c r="AB133" s="1380"/>
      <c r="AC133" s="1380"/>
      <c r="AD133" s="1380"/>
      <c r="AE133" s="1380"/>
      <c r="AF133" s="1380"/>
      <c r="AG133" s="1380"/>
      <c r="AH133" s="1380"/>
      <c r="AI133" s="1380"/>
      <c r="AJ133" s="1380"/>
      <c r="AK133" s="1380"/>
      <c r="AL133" s="1380"/>
      <c r="AM133" s="1380"/>
      <c r="AN133" s="1380"/>
      <c r="AO133" s="1380"/>
      <c r="AP133" s="1380"/>
      <c r="AQ133" s="1380"/>
      <c r="AR133" s="1588">
        <v>0</v>
      </c>
    </row>
    <row s="8300" customFormat="1" customHeight="1" ht="17.25" hidden="1">
      <c r="A134" s="442"/>
      <c r="C134" s="441"/>
      <c r="D134" s="2257"/>
      <c r="E134" s="2265"/>
      <c r="F134" s="2268"/>
      <c r="G134" s="2265"/>
      <c r="H134" s="1420"/>
      <c r="I134" s="1421"/>
      <c r="J134" s="1421"/>
      <c r="K134" s="1421"/>
      <c r="L134" s="1421"/>
      <c r="M134" s="1421"/>
      <c r="N134" s="1421"/>
      <c r="O134" s="1421"/>
      <c r="P134" s="1421"/>
      <c r="Q134" s="1421"/>
      <c r="R134" s="1421"/>
      <c r="S134" s="1422"/>
      <c r="T134" s="1422"/>
      <c r="U134" s="1422"/>
      <c r="V134" s="1422"/>
      <c r="W134" s="1423"/>
      <c r="X134" s="1380"/>
      <c r="Y134" s="1380"/>
      <c r="Z134" s="1380"/>
      <c r="AA134" s="1380"/>
      <c r="AB134" s="1380"/>
      <c r="AC134" s="1380"/>
      <c r="AD134" s="1380"/>
      <c r="AE134" s="1380"/>
      <c r="AF134" s="1380"/>
      <c r="AG134" s="1380"/>
      <c r="AH134" s="1380"/>
      <c r="AI134" s="1380"/>
      <c r="AJ134" s="1380"/>
      <c r="AK134" s="1380"/>
      <c r="AL134" s="1380"/>
      <c r="AM134" s="1380"/>
      <c r="AN134" s="1380"/>
      <c r="AO134" s="1380"/>
      <c r="AP134" s="1380"/>
      <c r="AQ134" s="1380"/>
      <c r="AR134" s="1588">
        <v>0</v>
      </c>
    </row>
    <row s="8300" customFormat="1" customHeight="1" ht="17.25" hidden="1">
      <c r="A135" s="442"/>
      <c r="C135" s="330"/>
      <c r="D135" s="2256">
        <v>3</v>
      </c>
      <c r="E135" s="2264" t="s">
        <v>298</v>
      </c>
      <c r="F135" s="2266" t="s">
        <v>19</v>
      </c>
      <c r="G135" s="2264"/>
      <c r="H135" s="2269"/>
      <c r="I135" s="2271"/>
      <c r="J135" s="2273"/>
      <c r="K135" s="2258"/>
      <c r="L135" s="2258"/>
      <c r="M135" s="2258"/>
      <c r="N135" s="2260"/>
      <c r="O135" s="2258"/>
      <c r="P135" s="2258"/>
      <c r="Q135" s="2258"/>
      <c r="R135" s="2263"/>
      <c r="S135" s="2258"/>
      <c r="T135" s="2064"/>
      <c r="U135" s="2064"/>
      <c r="V135" s="2066"/>
      <c r="W135" s="1417"/>
      <c r="X135" s="1388"/>
      <c r="Y135" s="1388"/>
      <c r="Z135" s="1388"/>
      <c r="AA135" s="1388"/>
      <c r="AB135" s="1388"/>
      <c r="AC135" s="1388" t="s">
        <v>299</v>
      </c>
      <c r="AD135" s="1388" t="s">
        <v>300</v>
      </c>
      <c r="AE135" s="1388" t="s">
        <v>301</v>
      </c>
      <c r="AF135" s="1388" t="s">
        <v>302</v>
      </c>
      <c r="AG135" s="1388"/>
      <c r="AH135" s="1388" t="str">
        <f>IF($E$135=0,"",$E$135)</f>
        <v>Тариф на подключение (технологическое присоединение) к централизованной системе водоотведения</v>
      </c>
      <c r="AI135" s="1388" t="str">
        <f>IF($G$135=0,"",$G$135)</f>
        <v/>
      </c>
      <c r="AJ135" s="1388" t="str">
        <f>IF($J$135=0,"",$J$135)</f>
        <v/>
      </c>
      <c r="AK135" s="1388" t="str">
        <f>IF($K$135="нет","без дифференциации",IF($N$135=0,"",$N$135))</f>
        <v/>
      </c>
      <c r="AL135" s="1388" t="str">
        <f>IF($O$135="нет","без дифференциации",IF($R$135=0,"",$R$135))</f>
        <v/>
      </c>
      <c r="AM135" s="1388" t="str">
        <f>IF($S$135="нет","без дифференциации",IF($V$135=0,"",$V$135))</f>
        <v/>
      </c>
      <c r="AN135" s="1893">
        <f>$I$135</f>
        <v>0</v>
      </c>
      <c r="AO135" s="1388" t="str">
        <f>$I$135&amp;"."&amp;$M$135</f>
        <v>.</v>
      </c>
      <c r="AP135" s="1387" t="str">
        <f>$I$135&amp;"."&amp;$M$135&amp;"."&amp;$Q$135</f>
        <v>..</v>
      </c>
      <c r="AQ135" s="1387" t="str">
        <f>$I$135&amp;"."&amp;$M$135&amp;"."&amp;$Q$135&amp;"."&amp;$U$135</f>
        <v>...</v>
      </c>
      <c r="AR135" s="1588">
        <v>0</v>
      </c>
    </row>
    <row s="8300" customFormat="1" customHeight="1" ht="17.25" hidden="1">
      <c r="A136" s="442"/>
      <c r="C136" s="441"/>
      <c r="D136" s="2256"/>
      <c r="E136" s="2264"/>
      <c r="F136" s="2267"/>
      <c r="G136" s="2264"/>
      <c r="H136" s="2270"/>
      <c r="I136" s="2272"/>
      <c r="J136" s="2274"/>
      <c r="K136" s="2259"/>
      <c r="L136" s="2259"/>
      <c r="M136" s="2259"/>
      <c r="N136" s="2261"/>
      <c r="O136" s="2259"/>
      <c r="P136" s="2259"/>
      <c r="Q136" s="2259"/>
      <c r="R136" s="2262"/>
      <c r="S136" s="2259"/>
      <c r="T136" s="2069"/>
      <c r="U136" s="2069"/>
      <c r="V136" s="2069"/>
      <c r="W136" s="2070"/>
      <c r="X136" s="1387"/>
      <c r="Y136" s="1387"/>
      <c r="Z136" s="1387"/>
      <c r="AA136" s="1387"/>
      <c r="AB136" s="1387"/>
      <c r="AC136" s="1387"/>
      <c r="AD136" s="1387"/>
      <c r="AE136" s="1387"/>
      <c r="AF136" s="1387"/>
      <c r="AG136" s="1387"/>
      <c r="AH136" s="1387"/>
      <c r="AI136" s="1387"/>
      <c r="AJ136" s="1387"/>
      <c r="AK136" s="1387"/>
      <c r="AL136" s="1387"/>
      <c r="AM136" s="1387"/>
      <c r="AN136" s="1387"/>
      <c r="AO136" s="1387"/>
      <c r="AP136" s="1387"/>
      <c r="AQ136" s="1387"/>
      <c r="AR136" s="1588">
        <v>0</v>
      </c>
    </row>
    <row s="8300" customFormat="1" customHeight="1" ht="17.25" hidden="1">
      <c r="A137" s="442"/>
      <c r="C137" s="441"/>
      <c r="D137" s="2257"/>
      <c r="E137" s="2265"/>
      <c r="F137" s="2267"/>
      <c r="G137" s="2265"/>
      <c r="H137" s="2270"/>
      <c r="I137" s="2272"/>
      <c r="J137" s="2275"/>
      <c r="K137" s="2259"/>
      <c r="L137" s="2259"/>
      <c r="M137" s="2259"/>
      <c r="N137" s="2262"/>
      <c r="O137" s="2259"/>
      <c r="P137" s="2065"/>
      <c r="Q137" s="2069"/>
      <c r="R137" s="2069"/>
      <c r="S137" s="450"/>
      <c r="T137" s="450"/>
      <c r="U137" s="450"/>
      <c r="V137" s="450"/>
      <c r="W137" s="2070"/>
      <c r="X137" s="1387"/>
      <c r="Y137" s="1387"/>
      <c r="Z137" s="1387"/>
      <c r="AA137" s="1387"/>
      <c r="AB137" s="1387"/>
      <c r="AC137" s="1387"/>
      <c r="AD137" s="1387"/>
      <c r="AE137" s="1387"/>
      <c r="AF137" s="1387"/>
      <c r="AG137" s="1387"/>
      <c r="AH137" s="1387"/>
      <c r="AI137" s="1387"/>
      <c r="AJ137" s="1387"/>
      <c r="AK137" s="1387"/>
      <c r="AL137" s="1387"/>
      <c r="AM137" s="1387"/>
      <c r="AN137" s="1387"/>
      <c r="AO137" s="1387"/>
      <c r="AP137" s="1387"/>
      <c r="AQ137" s="1387"/>
      <c r="AR137" s="1588">
        <v>0</v>
      </c>
    </row>
    <row s="8300" customFormat="1" customHeight="1" ht="17.25" hidden="1">
      <c r="A138" s="442"/>
      <c r="C138" s="441"/>
      <c r="D138" s="2257"/>
      <c r="E138" s="2265"/>
      <c r="F138" s="2267"/>
      <c r="G138" s="2265"/>
      <c r="H138" s="2270"/>
      <c r="I138" s="2272"/>
      <c r="J138" s="2275"/>
      <c r="K138" s="2259"/>
      <c r="L138" s="2069"/>
      <c r="M138" s="2069"/>
      <c r="N138" s="2069"/>
      <c r="O138" s="2069"/>
      <c r="P138" s="2069"/>
      <c r="Q138" s="2069"/>
      <c r="R138" s="2069"/>
      <c r="S138" s="450"/>
      <c r="T138" s="450"/>
      <c r="U138" s="450"/>
      <c r="V138" s="450"/>
      <c r="W138" s="2070"/>
      <c r="X138" s="1387"/>
      <c r="Y138" s="1387"/>
      <c r="Z138" s="1387"/>
      <c r="AA138" s="1387"/>
      <c r="AB138" s="1387"/>
      <c r="AC138" s="1387"/>
      <c r="AD138" s="1387"/>
      <c r="AE138" s="1387"/>
      <c r="AF138" s="1387"/>
      <c r="AG138" s="1387"/>
      <c r="AH138" s="1387"/>
      <c r="AI138" s="1387"/>
      <c r="AJ138" s="1387"/>
      <c r="AK138" s="1387"/>
      <c r="AL138" s="1387"/>
      <c r="AM138" s="1387"/>
      <c r="AN138" s="1387"/>
      <c r="AO138" s="1387"/>
      <c r="AP138" s="1387"/>
      <c r="AQ138" s="1387"/>
      <c r="AR138" s="1588">
        <v>0</v>
      </c>
    </row>
    <row s="8300" customFormat="1" customHeight="1" ht="17.25" hidden="1">
      <c r="A139" s="442"/>
      <c r="C139" s="441"/>
      <c r="D139" s="2257"/>
      <c r="E139" s="2265"/>
      <c r="F139" s="2268"/>
      <c r="G139" s="2265"/>
      <c r="H139" s="1420"/>
      <c r="I139" s="2067"/>
      <c r="J139" s="2067"/>
      <c r="K139" s="2067"/>
      <c r="L139" s="2067"/>
      <c r="M139" s="2067"/>
      <c r="N139" s="2067"/>
      <c r="O139" s="2067"/>
      <c r="P139" s="2067"/>
      <c r="Q139" s="2067"/>
      <c r="R139" s="2067"/>
      <c r="S139" s="1422"/>
      <c r="T139" s="1422"/>
      <c r="U139" s="1422"/>
      <c r="V139" s="1422"/>
      <c r="W139" s="2068"/>
      <c r="X139" s="1387"/>
      <c r="Y139" s="1387"/>
      <c r="Z139" s="1387"/>
      <c r="AA139" s="1387"/>
      <c r="AB139" s="1387"/>
      <c r="AC139" s="1387"/>
      <c r="AD139" s="1387"/>
      <c r="AE139" s="1387"/>
      <c r="AF139" s="1387"/>
      <c r="AG139" s="1387"/>
      <c r="AH139" s="1387"/>
      <c r="AI139" s="1387"/>
      <c r="AJ139" s="1387"/>
      <c r="AK139" s="1387"/>
      <c r="AL139" s="1387"/>
      <c r="AM139" s="1387"/>
      <c r="AN139" s="1387"/>
      <c r="AO139" s="1387"/>
      <c r="AP139" s="1387"/>
      <c r="AQ139" s="1387"/>
      <c r="AR139" s="1588">
        <v>0</v>
      </c>
    </row>
    <row customHeight="1" ht="11.549999999999999">
      <c r="AR140" s="225">
        <v>11</v>
      </c>
    </row>
    <row customHeight="1" ht="11.549999999999999">
      <c r="AR141" s="225">
        <v>11</v>
      </c>
    </row>
    <row customHeight="1" ht="11.549999999999999">
      <c r="AR142" s="225">
        <v>11</v>
      </c>
    </row>
    <row customHeight="1" ht="11.549999999999999">
      <c r="E143" s="1471"/>
      <c r="AR143" s="225">
        <v>11</v>
      </c>
    </row>
    <row customHeight="1" ht="11.549999999999999">
      <c r="E144" s="1471"/>
      <c r="AR144" s="225">
        <v>11</v>
      </c>
    </row>
    <row customHeight="1" ht="11.549999999999999">
      <c r="E145" s="1471"/>
      <c r="AR145" s="225">
        <v>11</v>
      </c>
    </row>
    <row customHeight="1" ht="11.549999999999999">
      <c r="E146" s="1471"/>
      <c r="AR146" s="225">
        <v>11</v>
      </c>
    </row>
    <row customHeight="1" ht="11.549999999999999">
      <c r="E147" s="1471"/>
      <c r="AR147" s="225">
        <v>11</v>
      </c>
    </row>
    <row customHeight="1" ht="11.549999999999999">
      <c r="E148" s="1471"/>
      <c r="AR148" s="225">
        <v>11</v>
      </c>
    </row>
    <row customHeight="1" ht="11.549999999999999">
      <c r="E149" s="1471"/>
      <c r="AR149" s="225">
        <v>11</v>
      </c>
    </row>
    <row customHeight="1" ht="11.25" hidden="1">
      <c r="A150" s="274" t="s">
        <v>82</v>
      </c>
      <c r="B150" s="274">
        <v>0</v>
      </c>
      <c r="C150" s="225">
        <v>3</v>
      </c>
      <c r="D150" s="225">
        <v>6</v>
      </c>
      <c r="E150" s="225">
        <v>42</v>
      </c>
      <c r="F150" s="1404">
        <v>14</v>
      </c>
      <c r="G150" s="225">
        <v>42</v>
      </c>
      <c r="H150" s="225">
        <v>3</v>
      </c>
      <c r="I150" s="225">
        <v>5</v>
      </c>
      <c r="J150" s="225">
        <v>47</v>
      </c>
      <c r="K150" s="225">
        <v>3</v>
      </c>
      <c r="L150" s="225">
        <v>3</v>
      </c>
      <c r="M150" s="225">
        <v>5</v>
      </c>
      <c r="N150" s="225">
        <v>28</v>
      </c>
      <c r="O150" s="225">
        <v>3</v>
      </c>
      <c r="P150" s="225">
        <v>3</v>
      </c>
      <c r="Q150" s="225">
        <v>5</v>
      </c>
      <c r="R150" s="225">
        <v>34</v>
      </c>
      <c r="S150" s="403">
        <v>0</v>
      </c>
      <c r="T150" s="403">
        <v>0</v>
      </c>
      <c r="U150" s="403">
        <v>0</v>
      </c>
      <c r="V150" s="403">
        <v>0</v>
      </c>
      <c r="W150" s="225">
        <v>30</v>
      </c>
      <c r="X150" s="225">
        <v>3</v>
      </c>
      <c r="Y150" s="1380">
        <v>0</v>
      </c>
      <c r="Z150" s="1380">
        <v>0</v>
      </c>
      <c r="AA150" s="1380">
        <v>0</v>
      </c>
      <c r="AB150" s="1380">
        <v>0</v>
      </c>
      <c r="AC150" s="1380">
        <v>0</v>
      </c>
      <c r="AD150" s="1380">
        <v>0</v>
      </c>
      <c r="AE150" s="1380">
        <v>0</v>
      </c>
      <c r="AF150" s="1380">
        <v>0</v>
      </c>
      <c r="AG150" s="1380">
        <v>0</v>
      </c>
      <c r="AH150" s="1380">
        <v>0</v>
      </c>
      <c r="AI150" s="1380">
        <v>0</v>
      </c>
      <c r="AJ150" s="1380">
        <v>0</v>
      </c>
      <c r="AK150" s="1380">
        <v>0</v>
      </c>
      <c r="AL150" s="1380">
        <v>0</v>
      </c>
      <c r="AM150" s="1380">
        <v>0</v>
      </c>
      <c r="AN150" s="1380">
        <v>0</v>
      </c>
      <c r="AO150" s="1380">
        <v>0</v>
      </c>
      <c r="AP150" s="1380">
        <v>0</v>
      </c>
      <c r="AQ150" s="1380">
        <v>0</v>
      </c>
      <c r="AR150" s="225">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22:S2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Q22:Q23"/>
    <mergeCell ref="R22:R23"/>
    <mergeCell ref="H22:H25"/>
    <mergeCell ref="I22:I25"/>
    <mergeCell ref="J22:J25"/>
    <mergeCell ref="D32:D36"/>
    <mergeCell ref="E32:E36"/>
    <mergeCell ref="F32:F36"/>
    <mergeCell ref="G32:G36"/>
    <mergeCell ref="L22:L24"/>
    <mergeCell ref="M22:M24"/>
    <mergeCell ref="N22:N24"/>
    <mergeCell ref="D27:D31"/>
    <mergeCell ref="E27:E31"/>
    <mergeCell ref="F27:F31"/>
    <mergeCell ref="L10:M10"/>
    <mergeCell ref="P10:Q10"/>
    <mergeCell ref="L11:M11"/>
    <mergeCell ref="P11:Q11"/>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32:O34"/>
    <mergeCell ref="S32:S33"/>
    <mergeCell ref="P32:P33"/>
    <mergeCell ref="Q32:Q33"/>
    <mergeCell ref="R32:R33"/>
    <mergeCell ref="K32:K35"/>
    <mergeCell ref="M32:M34"/>
    <mergeCell ref="L32:L34"/>
    <mergeCell ref="N32:N34"/>
    <mergeCell ref="J32:J35"/>
    <mergeCell ref="H32:H35"/>
    <mergeCell ref="I32:I35"/>
    <mergeCell ref="H17:H20"/>
    <mergeCell ref="I17:I20"/>
    <mergeCell ref="J17:J20"/>
    <mergeCell ref="K17:K20"/>
    <mergeCell ref="L17:L19"/>
    <mergeCell ref="M17:M19"/>
    <mergeCell ref="N17:N19"/>
    <mergeCell ref="S17:S18"/>
    <mergeCell ref="O17:O19"/>
    <mergeCell ref="P17:P18"/>
    <mergeCell ref="Q17:Q18"/>
    <mergeCell ref="R17:R18"/>
  </mergeCells>
  <dataValidations count="52">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5 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42:N44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22:J23 J47:J48 R42:R43 R22:R23 R47:R48 V42:W42 V22:W22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22:K23 K47:K48 O42:O43 O22:O23 O47:O48 S42:S43 S22:S23 S47:S48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5 F16 F21: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00354-C197-71F3-97E8-0.0154A65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69" width="9.140625" hidden="1"/>
    <col min="3" max="4" style="8469" width="3.00390625" customWidth="1"/>
    <col min="5" max="6" style="8469" width="15.00390625" customWidth="1"/>
    <col min="7" max="7" style="8469" width="11.57421875" customWidth="1"/>
    <col min="8" max="9" style="8469" width="3.00390625" customWidth="1"/>
    <col min="10" max="10" style="8469" width="12.00390625" customWidth="1"/>
    <col min="11" max="11" style="8469" width="0.28125" customWidth="1"/>
    <col min="12" max="13" style="8469" width="10.00390625" customWidth="1"/>
    <col min="14" max="15" style="8469" width="3.00390625" customWidth="1"/>
    <col min="16" max="16" style="8469" width="19.00390625" customWidth="1"/>
    <col min="17" max="17" style="8469" width="0.28125" customWidth="1"/>
    <col min="18" max="19" style="8469" width="10.00390625" customWidth="1"/>
    <col min="20" max="21" style="8469" width="3.00390625" customWidth="1"/>
    <col min="22" max="22" style="8469" width="25.00390625" customWidth="1"/>
    <col min="23" max="23" style="8469" width="0.28125" customWidth="1"/>
    <col min="24" max="25" style="8469" width="10.00390625" customWidth="1"/>
    <col min="26" max="27" style="8469" width="3.00390625" customWidth="1"/>
    <col min="28" max="28" style="8469" width="16.00390625" customWidth="1"/>
    <col min="29" max="29" style="8469" width="0.28125" customWidth="1"/>
    <col min="30" max="31" style="8469" width="10.00390625" customWidth="1"/>
    <col min="32" max="33" style="8469" width="3.00390625" customWidth="1"/>
    <col min="34" max="34" style="8469" width="8.00390625" customWidth="1"/>
    <col min="35" max="35" style="8469" width="21.00390625" customWidth="1"/>
    <col min="36" max="36" style="8469" width="8.00390625" customWidth="1"/>
    <col min="37" max="37" style="8419" width="8.00390625" customWidth="1"/>
    <col min="38" max="64" style="8469" width="8.00390625" customWidth="1"/>
    <col min="65" max="65" style="8469" width="9.140625" hidden="1"/>
  </cols>
  <sheetData>
    <row s="8427"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6190" customFormat="1" customHeight="1" ht="11.25" hidden="1">
      <c r="L2" s="1674" t="s">
        <v>303</v>
      </c>
      <c r="M2" s="1674" t="s">
        <v>304</v>
      </c>
      <c r="R2" s="1674" t="s">
        <v>305</v>
      </c>
      <c r="S2" s="1674" t="s">
        <v>304</v>
      </c>
      <c r="X2" s="1674" t="s">
        <v>303</v>
      </c>
      <c r="Y2" s="1674" t="s">
        <v>304</v>
      </c>
      <c r="AD2" s="1674" t="s">
        <v>303</v>
      </c>
      <c r="AE2" s="1674" t="s">
        <v>304</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6195"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418" customFormat="1" customHeight="1" ht="34.5">
      <c r="A4" s="1277"/>
      <c r="B4" s="1276"/>
      <c r="C4" s="1636"/>
      <c r="D4" s="2312" t="s">
        <v>306</v>
      </c>
      <c r="E4" s="2312"/>
      <c r="F4" s="2312"/>
      <c r="G4" s="2312"/>
      <c r="H4" s="2312"/>
      <c r="I4" s="2312"/>
      <c r="J4" s="2312"/>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418" customFormat="1" customHeight="1" ht="14.699999999999998">
      <c r="A5" s="1753"/>
      <c r="B5" s="1752"/>
      <c r="C5" s="1636"/>
      <c r="D5" s="2297" t="str">
        <f>IF(org=0,"Не определено",org)</f>
        <v>ПАО "ТГК-1" филиал "Невский"</v>
      </c>
      <c r="E5" s="2297"/>
      <c r="F5" s="2297"/>
      <c r="G5" s="2297"/>
      <c r="H5" s="2297"/>
      <c r="I5" s="2297"/>
      <c r="J5" s="2297"/>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418"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8427"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48" t="s">
        <v>88</v>
      </c>
      <c r="E8" s="2248" t="s">
        <v>119</v>
      </c>
      <c r="F8" s="2313" t="s">
        <v>135</v>
      </c>
      <c r="G8" s="2314"/>
      <c r="H8" s="2313" t="s">
        <v>88</v>
      </c>
      <c r="I8" s="2314"/>
      <c r="J8" s="2248" t="s">
        <v>136</v>
      </c>
      <c r="K8" s="1677"/>
      <c r="L8" s="2317" t="s">
        <v>307</v>
      </c>
      <c r="M8" s="2317"/>
      <c r="N8" s="2317"/>
      <c r="O8" s="2317"/>
      <c r="P8" s="2317"/>
      <c r="Q8" s="1678"/>
      <c r="R8" s="2217" t="s">
        <v>308</v>
      </c>
      <c r="S8" s="2318"/>
      <c r="T8" s="2318"/>
      <c r="U8" s="2318"/>
      <c r="V8" s="2318"/>
      <c r="W8" s="1678"/>
      <c r="X8" s="2319" t="s">
        <v>309</v>
      </c>
      <c r="Y8" s="2319"/>
      <c r="Z8" s="2319"/>
      <c r="AA8" s="2319"/>
      <c r="AB8" s="2319"/>
      <c r="AC8" s="1679"/>
      <c r="AD8" s="2248" t="s">
        <v>310</v>
      </c>
      <c r="AE8" s="2248"/>
      <c r="AF8" s="2248"/>
      <c r="AG8" s="2248"/>
      <c r="AH8" s="2222"/>
      <c r="AI8" s="2248" t="s">
        <v>311</v>
      </c>
      <c r="AJ8" s="1695"/>
      <c r="BM8" s="414">
        <v>32</v>
      </c>
    </row>
    <row customHeight="1" ht="23.25">
      <c r="D9" s="2248"/>
      <c r="E9" s="2248"/>
      <c r="F9" s="2296" t="s">
        <v>89</v>
      </c>
      <c r="G9" s="2296" t="s">
        <v>141</v>
      </c>
      <c r="H9" s="2315"/>
      <c r="I9" s="2316"/>
      <c r="J9" s="2222"/>
      <c r="K9" s="1680"/>
      <c r="L9" s="2248" t="s">
        <v>312</v>
      </c>
      <c r="M9" s="2222"/>
      <c r="N9" s="2313" t="s">
        <v>88</v>
      </c>
      <c r="O9" s="2314"/>
      <c r="P9" s="2248" t="s">
        <v>142</v>
      </c>
      <c r="Q9" s="1677"/>
      <c r="R9" s="2248" t="s">
        <v>312</v>
      </c>
      <c r="S9" s="2222"/>
      <c r="T9" s="2313" t="s">
        <v>88</v>
      </c>
      <c r="U9" s="2314"/>
      <c r="V9" s="2248" t="s">
        <v>142</v>
      </c>
      <c r="W9" s="1677"/>
      <c r="X9" s="2248" t="s">
        <v>312</v>
      </c>
      <c r="Y9" s="2222"/>
      <c r="Z9" s="2313" t="s">
        <v>88</v>
      </c>
      <c r="AA9" s="2314"/>
      <c r="AB9" s="2248" t="s">
        <v>313</v>
      </c>
      <c r="AC9" s="1677"/>
      <c r="AD9" s="2248" t="s">
        <v>312</v>
      </c>
      <c r="AE9" s="2222"/>
      <c r="AF9" s="2313" t="s">
        <v>88</v>
      </c>
      <c r="AG9" s="2314"/>
      <c r="AH9" s="2222" t="s">
        <v>313</v>
      </c>
      <c r="AI9" s="2248"/>
      <c r="AJ9" s="1695"/>
      <c r="BM9" s="414">
        <v>22</v>
      </c>
    </row>
    <row customHeight="1" ht="24">
      <c r="D10" s="2296"/>
      <c r="E10" s="2296"/>
      <c r="F10" s="2320"/>
      <c r="G10" s="2320"/>
      <c r="H10" s="2321"/>
      <c r="I10" s="2322"/>
      <c r="J10" s="2313"/>
      <c r="K10" s="1680"/>
      <c r="L10" s="1699" t="s">
        <v>314</v>
      </c>
      <c r="M10" s="1694" t="s">
        <v>315</v>
      </c>
      <c r="N10" s="2315"/>
      <c r="O10" s="2316"/>
      <c r="P10" s="2296"/>
      <c r="Q10" s="1677"/>
      <c r="R10" s="1699" t="s">
        <v>314</v>
      </c>
      <c r="S10" s="1694" t="s">
        <v>315</v>
      </c>
      <c r="T10" s="2315"/>
      <c r="U10" s="2316"/>
      <c r="V10" s="2296"/>
      <c r="W10" s="1677"/>
      <c r="X10" s="1699" t="s">
        <v>314</v>
      </c>
      <c r="Y10" s="1694" t="s">
        <v>315</v>
      </c>
      <c r="Z10" s="2315"/>
      <c r="AA10" s="2316"/>
      <c r="AB10" s="2296"/>
      <c r="AC10" s="1677"/>
      <c r="AD10" s="1699" t="s">
        <v>314</v>
      </c>
      <c r="AE10" s="1694" t="s">
        <v>315</v>
      </c>
      <c r="AF10" s="2315"/>
      <c r="AG10" s="2316"/>
      <c r="AH10" s="2313"/>
      <c r="AI10" s="2296"/>
      <c r="AJ10" s="1695"/>
      <c r="AK10" s="375" t="s">
        <v>316</v>
      </c>
      <c r="AL10" s="375" t="s">
        <v>143</v>
      </c>
      <c r="BM10" s="414">
        <v>23</v>
      </c>
    </row>
    <row customHeight="1" ht="15">
      <c r="D11" s="2304" t="s">
        <v>123</v>
      </c>
      <c r="E11" s="2300" t="s">
        <v>317</v>
      </c>
      <c r="F11" s="2300" t="s">
        <v>318</v>
      </c>
      <c r="G11" s="2306" t="s">
        <v>19</v>
      </c>
      <c r="H11" s="1720"/>
      <c r="I11" s="2302"/>
      <c r="J11" s="2273"/>
      <c r="K11" s="1635"/>
      <c r="L11" s="2258"/>
      <c r="M11" s="2258"/>
      <c r="N11" s="1705"/>
      <c r="O11" s="2258"/>
      <c r="P11" s="2273"/>
      <c r="Q11" s="1706"/>
      <c r="R11" s="2258"/>
      <c r="S11" s="2258"/>
      <c r="T11" s="1707"/>
      <c r="U11" s="2258"/>
      <c r="V11" s="2273"/>
      <c r="W11" s="1708"/>
      <c r="X11" s="2258"/>
      <c r="Y11" s="2258"/>
      <c r="Z11" s="1705"/>
      <c r="AA11" s="2258"/>
      <c r="AB11" s="2273"/>
      <c r="AC11" s="1709"/>
      <c r="AD11" s="2258"/>
      <c r="AE11" s="2258"/>
      <c r="AF11" s="1634"/>
      <c r="AG11" s="1634"/>
      <c r="AH11" s="1710"/>
      <c r="AI11" s="1417"/>
      <c r="AJ11" s="1695"/>
      <c r="BM11" s="414">
        <v>14</v>
      </c>
    </row>
    <row customHeight="1" ht="14.699999999999998">
      <c r="D12" s="2304"/>
      <c r="E12" s="2300"/>
      <c r="F12" s="2300"/>
      <c r="G12" s="2307"/>
      <c r="H12" s="1721"/>
      <c r="I12" s="2303"/>
      <c r="J12" s="2274"/>
      <c r="K12" s="1731"/>
      <c r="L12" s="2259"/>
      <c r="M12" s="2259"/>
      <c r="N12" s="1711"/>
      <c r="O12" s="2259"/>
      <c r="P12" s="2274"/>
      <c r="Q12" s="1712"/>
      <c r="R12" s="2259"/>
      <c r="S12" s="2259"/>
      <c r="T12" s="1713"/>
      <c r="U12" s="2259"/>
      <c r="V12" s="2274"/>
      <c r="W12" s="1714"/>
      <c r="X12" s="2259"/>
      <c r="Y12" s="2259"/>
      <c r="Z12" s="1711"/>
      <c r="AA12" s="2259"/>
      <c r="AB12" s="2274"/>
      <c r="AC12" s="1715"/>
      <c r="AD12" s="2259"/>
      <c r="AE12" s="2259"/>
      <c r="AF12" s="1716"/>
      <c r="AG12" s="1716"/>
      <c r="AH12" s="2298"/>
      <c r="AI12" s="2299"/>
      <c r="AJ12" s="1695"/>
      <c r="BM12" s="414">
        <v>14</v>
      </c>
    </row>
    <row customHeight="1" ht="14.699999999999998">
      <c r="D13" s="2304"/>
      <c r="E13" s="2300"/>
      <c r="F13" s="2300"/>
      <c r="G13" s="2307"/>
      <c r="H13" s="1721"/>
      <c r="I13" s="2303"/>
      <c r="J13" s="2274"/>
      <c r="K13" s="1731"/>
      <c r="L13" s="2259"/>
      <c r="M13" s="2259"/>
      <c r="N13" s="1711"/>
      <c r="O13" s="2259"/>
      <c r="P13" s="2274"/>
      <c r="Q13" s="1712"/>
      <c r="R13" s="2259"/>
      <c r="S13" s="2259"/>
      <c r="T13" s="1713"/>
      <c r="U13" s="2259"/>
      <c r="V13" s="2274"/>
      <c r="W13" s="1714"/>
      <c r="X13" s="2259"/>
      <c r="Y13" s="2259"/>
      <c r="Z13" s="1633"/>
      <c r="AA13" s="1716"/>
      <c r="AB13" s="2298"/>
      <c r="AC13" s="2298"/>
      <c r="AD13" s="2298"/>
      <c r="AE13" s="2298"/>
      <c r="AF13" s="2298"/>
      <c r="AG13" s="2298"/>
      <c r="AH13" s="2298"/>
      <c r="AI13" s="2299"/>
      <c r="AJ13" s="1695"/>
      <c r="BM13" s="414">
        <v>14</v>
      </c>
    </row>
    <row customHeight="1" ht="14.699999999999998">
      <c r="D14" s="2304"/>
      <c r="E14" s="2300"/>
      <c r="F14" s="2300"/>
      <c r="G14" s="2307"/>
      <c r="H14" s="1721"/>
      <c r="I14" s="2303"/>
      <c r="J14" s="2274"/>
      <c r="K14" s="1731"/>
      <c r="L14" s="2259"/>
      <c r="M14" s="2259"/>
      <c r="N14" s="1711"/>
      <c r="O14" s="2259"/>
      <c r="P14" s="2274"/>
      <c r="Q14" s="1712"/>
      <c r="R14" s="2259"/>
      <c r="S14" s="2259"/>
      <c r="T14" s="1717"/>
      <c r="U14" s="1718"/>
      <c r="V14" s="2298"/>
      <c r="W14" s="2298"/>
      <c r="X14" s="2298"/>
      <c r="Y14" s="2298"/>
      <c r="Z14" s="2298"/>
      <c r="AA14" s="2298"/>
      <c r="AB14" s="2298"/>
      <c r="AC14" s="2298"/>
      <c r="AD14" s="2298"/>
      <c r="AE14" s="2298"/>
      <c r="AF14" s="2298"/>
      <c r="AG14" s="2298"/>
      <c r="AH14" s="2298"/>
      <c r="AI14" s="2299"/>
      <c r="AJ14" s="1695"/>
      <c r="BM14" s="414">
        <v>14</v>
      </c>
    </row>
    <row customHeight="1" ht="11.549999999999999">
      <c r="D15" s="2304"/>
      <c r="E15" s="2300"/>
      <c r="F15" s="2300"/>
      <c r="G15" s="2307"/>
      <c r="H15" s="1722"/>
      <c r="I15" s="2303"/>
      <c r="J15" s="2274"/>
      <c r="K15" s="1731"/>
      <c r="L15" s="2259"/>
      <c r="M15" s="2259"/>
      <c r="N15" s="1716"/>
      <c r="O15" s="1716"/>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695"/>
      <c r="BM15" s="414">
        <v>11</v>
      </c>
    </row>
    <row s="6195" customFormat="1" customHeight="1" ht="11.549999999999999">
      <c r="D16" s="2310"/>
      <c r="E16" s="2311"/>
      <c r="F16" s="2301"/>
      <c r="G16" s="2233"/>
      <c r="H16" s="1719"/>
      <c r="I16" s="1723"/>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4" t="s">
        <v>103</v>
      </c>
      <c r="E17" s="2300" t="s">
        <v>317</v>
      </c>
      <c r="F17" s="2300" t="s">
        <v>319</v>
      </c>
      <c r="G17" s="2306" t="s">
        <v>19</v>
      </c>
      <c r="H17" s="1720"/>
      <c r="I17" s="2302"/>
      <c r="J17" s="2273"/>
      <c r="K17" s="1635"/>
      <c r="L17" s="2258"/>
      <c r="M17" s="2258"/>
      <c r="N17" s="1705"/>
      <c r="O17" s="2258"/>
      <c r="P17" s="2273"/>
      <c r="Q17" s="1706"/>
      <c r="R17" s="2258"/>
      <c r="S17" s="2258"/>
      <c r="T17" s="1707"/>
      <c r="U17" s="2258"/>
      <c r="V17" s="2273"/>
      <c r="W17" s="1708"/>
      <c r="X17" s="2258"/>
      <c r="Y17" s="2258"/>
      <c r="Z17" s="1705"/>
      <c r="AA17" s="2258"/>
      <c r="AB17" s="2273"/>
      <c r="AC17" s="1709"/>
      <c r="AD17" s="2258"/>
      <c r="AE17" s="2258"/>
      <c r="AF17" s="1634"/>
      <c r="AG17" s="1634"/>
      <c r="AH17" s="1710"/>
      <c r="AI17" s="1417"/>
      <c r="AJ17" s="1695"/>
      <c r="BM17" s="414">
        <v>14</v>
      </c>
    </row>
    <row customHeight="1" ht="14.699999999999998">
      <c r="D18" s="2304"/>
      <c r="E18" s="2300"/>
      <c r="F18" s="2300"/>
      <c r="G18" s="2307"/>
      <c r="H18" s="1721"/>
      <c r="I18" s="2303"/>
      <c r="J18" s="2274"/>
      <c r="K18" s="1704"/>
      <c r="L18" s="2259"/>
      <c r="M18" s="2259"/>
      <c r="N18" s="1711"/>
      <c r="O18" s="2259"/>
      <c r="P18" s="2274"/>
      <c r="Q18" s="1712"/>
      <c r="R18" s="2259"/>
      <c r="S18" s="2259"/>
      <c r="T18" s="1713"/>
      <c r="U18" s="2259"/>
      <c r="V18" s="2274"/>
      <c r="W18" s="1714"/>
      <c r="X18" s="2259"/>
      <c r="Y18" s="2259"/>
      <c r="Z18" s="1711"/>
      <c r="AA18" s="2259"/>
      <c r="AB18" s="2274"/>
      <c r="AC18" s="1715"/>
      <c r="AD18" s="2259"/>
      <c r="AE18" s="2259"/>
      <c r="AF18" s="1716"/>
      <c r="AG18" s="1716"/>
      <c r="AH18" s="2298"/>
      <c r="AI18" s="2299"/>
      <c r="AJ18" s="1695"/>
      <c r="BM18" s="414">
        <v>14</v>
      </c>
    </row>
    <row customHeight="1" ht="14.699999999999998">
      <c r="D19" s="2304"/>
      <c r="E19" s="2300"/>
      <c r="F19" s="2300"/>
      <c r="G19" s="2307"/>
      <c r="H19" s="1721"/>
      <c r="I19" s="2303"/>
      <c r="J19" s="2274"/>
      <c r="K19" s="1704"/>
      <c r="L19" s="2259"/>
      <c r="M19" s="2259"/>
      <c r="N19" s="1711"/>
      <c r="O19" s="2259"/>
      <c r="P19" s="2274"/>
      <c r="Q19" s="1712"/>
      <c r="R19" s="2259"/>
      <c r="S19" s="2259"/>
      <c r="T19" s="1713"/>
      <c r="U19" s="2259"/>
      <c r="V19" s="2274"/>
      <c r="W19" s="1714"/>
      <c r="X19" s="2259"/>
      <c r="Y19" s="2259"/>
      <c r="Z19" s="1633"/>
      <c r="AA19" s="1716"/>
      <c r="AB19" s="2298"/>
      <c r="AC19" s="2298"/>
      <c r="AD19" s="2298"/>
      <c r="AE19" s="2298"/>
      <c r="AF19" s="2298"/>
      <c r="AG19" s="2298"/>
      <c r="AH19" s="2298"/>
      <c r="AI19" s="2299"/>
      <c r="AJ19" s="1695"/>
      <c r="BM19" s="414">
        <v>14</v>
      </c>
    </row>
    <row customHeight="1" ht="14.699999999999998">
      <c r="D20" s="2304"/>
      <c r="E20" s="2300"/>
      <c r="F20" s="2300"/>
      <c r="G20" s="2307"/>
      <c r="H20" s="1721"/>
      <c r="I20" s="2303"/>
      <c r="J20" s="2274"/>
      <c r="K20" s="1704"/>
      <c r="L20" s="2259"/>
      <c r="M20" s="2259"/>
      <c r="N20" s="1711"/>
      <c r="O20" s="2259"/>
      <c r="P20" s="2274"/>
      <c r="Q20" s="1712"/>
      <c r="R20" s="2259"/>
      <c r="S20" s="2259"/>
      <c r="T20" s="1717"/>
      <c r="U20" s="1718"/>
      <c r="V20" s="2298"/>
      <c r="W20" s="2298"/>
      <c r="X20" s="2298"/>
      <c r="Y20" s="2298"/>
      <c r="Z20" s="2298"/>
      <c r="AA20" s="2298"/>
      <c r="AB20" s="2298"/>
      <c r="AC20" s="2298"/>
      <c r="AD20" s="2298"/>
      <c r="AE20" s="2298"/>
      <c r="AF20" s="2298"/>
      <c r="AG20" s="2298"/>
      <c r="AH20" s="2298"/>
      <c r="AI20" s="2299"/>
      <c r="AJ20" s="1695"/>
      <c r="BM20" s="414">
        <v>14</v>
      </c>
    </row>
    <row customHeight="1" ht="11.549999999999999">
      <c r="D21" s="2304"/>
      <c r="E21" s="2300"/>
      <c r="F21" s="2300"/>
      <c r="G21" s="2307"/>
      <c r="H21" s="1722"/>
      <c r="I21" s="2303"/>
      <c r="J21" s="2274"/>
      <c r="K21" s="1704"/>
      <c r="L21" s="2259"/>
      <c r="M21" s="2259"/>
      <c r="N21" s="1716"/>
      <c r="O21" s="1716"/>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695"/>
      <c r="BM21" s="414">
        <v>11</v>
      </c>
    </row>
    <row s="6195" customFormat="1" customHeight="1" ht="11.549999999999999">
      <c r="D22" s="2310"/>
      <c r="E22" s="2311"/>
      <c r="F22" s="2301"/>
      <c r="G22" s="2233"/>
      <c r="H22" s="1719"/>
      <c r="I22" s="1723"/>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4" t="s">
        <v>90</v>
      </c>
      <c r="E23" s="2300" t="s">
        <v>317</v>
      </c>
      <c r="F23" s="2300" t="s">
        <v>320</v>
      </c>
      <c r="G23" s="2306" t="s">
        <v>19</v>
      </c>
      <c r="H23" s="1720"/>
      <c r="I23" s="2302"/>
      <c r="J23" s="2273"/>
      <c r="K23" s="1635"/>
      <c r="L23" s="2258"/>
      <c r="M23" s="2258"/>
      <c r="N23" s="1705"/>
      <c r="O23" s="2258"/>
      <c r="P23" s="2273"/>
      <c r="Q23" s="1706"/>
      <c r="R23" s="2258"/>
      <c r="S23" s="2258"/>
      <c r="T23" s="1707"/>
      <c r="U23" s="2258"/>
      <c r="V23" s="2273"/>
      <c r="W23" s="1708"/>
      <c r="X23" s="2258"/>
      <c r="Y23" s="2258"/>
      <c r="Z23" s="1705"/>
      <c r="AA23" s="2258"/>
      <c r="AB23" s="2273"/>
      <c r="AC23" s="1709"/>
      <c r="AD23" s="2258"/>
      <c r="AE23" s="2258"/>
      <c r="AF23" s="1634"/>
      <c r="AG23" s="1634"/>
      <c r="AH23" s="1710"/>
      <c r="AI23" s="1417"/>
      <c r="AJ23" s="1695"/>
      <c r="AK23" s="427" t="s">
        <v>98</v>
      </c>
      <c r="BM23" s="414">
        <v>14</v>
      </c>
    </row>
    <row customHeight="1" ht="14.699999999999998">
      <c r="D24" s="2304"/>
      <c r="E24" s="2300"/>
      <c r="F24" s="2300"/>
      <c r="G24" s="2307"/>
      <c r="H24" s="1721"/>
      <c r="I24" s="2303"/>
      <c r="J24" s="2274"/>
      <c r="K24" s="1731"/>
      <c r="L24" s="2259"/>
      <c r="M24" s="2259"/>
      <c r="N24" s="1711"/>
      <c r="O24" s="2259"/>
      <c r="P24" s="2274"/>
      <c r="Q24" s="1712"/>
      <c r="R24" s="2259"/>
      <c r="S24" s="2259"/>
      <c r="T24" s="1713"/>
      <c r="U24" s="2259"/>
      <c r="V24" s="2274"/>
      <c r="W24" s="1714"/>
      <c r="X24" s="2259"/>
      <c r="Y24" s="2259"/>
      <c r="Z24" s="1711"/>
      <c r="AA24" s="2259"/>
      <c r="AB24" s="2274"/>
      <c r="AC24" s="1715"/>
      <c r="AD24" s="2259"/>
      <c r="AE24" s="2259"/>
      <c r="AF24" s="1716"/>
      <c r="AG24" s="1716"/>
      <c r="AH24" s="2298"/>
      <c r="AI24" s="2299"/>
      <c r="AJ24" s="1695"/>
      <c r="BM24" s="414">
        <v>14</v>
      </c>
    </row>
    <row customHeight="1" ht="14.699999999999998">
      <c r="D25" s="2304"/>
      <c r="E25" s="2300"/>
      <c r="F25" s="2300"/>
      <c r="G25" s="2307"/>
      <c r="H25" s="1721"/>
      <c r="I25" s="2303"/>
      <c r="J25" s="2274"/>
      <c r="K25" s="1731"/>
      <c r="L25" s="2259"/>
      <c r="M25" s="2259"/>
      <c r="N25" s="1711"/>
      <c r="O25" s="2259"/>
      <c r="P25" s="2274"/>
      <c r="Q25" s="1712"/>
      <c r="R25" s="2259"/>
      <c r="S25" s="2259"/>
      <c r="T25" s="1713"/>
      <c r="U25" s="2259"/>
      <c r="V25" s="2274"/>
      <c r="W25" s="1714"/>
      <c r="X25" s="2259"/>
      <c r="Y25" s="2259"/>
      <c r="Z25" s="1633"/>
      <c r="AA25" s="1716"/>
      <c r="AB25" s="2298"/>
      <c r="AC25" s="2298"/>
      <c r="AD25" s="2298"/>
      <c r="AE25" s="2298"/>
      <c r="AF25" s="2298"/>
      <c r="AG25" s="2298"/>
      <c r="AH25" s="2298"/>
      <c r="AI25" s="2299"/>
      <c r="AJ25" s="1695"/>
      <c r="BM25" s="414">
        <v>14</v>
      </c>
    </row>
    <row customHeight="1" ht="14.699999999999998">
      <c r="D26" s="2304"/>
      <c r="E26" s="2300"/>
      <c r="F26" s="2300"/>
      <c r="G26" s="2307"/>
      <c r="H26" s="1721"/>
      <c r="I26" s="2303"/>
      <c r="J26" s="2274"/>
      <c r="K26" s="1731"/>
      <c r="L26" s="2259"/>
      <c r="M26" s="2259"/>
      <c r="N26" s="1711"/>
      <c r="O26" s="2259"/>
      <c r="P26" s="2274"/>
      <c r="Q26" s="1712"/>
      <c r="R26" s="2259"/>
      <c r="S26" s="2259"/>
      <c r="T26" s="1717"/>
      <c r="U26" s="1718"/>
      <c r="V26" s="2298"/>
      <c r="W26" s="2298"/>
      <c r="X26" s="2298"/>
      <c r="Y26" s="2298"/>
      <c r="Z26" s="2298"/>
      <c r="AA26" s="2298"/>
      <c r="AB26" s="2298"/>
      <c r="AC26" s="2298"/>
      <c r="AD26" s="2298"/>
      <c r="AE26" s="2298"/>
      <c r="AF26" s="2298"/>
      <c r="AG26" s="2298"/>
      <c r="AH26" s="2298"/>
      <c r="AI26" s="2299"/>
      <c r="AJ26" s="1695"/>
      <c r="BM26" s="414">
        <v>14</v>
      </c>
    </row>
    <row customHeight="1" ht="11.549999999999999">
      <c r="D27" s="2304"/>
      <c r="E27" s="2300"/>
      <c r="F27" s="2300"/>
      <c r="G27" s="2307"/>
      <c r="H27" s="1722"/>
      <c r="I27" s="2303"/>
      <c r="J27" s="2274"/>
      <c r="K27" s="1731"/>
      <c r="L27" s="2259"/>
      <c r="M27" s="2259"/>
      <c r="N27" s="1716"/>
      <c r="O27" s="1716"/>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695"/>
      <c r="BM27" s="414">
        <v>11</v>
      </c>
    </row>
    <row s="6195" customFormat="1" customHeight="1" ht="11.549999999999999">
      <c r="D28" s="2310"/>
      <c r="E28" s="2311"/>
      <c r="F28" s="2301"/>
      <c r="G28" s="2233"/>
      <c r="H28" s="1719"/>
      <c r="I28" s="1723"/>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4" t="s">
        <v>91</v>
      </c>
      <c r="E29" s="2300" t="s">
        <v>317</v>
      </c>
      <c r="F29" s="2300" t="s">
        <v>321</v>
      </c>
      <c r="G29" s="2306" t="s">
        <v>19</v>
      </c>
      <c r="H29" s="1720"/>
      <c r="I29" s="2302"/>
      <c r="J29" s="2273"/>
      <c r="K29" s="1635"/>
      <c r="L29" s="2258"/>
      <c r="M29" s="2258"/>
      <c r="N29" s="1705"/>
      <c r="O29" s="2258"/>
      <c r="P29" s="2273"/>
      <c r="Q29" s="1706"/>
      <c r="R29" s="2258"/>
      <c r="S29" s="2258"/>
      <c r="T29" s="1707"/>
      <c r="U29" s="2258"/>
      <c r="V29" s="2273"/>
      <c r="W29" s="1708"/>
      <c r="X29" s="2258"/>
      <c r="Y29" s="2258"/>
      <c r="Z29" s="1705"/>
      <c r="AA29" s="2258"/>
      <c r="AB29" s="2273"/>
      <c r="AC29" s="1709"/>
      <c r="AD29" s="2258"/>
      <c r="AE29" s="2258"/>
      <c r="AF29" s="1634"/>
      <c r="AG29" s="1634"/>
      <c r="AH29" s="1710"/>
      <c r="AI29" s="1417"/>
      <c r="AJ29" s="1695"/>
      <c r="BM29" s="414">
        <v>14</v>
      </c>
    </row>
    <row customHeight="1" ht="14.699999999999998">
      <c r="D30" s="2304"/>
      <c r="E30" s="2300"/>
      <c r="F30" s="2300"/>
      <c r="G30" s="2307"/>
      <c r="H30" s="1721"/>
      <c r="I30" s="2303"/>
      <c r="J30" s="2274"/>
      <c r="K30" s="1704"/>
      <c r="L30" s="2259"/>
      <c r="M30" s="2259"/>
      <c r="N30" s="1711"/>
      <c r="O30" s="2259"/>
      <c r="P30" s="2274"/>
      <c r="Q30" s="1712"/>
      <c r="R30" s="2259"/>
      <c r="S30" s="2259"/>
      <c r="T30" s="1713"/>
      <c r="U30" s="2259"/>
      <c r="V30" s="2274"/>
      <c r="W30" s="1714"/>
      <c r="X30" s="2259"/>
      <c r="Y30" s="2259"/>
      <c r="Z30" s="1711"/>
      <c r="AA30" s="2259"/>
      <c r="AB30" s="2274"/>
      <c r="AC30" s="1715"/>
      <c r="AD30" s="2259"/>
      <c r="AE30" s="2259"/>
      <c r="AF30" s="1716"/>
      <c r="AG30" s="1716"/>
      <c r="AH30" s="2298"/>
      <c r="AI30" s="2299"/>
      <c r="AJ30" s="1695"/>
      <c r="BM30" s="414">
        <v>14</v>
      </c>
    </row>
    <row customHeight="1" ht="14.699999999999998">
      <c r="D31" s="2304"/>
      <c r="E31" s="2300"/>
      <c r="F31" s="2300"/>
      <c r="G31" s="2307"/>
      <c r="H31" s="1721"/>
      <c r="I31" s="2303"/>
      <c r="J31" s="2274"/>
      <c r="K31" s="1704"/>
      <c r="L31" s="2259"/>
      <c r="M31" s="2259"/>
      <c r="N31" s="1711"/>
      <c r="O31" s="2259"/>
      <c r="P31" s="2274"/>
      <c r="Q31" s="1712"/>
      <c r="R31" s="2259"/>
      <c r="S31" s="2259"/>
      <c r="T31" s="1713"/>
      <c r="U31" s="2259"/>
      <c r="V31" s="2274"/>
      <c r="W31" s="1714"/>
      <c r="X31" s="2259"/>
      <c r="Y31" s="2259"/>
      <c r="Z31" s="1633"/>
      <c r="AA31" s="1716"/>
      <c r="AB31" s="2298"/>
      <c r="AC31" s="2298"/>
      <c r="AD31" s="2298"/>
      <c r="AE31" s="2298"/>
      <c r="AF31" s="2298"/>
      <c r="AG31" s="2298"/>
      <c r="AH31" s="2298"/>
      <c r="AI31" s="2299"/>
      <c r="AJ31" s="1695"/>
      <c r="BM31" s="414">
        <v>14</v>
      </c>
    </row>
    <row customHeight="1" ht="14.699999999999998">
      <c r="D32" s="2304"/>
      <c r="E32" s="2300"/>
      <c r="F32" s="2300"/>
      <c r="G32" s="2307"/>
      <c r="H32" s="1721"/>
      <c r="I32" s="2303"/>
      <c r="J32" s="2274"/>
      <c r="K32" s="1704"/>
      <c r="L32" s="2259"/>
      <c r="M32" s="2259"/>
      <c r="N32" s="1711"/>
      <c r="O32" s="2259"/>
      <c r="P32" s="2274"/>
      <c r="Q32" s="1712"/>
      <c r="R32" s="2259"/>
      <c r="S32" s="2259"/>
      <c r="T32" s="1717"/>
      <c r="U32" s="1718"/>
      <c r="V32" s="2298"/>
      <c r="W32" s="2298"/>
      <c r="X32" s="2298"/>
      <c r="Y32" s="2298"/>
      <c r="Z32" s="2298"/>
      <c r="AA32" s="2298"/>
      <c r="AB32" s="2298"/>
      <c r="AC32" s="2298"/>
      <c r="AD32" s="2298"/>
      <c r="AE32" s="2298"/>
      <c r="AF32" s="2298"/>
      <c r="AG32" s="2298"/>
      <c r="AH32" s="2298"/>
      <c r="AI32" s="2299"/>
      <c r="AJ32" s="1695"/>
      <c r="BM32" s="414">
        <v>14</v>
      </c>
    </row>
    <row customHeight="1" ht="11.549999999999999">
      <c r="D33" s="2304"/>
      <c r="E33" s="2300"/>
      <c r="F33" s="2300"/>
      <c r="G33" s="2307"/>
      <c r="H33" s="1722"/>
      <c r="I33" s="2303"/>
      <c r="J33" s="2274"/>
      <c r="K33" s="1704"/>
      <c r="L33" s="2259"/>
      <c r="M33" s="2259"/>
      <c r="N33" s="1716"/>
      <c r="O33" s="1716"/>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695"/>
      <c r="BM33" s="414">
        <v>11</v>
      </c>
    </row>
    <row s="6195" customFormat="1" customHeight="1" ht="11.549999999999999">
      <c r="D34" s="2310"/>
      <c r="E34" s="2311"/>
      <c r="F34" s="2301"/>
      <c r="G34" s="2233"/>
      <c r="H34" s="1719"/>
      <c r="I34" s="1723"/>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4" t="s">
        <v>124</v>
      </c>
      <c r="E35" s="2300" t="s">
        <v>317</v>
      </c>
      <c r="F35" s="2300" t="s">
        <v>322</v>
      </c>
      <c r="G35" s="2306" t="s">
        <v>19</v>
      </c>
      <c r="H35" s="1720"/>
      <c r="I35" s="2302"/>
      <c r="J35" s="2273"/>
      <c r="K35" s="1635"/>
      <c r="L35" s="2258"/>
      <c r="M35" s="2258"/>
      <c r="N35" s="1705"/>
      <c r="O35" s="2258"/>
      <c r="P35" s="2273"/>
      <c r="Q35" s="1706"/>
      <c r="R35" s="2258"/>
      <c r="S35" s="2258"/>
      <c r="T35" s="1707"/>
      <c r="U35" s="2258"/>
      <c r="V35" s="2273"/>
      <c r="W35" s="1708"/>
      <c r="X35" s="2258"/>
      <c r="Y35" s="2258"/>
      <c r="Z35" s="1705"/>
      <c r="AA35" s="2258"/>
      <c r="AB35" s="2273"/>
      <c r="AC35" s="1709"/>
      <c r="AD35" s="2258"/>
      <c r="AE35" s="2258"/>
      <c r="AF35" s="1634"/>
      <c r="AG35" s="1634"/>
      <c r="AH35" s="1710"/>
      <c r="AI35" s="1417"/>
      <c r="AJ35" s="1695"/>
      <c r="BM35" s="414">
        <v>14</v>
      </c>
    </row>
    <row customHeight="1" ht="14.699999999999998">
      <c r="D36" s="2304"/>
      <c r="E36" s="2300"/>
      <c r="F36" s="2300"/>
      <c r="G36" s="2307"/>
      <c r="H36" s="1721"/>
      <c r="I36" s="2303"/>
      <c r="J36" s="2274"/>
      <c r="K36" s="1704"/>
      <c r="L36" s="2259"/>
      <c r="M36" s="2259"/>
      <c r="N36" s="1711"/>
      <c r="O36" s="2259"/>
      <c r="P36" s="2274"/>
      <c r="Q36" s="1712"/>
      <c r="R36" s="2259"/>
      <c r="S36" s="2259"/>
      <c r="T36" s="1713"/>
      <c r="U36" s="2259"/>
      <c r="V36" s="2274"/>
      <c r="W36" s="1714"/>
      <c r="X36" s="2259"/>
      <c r="Y36" s="2259"/>
      <c r="Z36" s="1711"/>
      <c r="AA36" s="2259"/>
      <c r="AB36" s="2274"/>
      <c r="AC36" s="1715"/>
      <c r="AD36" s="2259"/>
      <c r="AE36" s="2259"/>
      <c r="AF36" s="1716"/>
      <c r="AG36" s="1716"/>
      <c r="AH36" s="2298"/>
      <c r="AI36" s="2299"/>
      <c r="AJ36" s="1695"/>
      <c r="BM36" s="414">
        <v>14</v>
      </c>
    </row>
    <row customHeight="1" ht="14.699999999999998">
      <c r="D37" s="2304"/>
      <c r="E37" s="2300"/>
      <c r="F37" s="2300"/>
      <c r="G37" s="2307"/>
      <c r="H37" s="1721"/>
      <c r="I37" s="2303"/>
      <c r="J37" s="2274"/>
      <c r="K37" s="1704"/>
      <c r="L37" s="2259"/>
      <c r="M37" s="2259"/>
      <c r="N37" s="1711"/>
      <c r="O37" s="2259"/>
      <c r="P37" s="2274"/>
      <c r="Q37" s="1712"/>
      <c r="R37" s="2259"/>
      <c r="S37" s="2259"/>
      <c r="T37" s="1713"/>
      <c r="U37" s="2259"/>
      <c r="V37" s="2274"/>
      <c r="W37" s="1714"/>
      <c r="X37" s="2259"/>
      <c r="Y37" s="2259"/>
      <c r="Z37" s="1633"/>
      <c r="AA37" s="1716"/>
      <c r="AB37" s="2298"/>
      <c r="AC37" s="2298"/>
      <c r="AD37" s="2298"/>
      <c r="AE37" s="2298"/>
      <c r="AF37" s="2298"/>
      <c r="AG37" s="2298"/>
      <c r="AH37" s="2298"/>
      <c r="AI37" s="2299"/>
      <c r="AJ37" s="1695"/>
      <c r="BM37" s="414">
        <v>14</v>
      </c>
    </row>
    <row customHeight="1" ht="14.699999999999998">
      <c r="D38" s="2304"/>
      <c r="E38" s="2300"/>
      <c r="F38" s="2300"/>
      <c r="G38" s="2307"/>
      <c r="H38" s="1721"/>
      <c r="I38" s="2303"/>
      <c r="J38" s="2274"/>
      <c r="K38" s="1704"/>
      <c r="L38" s="2259"/>
      <c r="M38" s="2259"/>
      <c r="N38" s="1711"/>
      <c r="O38" s="2259"/>
      <c r="P38" s="2274"/>
      <c r="Q38" s="1712"/>
      <c r="R38" s="2259"/>
      <c r="S38" s="2259"/>
      <c r="T38" s="1717"/>
      <c r="U38" s="1718"/>
      <c r="V38" s="2298"/>
      <c r="W38" s="2298"/>
      <c r="X38" s="2298"/>
      <c r="Y38" s="2298"/>
      <c r="Z38" s="2298"/>
      <c r="AA38" s="2298"/>
      <c r="AB38" s="2298"/>
      <c r="AC38" s="2298"/>
      <c r="AD38" s="2298"/>
      <c r="AE38" s="2298"/>
      <c r="AF38" s="2298"/>
      <c r="AG38" s="2298"/>
      <c r="AH38" s="2298"/>
      <c r="AI38" s="2299"/>
      <c r="AJ38" s="1695"/>
      <c r="BM38" s="414">
        <v>14</v>
      </c>
    </row>
    <row customHeight="1" ht="11.549999999999999">
      <c r="D39" s="2304"/>
      <c r="E39" s="2300"/>
      <c r="F39" s="2300"/>
      <c r="G39" s="2307"/>
      <c r="H39" s="1722"/>
      <c r="I39" s="2303"/>
      <c r="J39" s="2274"/>
      <c r="K39" s="1704"/>
      <c r="L39" s="2259"/>
      <c r="M39" s="2259"/>
      <c r="N39" s="1716"/>
      <c r="O39" s="1716"/>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695"/>
      <c r="BM39" s="414">
        <v>11</v>
      </c>
    </row>
    <row s="6195" customFormat="1" customHeight="1" ht="11.549999999999999">
      <c r="D40" s="2304"/>
      <c r="E40" s="2300"/>
      <c r="F40" s="2305"/>
      <c r="G40" s="2233"/>
      <c r="H40" s="1719"/>
      <c r="I40" s="1723"/>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82</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824C6-1DEF-08DE-01EC-0.E452AB0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031" width="15.00390625" hidden="1" customWidth="1"/>
    <col min="2" max="2" style="6306" width="15.00390625" hidden="1" customWidth="1"/>
    <col min="3" max="3" style="6350" width="3.00390625" customWidth="1"/>
    <col min="4" max="4" style="6351" width="6.00390625" customWidth="1"/>
    <col min="5" max="5" style="6350" width="52.00390625" customWidth="1"/>
    <col min="6" max="6" style="6350" width="48.00390625" customWidth="1"/>
    <col min="7" max="7" style="6350" width="121.00390625" customWidth="1"/>
    <col min="8" max="8" style="6350" width="8.00390625" customWidth="1"/>
    <col min="9" max="9" style="6350" width="64.00390625" customWidth="1"/>
    <col min="10" max="10" style="6350" width="9.140625" hidden="1"/>
  </cols>
  <sheetData>
    <row customHeight="1" ht="11.25" hidden="1">
      <c r="A1" s="1807" t="s">
        <v>323</v>
      </c>
      <c r="J1" s="576" t="s">
        <v>14</v>
      </c>
    </row>
    <row customHeight="1" ht="11.25" hidden="1">
      <c r="J2" s="576">
        <v>0</v>
      </c>
    </row>
    <row s="6268" customFormat="1" customHeight="1" ht="11.549999999999999">
      <c r="A3" s="1807"/>
      <c r="B3" s="622"/>
      <c r="D3" s="599"/>
      <c r="J3" s="598">
        <v>11</v>
      </c>
    </row>
    <row customHeight="1" ht="27.299999999999997">
      <c r="D4" s="22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9"/>
      <c r="F4" s="2280"/>
      <c r="I4" s="836"/>
      <c r="J4" s="576">
        <v>26</v>
      </c>
    </row>
    <row customHeight="1" ht="18">
      <c r="D5" s="2297" t="str">
        <f>IF(org=0,"Не определено",org)</f>
        <v>ПАО "ТГК-1" филиал "Невский"</v>
      </c>
      <c r="E5" s="2297"/>
      <c r="F5" s="2297"/>
      <c r="I5" s="836"/>
      <c r="J5" s="576">
        <v>17</v>
      </c>
    </row>
    <row s="6268"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324</v>
      </c>
      <c r="E8" s="2326"/>
      <c r="F8" s="2326"/>
      <c r="G8" s="2329" t="s">
        <v>325</v>
      </c>
      <c r="J8" s="576">
        <v>11</v>
      </c>
    </row>
    <row customHeight="1" ht="11.549999999999999">
      <c r="A9" s="578"/>
      <c r="B9" s="623"/>
      <c r="C9" s="578"/>
      <c r="D9" s="593" t="s">
        <v>88</v>
      </c>
      <c r="E9" s="567" t="s">
        <v>326</v>
      </c>
      <c r="F9" s="567" t="s">
        <v>327</v>
      </c>
      <c r="G9" s="2330"/>
      <c r="J9" s="576">
        <v>11</v>
      </c>
    </row>
    <row customHeight="1" ht="12" hidden="1">
      <c r="A10" s="578"/>
      <c r="B10" s="623"/>
      <c r="C10" s="578"/>
      <c r="D10" s="585"/>
      <c r="E10" s="585"/>
      <c r="F10" s="585"/>
      <c r="G10" s="585"/>
      <c r="J10" s="576">
        <v>0</v>
      </c>
    </row>
    <row customHeight="1" ht="22.5" hidden="1">
      <c r="A11" s="578"/>
      <c r="B11" s="623"/>
      <c r="C11" s="578"/>
      <c r="D11" s="1130" t="s">
        <v>123</v>
      </c>
      <c r="E11" s="1133" t="s">
        <v>328</v>
      </c>
      <c r="F11" s="1132" t="str">
        <f>IF(region_name="","",region_name)</f>
        <v>Ленинградская область</v>
      </c>
      <c r="G11" s="1133" t="s">
        <v>329</v>
      </c>
      <c r="H11" s="596"/>
      <c r="J11" s="576">
        <v>0</v>
      </c>
    </row>
    <row customHeight="1" ht="22.5" hidden="1">
      <c r="A12" s="578"/>
      <c r="B12" s="623"/>
      <c r="C12" s="578"/>
      <c r="D12" s="566" t="s">
        <v>123</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4" t="s">
        <v>330</v>
      </c>
      <c r="G12" s="595"/>
      <c r="H12" s="596"/>
      <c r="J12" s="576">
        <v>0</v>
      </c>
    </row>
    <row customHeight="1" ht="23.25">
      <c r="A13" s="578"/>
      <c r="B13" s="623"/>
      <c r="C13" s="578"/>
      <c r="D13" s="566" t="s">
        <v>123</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6"/>
      <c r="J13" s="576">
        <v>22</v>
      </c>
    </row>
    <row customHeight="1" ht="22.5" hidden="1">
      <c r="A14" s="578"/>
      <c r="B14" s="623"/>
      <c r="C14" s="578"/>
      <c r="D14" s="1130" t="s">
        <v>331</v>
      </c>
      <c r="E14" s="1131" t="s">
        <v>332</v>
      </c>
      <c r="F14" s="1132" t="str">
        <f>IF(inn="","",inn)</f>
        <v>7841312071</v>
      </c>
      <c r="G14" s="1133" t="s">
        <v>333</v>
      </c>
      <c r="H14" s="596"/>
      <c r="J14" s="576">
        <v>0</v>
      </c>
    </row>
    <row customHeight="1" ht="22.5" hidden="1">
      <c r="A15" s="578"/>
      <c r="B15" s="623"/>
      <c r="C15" s="578"/>
      <c r="D15" s="1130" t="s">
        <v>334</v>
      </c>
      <c r="E15" s="1131" t="s">
        <v>335</v>
      </c>
      <c r="F15" s="1132" t="str">
        <f>IF(kpp="","",kpp)</f>
        <v>781301001</v>
      </c>
      <c r="G15" s="1133" t="s">
        <v>336</v>
      </c>
      <c r="H15" s="596"/>
      <c r="J15" s="576">
        <v>0</v>
      </c>
    </row>
    <row customHeight="1" ht="39">
      <c r="A16" s="578"/>
      <c r="B16" s="623"/>
      <c r="C16" s="578"/>
      <c r="D16" s="566" t="s">
        <v>103</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90</v>
      </c>
      <c r="E17" s="563" t="str">
        <f>"Дата присвоения ОГРН"&amp;IF(TEMPLATE_SPHERE="TKO",""," (ОГРНИП)")</f>
        <v>Дата присвоения ОГРН (ОГРНИП)</v>
      </c>
      <c r="F17" s="1853" t="s">
        <v>28</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91</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337</v>
      </c>
      <c r="B19" s="623"/>
      <c r="C19" s="2334"/>
      <c r="D19" s="566" t="str">
        <f>A19</f>
        <v>5.1</v>
      </c>
      <c r="E19" s="563" t="s">
        <v>338</v>
      </c>
      <c r="F19" s="564" t="s">
        <v>330</v>
      </c>
      <c r="G19" s="565" t="s">
        <v>339</v>
      </c>
      <c r="H19" s="596"/>
      <c r="I19" s="973"/>
      <c r="J19" s="576">
        <v>0</v>
      </c>
    </row>
    <row customHeight="1" ht="24" hidden="1">
      <c r="A20" s="2323"/>
      <c r="B20" s="623"/>
      <c r="C20" s="2334"/>
      <c r="D20" s="561" t="str">
        <f>D19&amp;".1"</f>
        <v>5.1.1</v>
      </c>
      <c r="E20" s="560" t="s">
        <v>340</v>
      </c>
      <c r="F20" s="1002" t="s">
        <v>28</v>
      </c>
      <c r="G20" s="595"/>
      <c r="H20" s="596"/>
      <c r="I20" s="973"/>
      <c r="J20" s="576">
        <v>0</v>
      </c>
    </row>
    <row customHeight="1" ht="22.5" hidden="1">
      <c r="A21" s="2323"/>
      <c r="B21" s="623"/>
      <c r="C21" s="2334"/>
      <c r="D21" s="561" t="str">
        <f>D19&amp;".2"</f>
        <v>5.1.2</v>
      </c>
      <c r="E21" s="560" t="s">
        <v>341</v>
      </c>
      <c r="F21" s="1854" t="s">
        <v>28</v>
      </c>
      <c r="G21" s="565" t="s">
        <v>342</v>
      </c>
      <c r="H21" s="596"/>
      <c r="I21" s="973"/>
      <c r="J21" s="576">
        <v>0</v>
      </c>
    </row>
    <row customHeight="1" ht="22.5" hidden="1">
      <c r="A22" s="2323"/>
      <c r="B22" s="623"/>
      <c r="C22" s="2334"/>
      <c r="D22" s="561" t="str">
        <f>D19&amp;".3"</f>
        <v>5.1.3</v>
      </c>
      <c r="E22" s="560" t="s">
        <v>343</v>
      </c>
      <c r="F22" s="1002" t="s">
        <v>28</v>
      </c>
      <c r="G22" s="595"/>
      <c r="H22" s="596"/>
      <c r="I22" s="973"/>
      <c r="J22" s="576">
        <v>0</v>
      </c>
    </row>
    <row customHeight="1" ht="22.5" hidden="1">
      <c r="A23" s="2323"/>
      <c r="B23" s="623"/>
      <c r="C23" s="2334"/>
      <c r="D23" s="561" t="str">
        <f>D19&amp;".4"</f>
        <v>5.1.4</v>
      </c>
      <c r="E23" s="560" t="s">
        <v>344</v>
      </c>
      <c r="F23" s="1002" t="s">
        <v>28</v>
      </c>
      <c r="G23" s="565" t="s">
        <v>345</v>
      </c>
      <c r="H23" s="596"/>
      <c r="I23" s="973"/>
      <c r="J23" s="576">
        <v>0</v>
      </c>
    </row>
    <row customHeight="1" ht="22.5" hidden="1">
      <c r="A24" s="2099"/>
      <c r="B24" s="623"/>
      <c r="C24" s="613"/>
      <c r="D24" s="588"/>
      <c r="E24" s="1289" t="s">
        <v>346</v>
      </c>
      <c r="F24" s="589"/>
      <c r="G24" s="590"/>
      <c r="H24" s="596"/>
      <c r="I24" s="973"/>
      <c r="J24" s="576">
        <v>0</v>
      </c>
    </row>
    <row s="6306" customFormat="1" customHeight="1" ht="24.75" hidden="1">
      <c r="A25" s="578"/>
      <c r="B25" s="623"/>
      <c r="C25" s="623"/>
      <c r="D25" s="1127" t="s">
        <v>90</v>
      </c>
      <c r="E25" s="1129" t="s">
        <v>347</v>
      </c>
      <c r="F25" s="1134" t="s">
        <v>330</v>
      </c>
      <c r="G25" s="1129"/>
      <c r="J25" s="622">
        <v>0</v>
      </c>
    </row>
    <row s="6306" customFormat="1" customHeight="1" ht="11.25" hidden="1">
      <c r="A26" s="578"/>
      <c r="B26" s="623"/>
      <c r="C26" s="623"/>
      <c r="D26" s="1127" t="s">
        <v>348</v>
      </c>
      <c r="E26" s="1128" t="s">
        <v>349</v>
      </c>
      <c r="F26" s="1134" t="s">
        <v>330</v>
      </c>
      <c r="G26" s="1129"/>
      <c r="J26" s="622">
        <v>0</v>
      </c>
    </row>
    <row s="6306" customFormat="1" customHeight="1" ht="11.25" hidden="1">
      <c r="A27" s="578"/>
      <c r="B27" s="623"/>
      <c r="C27" s="623"/>
      <c r="D27" s="1127" t="s">
        <v>350</v>
      </c>
      <c r="E27" s="1135" t="s">
        <v>351</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2">
        <v>0</v>
      </c>
    </row>
    <row s="6306" customFormat="1" customHeight="1" ht="11.25" hidden="1">
      <c r="A28" s="578"/>
      <c r="B28" s="623"/>
      <c r="C28" s="623"/>
      <c r="D28" s="1127" t="s">
        <v>352</v>
      </c>
      <c r="E28" s="1135" t="s">
        <v>353</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2">
        <v>0</v>
      </c>
    </row>
    <row s="6306" customFormat="1" customHeight="1" ht="11.25" hidden="1">
      <c r="A29" s="578"/>
      <c r="B29" s="623"/>
      <c r="C29" s="623"/>
      <c r="D29" s="1127" t="s">
        <v>354</v>
      </c>
      <c r="E29" s="1135" t="s">
        <v>355</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2">
        <v>0</v>
      </c>
    </row>
    <row s="6306" customFormat="1" customHeight="1" ht="11.25" hidden="1">
      <c r="A30" s="578"/>
      <c r="B30" s="623"/>
      <c r="C30" s="623"/>
      <c r="D30" s="1127" t="s">
        <v>356</v>
      </c>
      <c r="E30" s="1128" t="s">
        <v>357</v>
      </c>
      <c r="F30" s="1136"/>
      <c r="G30" s="1129"/>
      <c r="J30" s="622">
        <v>0</v>
      </c>
    </row>
    <row s="6306" customFormat="1" customHeight="1" ht="11.25" hidden="1">
      <c r="A31" s="578"/>
      <c r="B31" s="623"/>
      <c r="C31" s="623"/>
      <c r="D31" s="1127" t="s">
        <v>358</v>
      </c>
      <c r="E31" s="1128" t="s">
        <v>359</v>
      </c>
      <c r="F31" s="1136"/>
      <c r="G31" s="1129"/>
      <c r="J31" s="622">
        <v>0</v>
      </c>
    </row>
    <row s="6306" customFormat="1" customHeight="1" ht="11.25" hidden="1">
      <c r="A32" s="578"/>
      <c r="B32" s="623"/>
      <c r="C32" s="623"/>
      <c r="D32" s="1127" t="s">
        <v>360</v>
      </c>
      <c r="E32" s="1128" t="s">
        <v>361</v>
      </c>
      <c r="F32" s="1137"/>
      <c r="G32" s="1129"/>
      <c r="J32" s="622">
        <v>0</v>
      </c>
    </row>
    <row customHeight="1" ht="24">
      <c r="A33" s="578" t="str">
        <f>IF(TEMPLATE_SPHERE="HEAT","6","5")</f>
        <v>6</v>
      </c>
      <c r="B33" s="623"/>
      <c r="C33" s="578"/>
      <c r="D33" s="561" t="str">
        <f>A33</f>
        <v>6</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4" t="s">
        <v>330</v>
      </c>
      <c r="G33" s="595"/>
      <c r="H33" s="596"/>
      <c r="J33" s="576">
        <v>23</v>
      </c>
    </row>
    <row customHeight="1" ht="23.25">
      <c r="A34" s="578"/>
      <c r="B34" s="623"/>
      <c r="C34" s="578"/>
      <c r="D34" s="561" t="str">
        <f>D33&amp;".1"</f>
        <v>6.1</v>
      </c>
      <c r="E34" s="563" t="str">
        <f>"фамилия"&amp;IF(TEMPLATE_SPHERE&lt;&gt;"HEAT"," руководителя","")</f>
        <v>фамилия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6"/>
      <c r="J34" s="576">
        <v>22</v>
      </c>
    </row>
    <row customHeight="1" ht="23.25">
      <c r="A35" s="578"/>
      <c r="B35" s="623"/>
      <c r="C35" s="578"/>
      <c r="D35" s="561" t="str">
        <f>D33&amp;".2"</f>
        <v>6.2</v>
      </c>
      <c r="E35" s="563" t="str">
        <f>"имя"&amp;IF(TEMPLATE_SPHERE&lt;&gt;"HEAT"," руководителя","")</f>
        <v>имя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6"/>
      <c r="J35" s="576">
        <v>22</v>
      </c>
    </row>
    <row customHeight="1" ht="24">
      <c r="A36" s="578"/>
      <c r="B36" s="623"/>
      <c r="C36" s="578"/>
      <c r="D36" s="561" t="str">
        <f>D33&amp;".3"</f>
        <v>6.3</v>
      </c>
      <c r="E36" s="563" t="str">
        <f>"отчество"&amp;IF(TEMPLATE_SPHERE&lt;&gt;"HEAT"," руководителя","")</f>
        <v>отчество</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6"/>
      <c r="J36" s="576">
        <v>23</v>
      </c>
    </row>
    <row customHeight="1" ht="35.699999999999996">
      <c r="A37" s="578"/>
      <c r="B37" s="623"/>
      <c r="C37" s="578"/>
      <c r="D37" s="561">
        <f>D33+1</f>
        <v>7</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2"/>
      <c r="G37" s="565" t="s">
        <v>362</v>
      </c>
      <c r="H37" s="596"/>
      <c r="J37" s="576">
        <v>34</v>
      </c>
    </row>
    <row customHeight="1" ht="35.699999999999996">
      <c r="A38" s="578"/>
      <c r="B38" s="623"/>
      <c r="C38" s="578"/>
      <c r="D38" s="561">
        <f>D37+1</f>
        <v>8</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2"/>
      <c r="G38" s="565" t="s">
        <v>362</v>
      </c>
      <c r="H38" s="596"/>
      <c r="J38" s="576">
        <v>34</v>
      </c>
    </row>
    <row customHeight="1" ht="23.25">
      <c r="A39" s="578"/>
      <c r="B39" s="623"/>
      <c r="C39" s="578"/>
      <c r="D39" s="561">
        <f>D38+1</f>
        <v>9</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4" t="s">
        <v>330</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9.0</v>
      </c>
      <c r="E40" s="1726"/>
      <c r="F40" s="1002"/>
      <c r="G40" s="2332"/>
      <c r="H40" s="596"/>
      <c r="J40" s="576">
        <v>0</v>
      </c>
    </row>
    <row customHeight="1" ht="23.25">
      <c r="A41" s="578"/>
      <c r="B41" s="578"/>
      <c r="C41" s="1809"/>
      <c r="D41" s="561" t="str">
        <f>D39&amp;".1"</f>
        <v>9.1</v>
      </c>
      <c r="E41" s="981"/>
      <c r="F41" s="982"/>
      <c r="G41" s="2332"/>
      <c r="H41" s="596"/>
      <c r="J41" s="576">
        <v>22</v>
      </c>
    </row>
    <row customHeight="1" ht="15.75">
      <c r="A42" s="578"/>
      <c r="B42" s="623"/>
      <c r="C42" s="578"/>
      <c r="D42" s="588"/>
      <c r="E42" s="536" t="s">
        <v>363</v>
      </c>
      <c r="F42" s="590"/>
      <c r="G42" s="2333"/>
      <c r="H42" s="597"/>
      <c r="J42" s="576">
        <v>15</v>
      </c>
    </row>
    <row customHeight="1" ht="27.299999999999997">
      <c r="A43" s="578"/>
      <c r="B43" s="623"/>
      <c r="C43" s="578"/>
      <c r="D43" s="561">
        <f>D39+1</f>
        <v>10</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11</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9"/>
      <c r="G44" s="595" t="s">
        <v>364</v>
      </c>
      <c r="H44" s="596"/>
      <c r="J44" s="576">
        <v>22</v>
      </c>
    </row>
    <row customHeight="1" ht="23.25">
      <c r="A45" s="578"/>
      <c r="B45" s="623"/>
      <c r="C45" s="578"/>
      <c r="D45" s="561">
        <f>D44+1</f>
        <v>12</v>
      </c>
      <c r="E45" s="559" t="s">
        <v>365</v>
      </c>
      <c r="F45" s="564" t="s">
        <v>330</v>
      </c>
      <c r="G45" s="558" t="str">
        <f>IF(TEMPLATE_SPHERE="TKO","Указывается режим работы организации.","")</f>
        <v/>
      </c>
      <c r="H45" s="596"/>
      <c r="J45" s="576">
        <v>22</v>
      </c>
    </row>
    <row customHeight="1" ht="24">
      <c r="A46" s="578"/>
      <c r="B46" s="623"/>
      <c r="C46" s="578"/>
      <c r="D46" s="561" t="str">
        <f>D45&amp;".1"</f>
        <v>12.1</v>
      </c>
      <c r="E46" s="563" t="str">
        <f>"режим работы регулируемой организации"&amp;IF(TEMPLATE_SPHERE="HEAT",", ЕТО, ТО","")</f>
        <v>режим работы регулируемой организации, ЕТО, ТО</v>
      </c>
      <c r="F46" s="1805"/>
      <c r="G46" s="558" t="s">
        <v>366</v>
      </c>
      <c r="H46" s="596"/>
      <c r="J46" s="576">
        <v>23</v>
      </c>
    </row>
    <row customHeight="1" ht="24">
      <c r="A47" s="2323"/>
      <c r="B47" s="623"/>
      <c r="C47" s="613"/>
      <c r="D47" s="561" t="str">
        <f>D45&amp;".2"</f>
        <v>12.2</v>
      </c>
      <c r="E47" s="563" t="s">
        <v>367</v>
      </c>
      <c r="F47" s="611"/>
      <c r="G47" s="558" t="s">
        <v>368</v>
      </c>
      <c r="H47" s="596"/>
      <c r="J47" s="576">
        <v>23</v>
      </c>
    </row>
    <row customHeight="1" ht="24">
      <c r="A48" s="2323"/>
      <c r="B48" s="623"/>
      <c r="C48" s="613"/>
      <c r="D48" s="561" t="str">
        <f>D45&amp;".3"</f>
        <v>12.3</v>
      </c>
      <c r="E48" s="563" t="s">
        <v>369</v>
      </c>
      <c r="F48" s="611"/>
      <c r="G48" s="558" t="s">
        <v>370</v>
      </c>
      <c r="H48" s="596"/>
      <c r="J48" s="576">
        <v>23</v>
      </c>
    </row>
    <row customHeight="1" ht="24">
      <c r="A49" s="2323"/>
      <c r="B49" s="623"/>
      <c r="C49" s="613"/>
      <c r="D49" s="561" t="str">
        <f>IF(TEMPLATE_SPHERE="TKO",D45&amp;".0",D45&amp;".4")</f>
        <v>12.4</v>
      </c>
      <c r="E49" s="557" t="s">
        <v>371</v>
      </c>
      <c r="F49" s="1806"/>
      <c r="G49" s="1883" t="s">
        <v>372</v>
      </c>
      <c r="H49" s="596"/>
      <c r="J49" s="576">
        <v>23</v>
      </c>
    </row>
    <row customHeight="1" ht="24">
      <c r="A50" s="578"/>
      <c r="B50" s="623"/>
      <c r="C50" s="578"/>
      <c r="D50" s="588"/>
      <c r="E50" s="536" t="s">
        <v>373</v>
      </c>
      <c r="F50" s="589"/>
      <c r="G50" s="1883" t="s">
        <v>374</v>
      </c>
      <c r="H50" s="597"/>
      <c r="J50" s="576">
        <v>23</v>
      </c>
    </row>
    <row customHeight="1" ht="24">
      <c r="A51" s="979"/>
      <c r="B51" s="623"/>
      <c r="C51" s="613"/>
      <c r="D51" s="561">
        <f>D45+1</f>
        <v>13</v>
      </c>
      <c r="E51" s="649" t="s">
        <v>375</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6"/>
      <c r="J51" s="576">
        <v>23</v>
      </c>
    </row>
    <row customHeight="1" ht="11.549999999999999">
      <c r="A52" s="578"/>
      <c r="B52" s="623"/>
      <c r="C52" s="578"/>
      <c r="J52" s="576">
        <v>11</v>
      </c>
    </row>
    <row s="6341"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7"/>
      <c r="F53" s="2327"/>
      <c r="G53" s="2327"/>
      <c r="H53" s="575"/>
      <c r="I53" s="575"/>
      <c r="J53" s="581">
        <v>30</v>
      </c>
    </row>
    <row s="6341" customFormat="1" customHeight="1" ht="42">
      <c r="A54" s="578"/>
      <c r="B54" s="623"/>
      <c r="C54" s="2324"/>
      <c r="D54" s="23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82</v>
      </c>
      <c r="B60" s="622">
        <v>0</v>
      </c>
      <c r="C60" s="576">
        <v>3</v>
      </c>
      <c r="D60" s="577">
        <v>6</v>
      </c>
      <c r="E60" s="576">
        <v>52</v>
      </c>
      <c r="F60" s="576">
        <v>48</v>
      </c>
      <c r="G60" s="576">
        <v>121</v>
      </c>
      <c r="H60" s="576">
        <v>8</v>
      </c>
      <c r="I60" s="576">
        <v>64</v>
      </c>
      <c r="J60" s="57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10626-4681-8806-9907-0.8E84676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08" width="9.140625" hidden="1" customWidth="1"/>
    <col min="2" max="2" style="7720" width="9.140625" hidden="1" customWidth="1"/>
    <col min="3" max="3" style="7936" width="3.00390625" customWidth="1"/>
    <col min="4" max="4" style="7720" width="5.00390625" customWidth="1"/>
    <col min="5" max="5" style="7720" width="48.00390625" customWidth="1"/>
    <col min="6" max="6" style="7720" width="38.00390625" customWidth="1"/>
    <col min="7" max="7" style="7720" width="1.7109375" hidden="1" customWidth="1"/>
    <col min="8" max="11" style="7720" width="19.8515625" customWidth="1"/>
    <col min="12" max="12" style="7720" width="9.7109375" customWidth="1"/>
    <col min="13" max="18" style="7720" width="19.8515625" customWidth="1"/>
    <col min="19" max="19" style="7720" width="1.7109375" hidden="1" customWidth="1"/>
    <col min="20" max="22" style="7720" width="19.8515625" hidden="1" customWidth="1"/>
    <col min="23" max="23" style="7720" width="1.7109375" hidden="1" customWidth="1"/>
    <col min="24" max="26" style="7720" width="19.8515625" hidden="1" customWidth="1"/>
    <col min="27" max="27" style="7720" width="1.7109375" hidden="1" customWidth="1"/>
    <col min="28" max="29" style="7720" width="19.8515625" hidden="1" customWidth="1"/>
    <col min="30" max="30" style="7720" width="1.7109375" hidden="1" customWidth="1"/>
    <col min="31" max="31" style="7720" width="103.7109375" customWidth="1"/>
    <col min="32" max="34" style="7720" width="103.7109375" hidden="1" customWidth="1"/>
    <col min="35" max="35" style="6418" width="3.00390625" customWidth="1"/>
    <col min="36" max="38" style="7217" width="10.00390625" customWidth="1"/>
    <col min="39" max="39" style="7217" width="13.7109375" hidden="1" customWidth="1"/>
    <col min="40" max="40" style="7217" width="15.00390625" customWidth="1"/>
    <col min="41" max="41" style="7217" width="16.00390625" customWidth="1"/>
    <col min="42" max="45" style="7217" width="10.00390625" customWidth="1"/>
    <col min="46" max="46" style="7720" width="10.57421875" hidden="1"/>
  </cols>
  <sheetData>
    <row customHeight="1" ht="22.5" hidden="1">
      <c r="E1" s="533"/>
      <c r="F1" s="533"/>
      <c r="G1" s="533"/>
      <c r="H1" s="2338" t="s">
        <v>376</v>
      </c>
      <c r="I1" s="2338"/>
      <c r="J1" s="2338"/>
      <c r="K1" s="2338"/>
      <c r="L1" s="2338"/>
      <c r="M1" s="2338"/>
      <c r="N1" s="2338"/>
      <c r="O1" s="2338"/>
      <c r="P1" s="2338"/>
      <c r="Q1" s="2338"/>
      <c r="R1" s="2338"/>
      <c r="T1" s="2338" t="s">
        <v>377</v>
      </c>
      <c r="U1" s="2338"/>
      <c r="V1" s="2338"/>
      <c r="X1" s="2338" t="s">
        <v>378</v>
      </c>
      <c r="Y1" s="2338"/>
      <c r="Z1" s="2338"/>
      <c r="AB1" s="2338" t="s">
        <v>379</v>
      </c>
      <c r="AC1" s="2338"/>
      <c r="AT1" s="568" t="s">
        <v>14</v>
      </c>
    </row>
    <row customHeight="1" ht="14.25" hidden="1">
      <c r="AT2" s="568">
        <v>0</v>
      </c>
    </row>
    <row s="6432" customFormat="1" customHeight="1" ht="5.25">
      <c r="C3" s="822"/>
      <c r="D3" s="823"/>
      <c r="E3" s="823"/>
      <c r="F3" s="823"/>
      <c r="G3" s="823"/>
      <c r="H3" s="823" t="s">
        <v>380</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9"/>
      <c r="F4" s="2279"/>
      <c r="G4" s="2279"/>
      <c r="H4" s="2279"/>
      <c r="I4" s="2279"/>
      <c r="J4" s="2279"/>
      <c r="K4" s="2279"/>
      <c r="L4" s="2279"/>
      <c r="M4" s="2279"/>
      <c r="N4" s="2279"/>
      <c r="O4" s="2279"/>
      <c r="P4" s="2279"/>
      <c r="Q4" s="2279"/>
      <c r="R4" s="2280"/>
      <c r="S4" s="974"/>
      <c r="T4" s="820"/>
      <c r="U4" s="820"/>
      <c r="V4" s="820"/>
      <c r="W4" s="820"/>
      <c r="X4" s="820"/>
      <c r="Y4" s="820"/>
      <c r="Z4" s="820"/>
      <c r="AA4" s="820"/>
      <c r="AB4" s="820"/>
      <c r="AC4" s="820"/>
      <c r="AD4" s="820"/>
      <c r="AE4" s="612"/>
      <c r="AF4" s="612"/>
      <c r="AG4" s="612"/>
      <c r="AH4" s="612"/>
      <c r="AI4" s="609"/>
      <c r="AT4" s="568">
        <v>38</v>
      </c>
    </row>
    <row s="7720" customFormat="1" customHeight="1" ht="18">
      <c r="A5" s="880"/>
      <c r="C5" s="943"/>
      <c r="D5" s="2335" t="str">
        <f>IF(org=0,"Не определено",org)</f>
        <v>ПАО "ТГК-1" филиал "Невский"</v>
      </c>
      <c r="E5" s="2336"/>
      <c r="F5" s="2336"/>
      <c r="G5" s="2336"/>
      <c r="H5" s="2336"/>
      <c r="I5" s="2336"/>
      <c r="J5" s="2336"/>
      <c r="K5" s="2336"/>
      <c r="L5" s="2336"/>
      <c r="M5" s="2336"/>
      <c r="N5" s="2336"/>
      <c r="O5" s="2336"/>
      <c r="P5" s="2336"/>
      <c r="Q5" s="2336"/>
      <c r="R5" s="2337"/>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437"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9" t="s">
        <v>324</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344" t="s">
        <v>325</v>
      </c>
      <c r="AF7" s="2344" t="s">
        <v>325</v>
      </c>
      <c r="AG7" s="2344" t="s">
        <v>325</v>
      </c>
      <c r="AH7" s="2344" t="s">
        <v>325</v>
      </c>
      <c r="AT7" s="568">
        <v>14</v>
      </c>
    </row>
    <row customHeight="1" ht="27.299999999999997">
      <c r="C8" s="571"/>
      <c r="D8" s="2248" t="s">
        <v>88</v>
      </c>
      <c r="E8" s="2344" t="str">
        <f>"Наименование "&amp;IF(TEMPLATE_SPHERE&lt;&gt;"HEAT","централизованной ","")&amp;"системы "&amp;TEMPLATE_SPHERE_RUS</f>
        <v>Наименование системы теплоснабжения</v>
      </c>
      <c r="F8" s="2344" t="str">
        <f>IF(TEMPLATE_SPHERE&lt;&gt;"HEAT","Регулируемый вид деятельности","Вид регулируемой деятельности")</f>
        <v>Вид регулируемой деятельности</v>
      </c>
      <c r="G8" s="949"/>
      <c r="H8" s="2345" t="s">
        <v>381</v>
      </c>
      <c r="I8" s="2347" t="s">
        <v>382</v>
      </c>
      <c r="J8" s="2344" t="s">
        <v>383</v>
      </c>
      <c r="K8" s="2344"/>
      <c r="L8" s="2344"/>
      <c r="M8" s="2339"/>
      <c r="N8" s="2344" t="s">
        <v>384</v>
      </c>
      <c r="O8" s="2344"/>
      <c r="P8" s="2344" t="s">
        <v>385</v>
      </c>
      <c r="Q8" s="2344"/>
      <c r="R8" s="2351" t="s">
        <v>386</v>
      </c>
      <c r="S8" s="945"/>
      <c r="T8" s="2349" t="s">
        <v>387</v>
      </c>
      <c r="U8" s="2349" t="s">
        <v>388</v>
      </c>
      <c r="V8" s="2349" t="s">
        <v>389</v>
      </c>
      <c r="W8" s="947"/>
      <c r="X8" s="2349" t="s">
        <v>390</v>
      </c>
      <c r="Y8" s="2349" t="s">
        <v>391</v>
      </c>
      <c r="Z8" s="2349" t="s">
        <v>392</v>
      </c>
      <c r="AA8" s="947"/>
      <c r="AB8" s="2349" t="s">
        <v>393</v>
      </c>
      <c r="AC8" s="2349" t="s">
        <v>386</v>
      </c>
      <c r="AD8" s="947"/>
      <c r="AE8" s="2344"/>
      <c r="AF8" s="2344"/>
      <c r="AG8" s="2344"/>
      <c r="AH8" s="2344"/>
      <c r="AT8" s="568">
        <v>26</v>
      </c>
    </row>
    <row customHeight="1" ht="46.199999999999996">
      <c r="C9" s="571"/>
      <c r="D9" s="2248"/>
      <c r="E9" s="2344"/>
      <c r="F9" s="2344"/>
      <c r="G9" s="950"/>
      <c r="H9" s="2346"/>
      <c r="I9" s="2348"/>
      <c r="J9" s="546" t="s">
        <v>394</v>
      </c>
      <c r="K9" s="546" t="s">
        <v>395</v>
      </c>
      <c r="L9" s="546" t="s">
        <v>396</v>
      </c>
      <c r="M9" s="552" t="s">
        <v>397</v>
      </c>
      <c r="N9" s="546" t="s">
        <v>398</v>
      </c>
      <c r="O9" s="546" t="s">
        <v>397</v>
      </c>
      <c r="P9" s="546" t="s">
        <v>399</v>
      </c>
      <c r="Q9" s="546" t="s">
        <v>397</v>
      </c>
      <c r="R9" s="2352"/>
      <c r="S9" s="946"/>
      <c r="T9" s="2350"/>
      <c r="U9" s="2350"/>
      <c r="V9" s="2350"/>
      <c r="W9" s="948"/>
      <c r="X9" s="2350"/>
      <c r="Y9" s="2350"/>
      <c r="Z9" s="2350"/>
      <c r="AA9" s="948"/>
      <c r="AB9" s="2350"/>
      <c r="AC9" s="2350"/>
      <c r="AD9" s="948"/>
      <c r="AE9" s="2344"/>
      <c r="AF9" s="2344"/>
      <c r="AG9" s="2344"/>
      <c r="AH9" s="2344"/>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812" customFormat="1" customHeight="1" ht="11.25" hidden="1">
      <c r="C11" s="619"/>
      <c r="D11" s="620" t="s">
        <v>400</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123</v>
      </c>
      <c r="E12" s="1898" t="s">
        <v>28</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2" t="s">
        <v>401</v>
      </c>
      <c r="AF12" s="2342" t="s">
        <v>402</v>
      </c>
      <c r="AG12" s="2342" t="s">
        <v>403</v>
      </c>
      <c r="AH12" s="2342" t="s">
        <v>404</v>
      </c>
      <c r="AI12" s="568"/>
      <c r="AM12" s="632"/>
      <c r="AP12" s="621" t="s">
        <v>405</v>
      </c>
      <c r="AQ12" s="621" t="s">
        <v>405</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3"/>
      <c r="AF13" s="2343"/>
      <c r="AG13" s="2343"/>
      <c r="AH13" s="2343"/>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82</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2486-7C62-55C3-A068-0.B3C5873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08" width="9.140625" hidden="1" customWidth="1"/>
    <col min="2" max="2" style="7720" width="9.140625" hidden="1" customWidth="1"/>
    <col min="3" max="3" style="7936" width="3.00390625" customWidth="1"/>
    <col min="4" max="4" style="7720" width="5.00390625" customWidth="1"/>
    <col min="5" max="5" style="7720" width="38.00390625" customWidth="1"/>
    <col min="6" max="7" style="7720" width="3.00390625" customWidth="1"/>
    <col min="8" max="8" style="7720" width="38.00390625" customWidth="1"/>
    <col min="9" max="9" style="7720" width="35.00390625" customWidth="1"/>
    <col min="10" max="10" style="7720" width="103.00390625" customWidth="1"/>
    <col min="11" max="11" style="6418" width="3.00390625" customWidth="1"/>
    <col min="12" max="14" style="7217" width="10.00390625" customWidth="1"/>
    <col min="15" max="15" style="7217" width="13.00390625" customWidth="1"/>
    <col min="16" max="16" style="7217" width="15.00390625" customWidth="1"/>
    <col min="17" max="17" style="7217" width="16.00390625" customWidth="1"/>
    <col min="18" max="21" style="7217" width="10.00390625" customWidth="1"/>
    <col min="22" max="22" style="7720" width="10.57421875" hidden="1"/>
  </cols>
  <sheetData>
    <row customHeight="1" ht="22.5" hidden="1">
      <c r="E1" s="533"/>
      <c r="F1" s="533"/>
      <c r="G1" s="533"/>
      <c r="H1" s="2338" t="s">
        <v>376</v>
      </c>
      <c r="I1" s="2338"/>
      <c r="V1" s="1728" t="s">
        <v>14</v>
      </c>
    </row>
    <row s="7720" customFormat="1" customHeight="1" ht="14.25" hidden="1">
      <c r="C2" s="1740"/>
      <c r="D2" s="2354" t="s">
        <v>123</v>
      </c>
      <c r="E2" s="2356"/>
      <c r="F2" s="1746"/>
      <c r="G2" s="1741" t="s">
        <v>123</v>
      </c>
      <c r="H2" s="1744"/>
      <c r="I2" s="1742"/>
      <c r="L2" s="1743"/>
      <c r="M2" s="1743"/>
      <c r="N2" s="1743"/>
      <c r="O2" s="1743" t="s">
        <v>406</v>
      </c>
      <c r="P2" s="1743"/>
      <c r="Q2" s="1743"/>
      <c r="R2" s="1745" t="s">
        <v>405</v>
      </c>
      <c r="S2" s="1745" t="s">
        <v>405</v>
      </c>
      <c r="T2" s="1743"/>
      <c r="U2" s="1743"/>
      <c r="V2" s="1739">
        <v>0</v>
      </c>
    </row>
    <row s="7720" customFormat="1" customHeight="1" ht="14.25" hidden="1">
      <c r="C3" s="1740"/>
      <c r="D3" s="2355"/>
      <c r="E3" s="2357"/>
      <c r="F3" s="526"/>
      <c r="G3" s="990"/>
      <c r="H3" s="990" t="s">
        <v>407</v>
      </c>
      <c r="I3" s="434"/>
      <c r="L3" s="1743"/>
      <c r="M3" s="1743"/>
      <c r="N3" s="1743"/>
      <c r="O3" s="1743"/>
      <c r="P3" s="1743"/>
      <c r="Q3" s="1743"/>
      <c r="R3" s="1745"/>
      <c r="S3" s="1745"/>
      <c r="T3" s="1743"/>
      <c r="U3" s="1743"/>
      <c r="V3" s="1739">
        <v>0</v>
      </c>
    </row>
    <row customHeight="1" ht="14.25" hidden="1">
      <c r="V4" s="1728">
        <v>0</v>
      </c>
    </row>
    <row s="6432" customFormat="1" customHeight="1" ht="5.25">
      <c r="C5" s="822"/>
      <c r="D5" s="823"/>
      <c r="E5" s="823"/>
      <c r="F5" s="823"/>
      <c r="G5" s="823"/>
      <c r="H5" s="823" t="s">
        <v>380</v>
      </c>
      <c r="I5" s="823"/>
      <c r="J5" s="823"/>
      <c r="L5" s="1735"/>
      <c r="M5" s="1735"/>
      <c r="N5" s="1735"/>
      <c r="O5" s="1735"/>
      <c r="P5" s="1735"/>
      <c r="Q5" s="1735"/>
      <c r="R5" s="1735"/>
      <c r="S5" s="1735"/>
      <c r="T5" s="1735"/>
      <c r="U5" s="1735"/>
      <c r="V5" s="1734">
        <v>5</v>
      </c>
    </row>
    <row customHeight="1" ht="29.25">
      <c r="C6" s="1637"/>
      <c r="D6" s="2358" t="s">
        <v>408</v>
      </c>
      <c r="E6" s="2358"/>
      <c r="F6" s="2358"/>
      <c r="G6" s="2358"/>
      <c r="H6" s="2358"/>
      <c r="I6" s="2358"/>
      <c r="J6" s="612"/>
      <c r="K6" s="1736"/>
      <c r="V6" s="1728">
        <v>28</v>
      </c>
    </row>
    <row customHeight="1" ht="18">
      <c r="C7" s="1637"/>
      <c r="D7" s="2297" t="str">
        <f>IF(org=0,"Не определено",org)</f>
        <v>ПАО "ТГК-1" филиал "Невский"</v>
      </c>
      <c r="E7" s="2297"/>
      <c r="F7" s="2297"/>
      <c r="G7" s="2297"/>
      <c r="H7" s="2297"/>
      <c r="I7" s="2297"/>
      <c r="J7" s="612"/>
      <c r="K7" s="1736"/>
      <c r="V7" s="1728">
        <v>17</v>
      </c>
    </row>
    <row s="6437"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437"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9" t="s">
        <v>324</v>
      </c>
      <c r="E10" s="2340"/>
      <c r="F10" s="2340"/>
      <c r="G10" s="2340"/>
      <c r="H10" s="2340"/>
      <c r="I10" s="2340"/>
      <c r="J10" s="2344" t="s">
        <v>325</v>
      </c>
      <c r="V10" s="1728">
        <v>14</v>
      </c>
    </row>
    <row customHeight="1" ht="27.299999999999997">
      <c r="C11" s="1637"/>
      <c r="D11" s="2248" t="s">
        <v>88</v>
      </c>
      <c r="E11" s="2344" t="s">
        <v>119</v>
      </c>
      <c r="F11" s="2313" t="s">
        <v>88</v>
      </c>
      <c r="G11" s="2314"/>
      <c r="H11" s="2296" t="s">
        <v>409</v>
      </c>
      <c r="I11" s="2296" t="s">
        <v>410</v>
      </c>
      <c r="J11" s="2344"/>
      <c r="V11" s="1728">
        <v>26</v>
      </c>
    </row>
    <row customHeight="1" ht="14.699999999999998">
      <c r="C12" s="1637"/>
      <c r="D12" s="2248"/>
      <c r="E12" s="2344"/>
      <c r="F12" s="2321"/>
      <c r="G12" s="2322"/>
      <c r="H12" s="2353"/>
      <c r="I12" s="2353"/>
      <c r="J12" s="2344"/>
      <c r="V12" s="1728">
        <v>14</v>
      </c>
    </row>
    <row s="6812" customFormat="1" customHeight="1" ht="11.25" hidden="1">
      <c r="C13" s="619"/>
      <c r="D13" s="620" t="s">
        <v>400</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123</v>
      </c>
      <c r="E14" s="2356"/>
      <c r="F14" s="1738"/>
      <c r="G14" s="1737" t="s">
        <v>123</v>
      </c>
      <c r="H14" s="1744"/>
      <c r="I14" s="1742"/>
      <c r="J14" s="2290" t="s">
        <v>411</v>
      </c>
      <c r="K14" s="1728"/>
      <c r="R14" s="621" t="s">
        <v>405</v>
      </c>
      <c r="S14" s="621" t="s">
        <v>405</v>
      </c>
      <c r="V14" s="1728">
        <v>14</v>
      </c>
    </row>
    <row customHeight="1" ht="14.699999999999998">
      <c r="A15" s="1728"/>
      <c r="C15" s="1637"/>
      <c r="D15" s="2355"/>
      <c r="E15" s="2357"/>
      <c r="F15" s="526"/>
      <c r="G15" s="990"/>
      <c r="H15" s="990" t="s">
        <v>407</v>
      </c>
      <c r="I15" s="434"/>
      <c r="J15" s="2291"/>
      <c r="K15" s="1728"/>
      <c r="R15" s="621"/>
      <c r="S15" s="621"/>
      <c r="V15" s="1728">
        <v>14</v>
      </c>
    </row>
    <row customHeight="1" ht="14.699999999999998">
      <c r="A16" s="1728"/>
      <c r="C16" s="1637"/>
      <c r="D16" s="526"/>
      <c r="E16" s="990" t="s">
        <v>134</v>
      </c>
      <c r="F16" s="434"/>
      <c r="G16" s="434"/>
      <c r="H16" s="527"/>
      <c r="I16" s="527"/>
      <c r="J16" s="2292"/>
      <c r="K16" s="1728"/>
      <c r="V16" s="1728">
        <v>14</v>
      </c>
    </row>
    <row customHeight="1" ht="14.699999999999998">
      <c r="K17" s="1728"/>
      <c r="V17" s="1728">
        <v>14</v>
      </c>
    </row>
    <row customHeight="1" ht="22.5" hidden="1">
      <c r="A18" s="1729" t="s">
        <v>82</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DD6A5-96AD-B115-6C4D-0.D1F1DCF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08" width="9.140625" hidden="1" customWidth="1"/>
    <col min="2" max="3" style="7720" width="9.140625" hidden="1" customWidth="1"/>
    <col min="4" max="4" style="7936" width="3.00390625" customWidth="1"/>
    <col min="5" max="5" style="7720" width="6.00390625" customWidth="1"/>
    <col min="6" max="6" style="7720" width="1.7109375" hidden="1" customWidth="1"/>
    <col min="7" max="8" style="7720" width="30.00390625" customWidth="1"/>
    <col min="9" max="9" style="7720" width="8.00390625" customWidth="1"/>
    <col min="10" max="10" style="7720" width="12.140625" customWidth="1"/>
    <col min="11" max="11" style="7720" width="46.00390625" customWidth="1"/>
    <col min="12" max="12" style="7720" width="100.00390625" customWidth="1"/>
    <col min="13" max="13" style="6418" width="7.00390625" customWidth="1"/>
    <col min="14" max="22" style="7720" width="10.00390625" customWidth="1"/>
    <col min="23" max="23" style="7720" width="10.57421875" hidden="1"/>
  </cols>
  <sheetData>
    <row s="7217" customFormat="1" customHeight="1" ht="5.25" hidden="1">
      <c r="C1" s="632"/>
      <c r="D1" s="615"/>
      <c r="F1" s="632"/>
      <c r="G1" s="610" t="s">
        <v>83</v>
      </c>
      <c r="H1" s="610" t="s">
        <v>84</v>
      </c>
      <c r="I1" s="610" t="s">
        <v>85</v>
      </c>
      <c r="P1" s="610" t="s">
        <v>83</v>
      </c>
      <c r="Q1" s="610" t="s">
        <v>84</v>
      </c>
      <c r="R1" s="610" t="s">
        <v>85</v>
      </c>
      <c r="W1" s="610" t="s">
        <v>14</v>
      </c>
    </row>
    <row s="7217" customFormat="1" customHeight="1" ht="5.25" hidden="1">
      <c r="C2" s="632"/>
      <c r="D2" s="615"/>
      <c r="F2" s="632"/>
      <c r="W2" s="610">
        <v>0</v>
      </c>
    </row>
    <row s="6437" customFormat="1" customHeight="1" ht="5.25">
      <c r="A3" s="600"/>
      <c r="D3" s="607"/>
      <c r="E3" s="602"/>
      <c r="F3" s="602"/>
      <c r="G3" s="602"/>
      <c r="H3" s="602"/>
      <c r="I3" s="603"/>
      <c r="J3" s="604"/>
      <c r="K3" s="604"/>
      <c r="L3" s="604"/>
      <c r="W3" s="601">
        <v>5</v>
      </c>
    </row>
    <row customHeight="1" ht="23.25">
      <c r="D4" s="571"/>
      <c r="E4" s="2359" t="s">
        <v>412</v>
      </c>
      <c r="F4" s="2359"/>
      <c r="G4" s="2360"/>
      <c r="H4" s="2360"/>
      <c r="I4" s="2361"/>
      <c r="J4" s="612"/>
      <c r="K4" s="574"/>
      <c r="L4" s="574"/>
      <c r="W4" s="568">
        <v>22</v>
      </c>
    </row>
    <row s="7720" customFormat="1" customHeight="1" ht="18">
      <c r="A5" s="880"/>
      <c r="D5" s="943"/>
      <c r="E5" s="2335" t="str">
        <f>IF(org=0,"Не определено",org)</f>
        <v>ПАО "ТГК-1" филиал "Невский"</v>
      </c>
      <c r="F5" s="2335"/>
      <c r="G5" s="2336"/>
      <c r="H5" s="2336"/>
      <c r="I5" s="2337"/>
      <c r="J5" s="612"/>
      <c r="K5" s="574"/>
      <c r="L5" s="574"/>
      <c r="M5" s="628"/>
      <c r="W5" s="879">
        <v>17</v>
      </c>
    </row>
    <row s="6437" customFormat="1" customHeight="1" ht="11.549999999999999">
      <c r="A6" s="600"/>
      <c r="D6" s="607"/>
      <c r="E6" s="602"/>
      <c r="F6" s="602"/>
      <c r="G6" s="605"/>
      <c r="H6" s="605"/>
      <c r="I6" s="606"/>
      <c r="J6" s="606"/>
      <c r="K6" s="873"/>
      <c r="L6" s="606"/>
      <c r="W6" s="601">
        <v>11</v>
      </c>
    </row>
    <row customHeight="1" ht="14.699999999999998">
      <c r="D7" s="571"/>
      <c r="E7" s="2329" t="s">
        <v>324</v>
      </c>
      <c r="F7" s="2329"/>
      <c r="G7" s="2330"/>
      <c r="H7" s="2330"/>
      <c r="I7" s="2330"/>
      <c r="J7" s="2330"/>
      <c r="K7" s="2330"/>
      <c r="L7" s="2344" t="s">
        <v>325</v>
      </c>
      <c r="W7" s="568">
        <v>14</v>
      </c>
    </row>
    <row customHeight="1" ht="48.29999999999999">
      <c r="D8" s="571"/>
      <c r="E8" s="594" t="s">
        <v>88</v>
      </c>
      <c r="F8" s="944"/>
      <c r="G8" s="586" t="s">
        <v>86</v>
      </c>
      <c r="H8" s="586" t="s">
        <v>87</v>
      </c>
      <c r="I8" s="535" t="s">
        <v>85</v>
      </c>
      <c r="J8" s="535" t="s">
        <v>413</v>
      </c>
      <c r="K8" s="535" t="s">
        <v>414</v>
      </c>
      <c r="L8" s="2344"/>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2" t="s">
        <v>415</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6437" customFormat="1" customHeight="1" ht="15">
      <c r="A12" s="2220"/>
      <c r="B12" s="625"/>
      <c r="C12" s="625"/>
      <c r="D12" s="987"/>
      <c r="E12" s="944">
        <v>1</v>
      </c>
      <c r="F12" s="985">
        <v>23</v>
      </c>
      <c r="G12" s="984"/>
      <c r="H12" s="914"/>
      <c r="I12" s="912"/>
      <c r="J12" s="641" t="s">
        <v>66</v>
      </c>
      <c r="K12" s="1285" t="s">
        <v>28</v>
      </c>
      <c r="L12" s="2362"/>
      <c r="M12" s="632"/>
      <c r="N12" s="632"/>
      <c r="O12" s="632"/>
      <c r="P12" s="637" t="s">
        <v>416</v>
      </c>
      <c r="Q12" s="637" t="s">
        <v>417</v>
      </c>
      <c r="R12" s="638" t="s">
        <v>418</v>
      </c>
      <c r="S12" s="632" t="s">
        <v>419</v>
      </c>
      <c r="T12" s="632"/>
      <c r="U12" s="632"/>
      <c r="V12" s="632"/>
      <c r="W12" s="601">
        <v>14</v>
      </c>
    </row>
    <row customHeight="1" ht="15.75">
      <c r="A13" s="2220"/>
      <c r="B13" s="626"/>
      <c r="D13" s="627"/>
      <c r="E13" s="526"/>
      <c r="F13" s="650"/>
      <c r="G13" s="537" t="s">
        <v>112</v>
      </c>
      <c r="H13" s="525"/>
      <c r="I13" s="525"/>
      <c r="J13" s="525"/>
      <c r="K13" s="524"/>
      <c r="L13" s="2343"/>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82</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2DD7F-3543-27BE-FC2C-0.27200EE6}" mc:Ignorable="x14ac xr xr2 xr3">
  <sheetPr>
    <tabColor theme="6" tint="0.4"/>
  </sheetPr>
  <dimension ref="A1:AS79"/>
  <sheetViews>
    <sheetView topLeftCell="A1" showGridLines="0" zoomScale="90" workbookViewId="0">
      <selection activeCell="T73" sqref="T73:AM73"/>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30">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25"/>
      <c r="Q3" s="473"/>
      <c r="R3" s="474"/>
      <c r="S3" s="1430">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30">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30">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427</v>
      </c>
      <c r="M6" s="658"/>
      <c r="P6" s="2378">
        <v>1</v>
      </c>
      <c r="Q6" s="1426"/>
      <c r="R6" s="477"/>
      <c r="S6" s="1430">
        <f>$I6</f>
      </c>
      <c r="T6" s="406" t="s">
        <v>428</v>
      </c>
      <c r="U6" s="421"/>
      <c r="V6" s="2366"/>
      <c r="W6" s="2367"/>
      <c r="X6" s="2367"/>
      <c r="Y6" s="2367"/>
      <c r="Z6" s="2367"/>
      <c r="AA6" s="2367"/>
      <c r="AB6" s="2367"/>
      <c r="AC6" s="2368"/>
      <c r="AD6" s="2366"/>
      <c r="AE6" s="2367"/>
      <c r="AF6" s="2367"/>
      <c r="AG6" s="2367"/>
      <c r="AH6" s="2367"/>
      <c r="AI6" s="2367"/>
      <c r="AJ6" s="2367"/>
      <c r="AK6" s="2367"/>
      <c r="AL6" s="2368"/>
      <c r="AM6" s="1379" t="s">
        <v>429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430</v>
      </c>
      <c r="M7" s="658"/>
      <c r="N7" s="1487"/>
      <c r="P7" s="2378"/>
      <c r="Q7" s="2378">
        <v>1</v>
      </c>
      <c r="R7" s="478"/>
      <c r="S7" s="1430">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433</v>
      </c>
      <c r="M8" s="658"/>
      <c r="N8" s="1487"/>
      <c r="O8" s="1487"/>
      <c r="P8" s="2378"/>
      <c r="Q8" s="2378"/>
      <c r="R8" s="478">
        <v>1</v>
      </c>
      <c r="S8" s="1430">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27"/>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26"/>
      <c r="R11" s="477"/>
      <c r="S11" s="1399"/>
      <c r="T11" s="408"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437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1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88"/>
      <c r="AI17" s="2389" t="s">
        <v>66</v>
      </c>
      <c r="AJ17" s="2388"/>
      <c r="AK17" s="2389" t="s">
        <v>66</v>
      </c>
      <c r="AS17" s="1276">
        <v>0</v>
      </c>
    </row>
    <row customHeight="1" ht="14.25" hidden="1">
      <c r="P18" s="1432"/>
      <c r="AD18" s="1481"/>
      <c r="AE18" s="1481"/>
      <c r="AF18" s="1481"/>
      <c r="AG18" s="449" t="str">
        <f>AH17&amp;"-"&amp;AJ17</f>
        <v>-</v>
      </c>
      <c r="AH18" s="2389"/>
      <c r="AI18" s="2389"/>
      <c r="AJ18" s="2389"/>
      <c r="AK18" s="2389"/>
      <c r="AS18" s="1276">
        <v>0</v>
      </c>
    </row>
    <row customHeight="1" ht="14.25" hidden="1">
      <c r="P19" s="1432"/>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14.2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18.7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276">
        <v>14</v>
      </c>
    </row>
    <row customHeight="1" ht="35.699999999999996">
      <c r="Q40" s="497"/>
      <c r="R40" s="497"/>
      <c r="S40" s="2394"/>
      <c r="T40" s="2330"/>
      <c r="U40" s="1152"/>
      <c r="V40" s="2381" t="s">
        <v>454</v>
      </c>
      <c r="W40" s="2731" t="s">
        <v>455</v>
      </c>
      <c r="X40" s="2383" t="s">
        <v>456</v>
      </c>
      <c r="Y40" s="2384"/>
      <c r="Z40" s="2383" t="s">
        <v>457</v>
      </c>
      <c r="AA40" s="2390"/>
      <c r="AB40" s="2384"/>
      <c r="AC40" s="2399"/>
      <c r="AD40" s="2381" t="s">
        <v>454</v>
      </c>
      <c r="AE40" s="2404" t="s">
        <v>455</v>
      </c>
      <c r="AF40" s="2383" t="s">
        <v>456</v>
      </c>
      <c r="AG40" s="2384"/>
      <c r="AH40" s="2383" t="s">
        <v>457</v>
      </c>
      <c r="AI40" s="2390"/>
      <c r="AJ40" s="2384"/>
      <c r="AK40" s="2399"/>
      <c r="AL40" s="2402"/>
      <c r="AM40" s="2248"/>
      <c r="AS40" s="1276">
        <v>34</v>
      </c>
    </row>
    <row customHeight="1" ht="35.699999999999996">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Q41" s="497"/>
      <c r="R41" s="497"/>
      <c r="S41" s="2394"/>
      <c r="T41" s="2330"/>
      <c r="U41" s="423"/>
      <c r="V41" s="2382"/>
      <c r="W41" s="2405"/>
      <c r="X41" s="1343" t="s">
        <v>465</v>
      </c>
      <c r="Y41" s="1343" t="s">
        <v>466</v>
      </c>
      <c r="Z41" s="1342" t="s">
        <v>467</v>
      </c>
      <c r="AA41" s="2391" t="s">
        <v>468</v>
      </c>
      <c r="AB41" s="2392"/>
      <c r="AC41" s="2400"/>
      <c r="AD41" s="2382"/>
      <c r="AE41" s="2405"/>
      <c r="AF41" s="1343" t="s">
        <v>465</v>
      </c>
      <c r="AG41" s="1343" t="s">
        <v>466</v>
      </c>
      <c r="AH41" s="1434" t="s">
        <v>467</v>
      </c>
      <c r="AI41" s="2391" t="s">
        <v>468</v>
      </c>
      <c r="AJ41" s="2392"/>
      <c r="AK41" s="2400"/>
      <c r="AL41" s="2403"/>
      <c r="AM41" s="2248"/>
      <c r="AS41" s="1276">
        <v>34</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377">
        <f>OFFSET(V42,0,-1)+1</f>
        <v>3</v>
      </c>
      <c r="W42" s="1377"/>
      <c r="X42" s="1377">
        <f>OFFSET(X42,0,-1)+1</f>
        <v>1</v>
      </c>
      <c r="Y42" s="1377">
        <f>OFFSET(Y42,0,-1)+1</f>
        <v>2</v>
      </c>
      <c r="Z42" s="1377">
        <f>OFFSET(Z42,0,-1)+1</f>
        <v>3</v>
      </c>
      <c r="AA42" s="2393">
        <f>OFFSET(AA42,0,-1)+1</f>
        <v>4</v>
      </c>
      <c r="AB42" s="2393"/>
      <c r="AC42" s="1377">
        <f>OFFSET(AC42,0,-2)+1</f>
        <v>5</v>
      </c>
      <c r="AD42" s="1433">
        <f>OFFSET(AD42,0,-1)+1</f>
        <v>6</v>
      </c>
      <c r="AE42" s="1433"/>
      <c r="AF42" s="1433">
        <f>OFFSET(AF42,0,-1)+1</f>
        <v>1</v>
      </c>
      <c r="AG42" s="1433">
        <f>OFFSET(AG42,0,-1)+1</f>
        <v>2</v>
      </c>
      <c r="AH42" s="1433">
        <f>OFFSET(AH42,0,-1)+1</f>
        <v>3</v>
      </c>
      <c r="AI42" s="2393">
        <f>OFFSET(AI42,0,-1)+1</f>
        <v>4</v>
      </c>
      <c r="AJ42" s="2393"/>
      <c r="AK42" s="1433">
        <f>OFFSET(AK42,0,-2)+1</f>
        <v>5</v>
      </c>
      <c r="AL42" s="1366">
        <f>OFFSET(AL42,0,-1)</f>
        <v>5</v>
      </c>
      <c r="AM42" s="1377">
        <f>OFFSET(AM42,0,-1)+1</f>
        <v>6</v>
      </c>
      <c r="AN42" s="632"/>
      <c r="AO42" s="632"/>
      <c r="AP42" s="632"/>
      <c r="AQ42" s="632"/>
      <c r="AR42" s="632"/>
      <c r="AS42" s="617">
        <v>0</v>
      </c>
    </row>
    <row customHeight="1" ht="24">
      <c r="A43" s="1484" t="s">
        <v>171</v>
      </c>
      <c r="B43" s="1484"/>
      <c r="C43" s="1484"/>
      <c r="D43" s="1484"/>
      <c r="E43" s="2379">
        <v>1</v>
      </c>
      <c r="F43" s="1484"/>
      <c r="G43" s="1484"/>
      <c r="H43" s="1484"/>
      <c r="I43" s="1484"/>
      <c r="J43" s="1484"/>
      <c r="K43" s="1484"/>
      <c r="L43" s="1485"/>
      <c r="M43" s="1486"/>
      <c r="N43" s="1486"/>
      <c r="O43" s="1486"/>
      <c r="P43" s="482"/>
      <c r="Q43" s="481"/>
      <c r="R43" s="476"/>
      <c r="S43" s="1345">
        <f>INDEX(PT_DIFFERENTIATION_NUM_NTAR,MATCH(A43,PT_DIFFERENTIATION_NTAR_ID,0))</f>
        <v>1</v>
      </c>
      <c r="T43" s="419" t="s">
        <v>136</v>
      </c>
      <c r="U43" s="421"/>
      <c r="V43" s="2363"/>
      <c r="W43" s="2364"/>
      <c r="X43" s="2364"/>
      <c r="Y43" s="2364"/>
      <c r="Z43" s="2364"/>
      <c r="AA43" s="2364"/>
      <c r="AB43" s="2364"/>
      <c r="AC43" s="2365"/>
      <c r="AD43" s="2363" t="str">
        <f>INDEX(PT_DIFFERENTIATION_NTAR,MATCH(A43,PT_DIFFERENTIATION_NTAR_ID,0))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171</v>
      </c>
      <c r="B44" s="1484" t="s">
        <v>172</v>
      </c>
      <c r="C44" s="1484"/>
      <c r="D44" s="1484"/>
      <c r="E44" s="2380"/>
      <c r="F44" s="2379">
        <v>1</v>
      </c>
      <c r="G44" s="1484"/>
      <c r="H44" s="1484"/>
      <c r="I44" s="1484"/>
      <c r="J44" s="1484"/>
      <c r="K44" s="1484"/>
      <c r="L44" s="1485"/>
      <c r="M44" s="1486"/>
      <c r="N44" s="1486"/>
      <c r="O44" s="1486"/>
      <c r="P44" s="643"/>
      <c r="Q44" s="473"/>
      <c r="R44" s="474"/>
      <c r="S44" s="1345" t="str">
        <f>INDEX(PT_DIFFERENTIATION_NUM_TER,MATCH(B44,PT_DIFFERENTIATION_TER_ID,0))</f>
        <v>1.1</v>
      </c>
      <c r="T44" s="429" t="s">
        <v>421</v>
      </c>
      <c r="U44" s="421"/>
      <c r="V44" s="2363"/>
      <c r="W44" s="2364"/>
      <c r="X44" s="2364"/>
      <c r="Y44" s="2364"/>
      <c r="Z44" s="2364"/>
      <c r="AA44" s="2364"/>
      <c r="AB44" s="2364"/>
      <c r="AC44" s="2365"/>
      <c r="AD44" s="2363" t="str">
        <f>INDEX(PT_DIFFERENTIATION_TER,MATCH(B44,PT_DIFFERENTIATION_TER_ID,0))</f>
        <v>Территория 1</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23</v>
      </c>
    </row>
    <row customHeight="1" ht="24">
      <c r="A45" s="1484" t="s">
        <v>171</v>
      </c>
      <c r="B45" s="1484" t="s">
        <v>172</v>
      </c>
      <c r="C45" s="1484" t="s">
        <v>173</v>
      </c>
      <c r="D45" s="1484"/>
      <c r="E45" s="2380"/>
      <c r="F45" s="2380"/>
      <c r="G45" s="2379">
        <v>1</v>
      </c>
      <c r="H45" s="1484"/>
      <c r="I45" s="1484"/>
      <c r="J45" s="1484"/>
      <c r="K45" s="1484"/>
      <c r="L45" s="1485"/>
      <c r="M45" s="1486"/>
      <c r="N45" s="1486"/>
      <c r="O45" s="1486"/>
      <c r="P45" s="475"/>
      <c r="Q45" s="473"/>
      <c r="R45" s="474"/>
      <c r="S45" s="1345" t="str">
        <f>INDEX(PT_DIFFERENTIATION_NUM_CS,MATCH(C45,PT_DIFFERENTIATION_CS_ID,0))</f>
        <v>1.1.1</v>
      </c>
      <c r="T45" s="430" t="s">
        <v>423</v>
      </c>
      <c r="U45" s="421"/>
      <c r="V45" s="2363"/>
      <c r="W45" s="2364"/>
      <c r="X45" s="2364"/>
      <c r="Y45" s="2364"/>
      <c r="Z45" s="2364"/>
      <c r="AA45" s="2364"/>
      <c r="AB45" s="2364"/>
      <c r="AC45" s="2365"/>
      <c r="AD45" s="2363" t="str">
        <f>INDEX(PT_DIFFERENTIATION_CS,MATCH(C45,PT_DIFFERENTIATION_CS_ID,0))</f>
        <v>без дифференциации</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4">
      <c r="A46" s="1484" t="s">
        <v>171</v>
      </c>
      <c r="B46" s="1484" t="s">
        <v>172</v>
      </c>
      <c r="C46" s="1484" t="s">
        <v>173</v>
      </c>
      <c r="D46" s="1484" t="s">
        <v>174</v>
      </c>
      <c r="E46" s="2380"/>
      <c r="F46" s="2380"/>
      <c r="G46" s="2380"/>
      <c r="H46" s="2379">
        <v>1</v>
      </c>
      <c r="I46" s="1484"/>
      <c r="J46" s="1484"/>
      <c r="K46" s="1484"/>
      <c r="L46" s="1485"/>
      <c r="M46" s="1486"/>
      <c r="N46" s="1486"/>
      <c r="O46" s="1486"/>
      <c r="P46" s="475"/>
      <c r="Q46" s="473"/>
      <c r="R46" s="474"/>
      <c r="S46" s="1345" t="str">
        <f>INDEX(PT_DIFFERENTIATION_NUM_IST_TE,MATCH(D46,PT_DIFFERENTIATION_IST_TE_ID,0))</f>
        <v>1.1.1.1</v>
      </c>
      <c r="T46" s="431" t="s">
        <v>425</v>
      </c>
      <c r="U46" s="421"/>
      <c r="V46" s="2363"/>
      <c r="W46" s="2364"/>
      <c r="X46" s="2364"/>
      <c r="Y46" s="2364"/>
      <c r="Z46" s="2364"/>
      <c r="AA46" s="2364"/>
      <c r="AB46" s="2364"/>
      <c r="AC46" s="2365"/>
      <c r="AD46" s="2363" t="str">
        <f>INDEX(PT_DIFFERENTIATION_IST_TE,MATCH(D46,PT_DIFFERENTIATION_IST_TE_ID,0))</f>
        <v>без дифференциации</v>
      </c>
      <c r="AE46" s="2364"/>
      <c r="AF46" s="2364"/>
      <c r="AG46" s="2364"/>
      <c r="AH46" s="2364"/>
      <c r="AI46" s="2364"/>
      <c r="AJ46" s="2364"/>
      <c r="AK46" s="2364"/>
      <c r="AL46" s="2365"/>
      <c r="AM46" s="1379" t="s">
        <v>426</v>
      </c>
      <c r="AO46" s="621"/>
      <c r="AP46" s="621" t="str">
        <f>IF(T46="","",T46)</f>
        <v>Источник тепловой энергии  </v>
      </c>
      <c r="AQ46" s="621"/>
      <c r="AR46" s="621"/>
      <c r="AS46" s="1276">
        <v>23</v>
      </c>
    </row>
    <row customHeight="1" ht="49.5">
      <c r="A47" s="1484" t="s">
        <v>171</v>
      </c>
      <c r="B47" s="1484" t="s">
        <v>172</v>
      </c>
      <c r="C47" s="1484" t="s">
        <v>173</v>
      </c>
      <c r="D47" s="1484" t="s">
        <v>174</v>
      </c>
      <c r="E47" s="2380"/>
      <c r="F47" s="2380"/>
      <c r="G47" s="2380"/>
      <c r="H47" s="2380"/>
      <c r="I47" s="2377" t="str">
        <f>S46&amp;".1"</f>
        <v>1.1.1.1.1</v>
      </c>
      <c r="J47" s="1484"/>
      <c r="K47" s="1484"/>
      <c r="L47" s="1485" t="s">
        <v>427</v>
      </c>
      <c r="P47" s="2378">
        <v>1</v>
      </c>
      <c r="Q47" s="1341"/>
      <c r="R47" s="477"/>
      <c r="S47" s="1345" t="str">
        <f>$I47</f>
        <v>1.1.1.1.1</v>
      </c>
      <c r="T47" s="406" t="s">
        <v>428</v>
      </c>
      <c r="U47" s="421"/>
      <c r="V47" s="2366"/>
      <c r="W47" s="2367"/>
      <c r="X47" s="2367"/>
      <c r="Y47" s="2367"/>
      <c r="Z47" s="2367"/>
      <c r="AA47" s="2367"/>
      <c r="AB47" s="2367"/>
      <c r="AC47" s="2368"/>
      <c r="AD47" s="2366" t="s">
        <v>469</v>
      </c>
      <c r="AE47" s="2367"/>
      <c r="AF47" s="2367"/>
      <c r="AG47" s="2367"/>
      <c r="AH47" s="2367"/>
      <c r="AI47" s="2367"/>
      <c r="AJ47" s="2367"/>
      <c r="AK47" s="2367"/>
      <c r="AL47" s="2368"/>
      <c r="AM47" s="1379" t="s">
        <v>429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171</v>
      </c>
      <c r="B48" s="1484" t="s">
        <v>172</v>
      </c>
      <c r="C48" s="1484" t="s">
        <v>173</v>
      </c>
      <c r="D48" s="1484" t="s">
        <v>174</v>
      </c>
      <c r="E48" s="2380"/>
      <c r="F48" s="2380"/>
      <c r="G48" s="2380"/>
      <c r="H48" s="2380"/>
      <c r="I48" s="2407"/>
      <c r="J48" s="2377" t="str">
        <f>I47&amp;".1"</f>
        <v>1.1.1.1.1.1</v>
      </c>
      <c r="K48" s="1484"/>
      <c r="L48" s="1485" t="s">
        <v>430</v>
      </c>
      <c r="P48" s="2378"/>
      <c r="Q48" s="2378">
        <v>1</v>
      </c>
      <c r="R48" s="478"/>
      <c r="S48" s="1345" t="str">
        <f>$J48</f>
        <v>1.1.1.1.1.1</v>
      </c>
      <c r="T48" s="407" t="s">
        <v>431</v>
      </c>
      <c r="U48" s="421"/>
      <c r="V48" s="2366"/>
      <c r="W48" s="2367"/>
      <c r="X48" s="2367"/>
      <c r="Y48" s="2367"/>
      <c r="Z48" s="2367"/>
      <c r="AA48" s="2367"/>
      <c r="AB48" s="2367"/>
      <c r="AC48" s="2368"/>
      <c r="AD48" s="2366" t="s">
        <v>469</v>
      </c>
      <c r="AE48" s="2367"/>
      <c r="AF48" s="2367"/>
      <c r="AG48" s="2367"/>
      <c r="AH48" s="2367"/>
      <c r="AI48" s="2367"/>
      <c r="AJ48" s="2367"/>
      <c r="AK48" s="2367"/>
      <c r="AL48" s="2368"/>
      <c r="AM48" s="1379" t="s">
        <v>432</v>
      </c>
      <c r="AO48" s="621"/>
      <c r="AP48" s="621" t="str">
        <f>IF(T48="","",T48)</f>
        <v>Группа потребителей</v>
      </c>
      <c r="AQ48" s="621"/>
      <c r="AR48" s="621"/>
      <c r="AS48" s="1276">
        <v>23</v>
      </c>
    </row>
    <row customHeight="1" ht="24">
      <c r="A49" s="1484" t="s">
        <v>171</v>
      </c>
      <c r="B49" s="1484" t="s">
        <v>172</v>
      </c>
      <c r="C49" s="1484" t="s">
        <v>173</v>
      </c>
      <c r="D49" s="1484" t="s">
        <v>174</v>
      </c>
      <c r="E49" s="2380"/>
      <c r="F49" s="2380"/>
      <c r="G49" s="2380"/>
      <c r="H49" s="2380"/>
      <c r="I49" s="2407"/>
      <c r="J49" s="2407"/>
      <c r="K49" s="2377" t="str">
        <f>J48&amp;".1"</f>
        <v>1.1.1.1.1.1.1</v>
      </c>
      <c r="L49" s="1485" t="s">
        <v>433</v>
      </c>
      <c r="P49" s="2378"/>
      <c r="Q49" s="2378"/>
      <c r="R49" s="478">
        <v>1</v>
      </c>
      <c r="S49" s="1345" t="str">
        <f>$K49</f>
        <v>1.1.1.1.1.1.1</v>
      </c>
      <c r="T49" s="1468" t="s">
        <v>470</v>
      </c>
      <c r="U49" s="421"/>
      <c r="V49" s="872"/>
      <c r="W49" s="446"/>
      <c r="X49" s="872"/>
      <c r="Y49" s="1378"/>
      <c r="Z49" s="2386"/>
      <c r="AA49" s="2228" t="s">
        <v>66</v>
      </c>
      <c r="AB49" s="2386"/>
      <c r="AC49" s="2228" t="s">
        <v>66</v>
      </c>
      <c r="AD49" s="872">
        <v>2211.58</v>
      </c>
      <c r="AE49" s="446"/>
      <c r="AF49" s="872"/>
      <c r="AG49" s="1378"/>
      <c r="AH49" s="8411">
        <v>46023</v>
      </c>
      <c r="AI49" s="2228" t="s">
        <v>66</v>
      </c>
      <c r="AJ49" s="6785">
        <v>46387</v>
      </c>
      <c r="AK49" s="2228" t="s">
        <v>66</v>
      </c>
      <c r="AL49" s="1469"/>
      <c r="AM49" s="2374" t="s">
        <v>434</v>
      </c>
      <c r="AN49" s="632">
        <f>STRCHECKDATE(V50:AL50)</f>
      </c>
      <c r="AO49" s="621"/>
      <c r="AP49" s="621" t="str">
        <f>IF(T49="","",T49)</f>
        <v>вода</v>
      </c>
      <c r="AQ49" s="621"/>
      <c r="AR49" s="621"/>
      <c r="AS49" s="1276">
        <v>23</v>
      </c>
    </row>
    <row customHeight="1" ht="1.05">
      <c r="A50" s="1484" t="s">
        <v>171</v>
      </c>
      <c r="B50" s="1484" t="s">
        <v>172</v>
      </c>
      <c r="C50" s="1484" t="s">
        <v>173</v>
      </c>
      <c r="D50" s="1484" t="s">
        <v>174</v>
      </c>
      <c r="E50" s="2380"/>
      <c r="F50" s="2380"/>
      <c r="G50" s="2380"/>
      <c r="H50" s="2380"/>
      <c r="I50" s="2407"/>
      <c r="J50" s="2407"/>
      <c r="K50" s="2377"/>
      <c r="L50" s="1485"/>
      <c r="P50" s="2378"/>
      <c r="Q50" s="2378"/>
      <c r="R50" s="478"/>
      <c r="S50" s="1344"/>
      <c r="T50" s="421"/>
      <c r="U50" s="421"/>
      <c r="V50" s="446"/>
      <c r="W50" s="446"/>
      <c r="X50" s="446"/>
      <c r="Y50" s="449" t="str">
        <f>Z49&amp;"-"&amp;AB49</f>
        <v>-</v>
      </c>
      <c r="Z50" s="2387"/>
      <c r="AA50" s="2228"/>
      <c r="AB50" s="2387"/>
      <c r="AC50" s="2228"/>
      <c r="AD50" s="446"/>
      <c r="AE50" s="446"/>
      <c r="AF50" s="446"/>
      <c r="AG50" s="449" t="str">
        <f>AH49&amp;"-"&amp;AJ49</f>
        <v>46023-46387</v>
      </c>
      <c r="AH50" s="2387"/>
      <c r="AI50" s="2228"/>
      <c r="AJ50" s="2409"/>
      <c r="AK50" s="2228"/>
      <c r="AL50" s="1470"/>
      <c r="AM50" s="2375"/>
      <c r="AO50" s="621"/>
      <c r="AP50" s="621" t="str">
        <f>IF(T50="","",T50)</f>
        <v/>
      </c>
      <c r="AQ50" s="621"/>
      <c r="AR50" s="621"/>
      <c r="AS50" s="1276">
        <v>1</v>
      </c>
    </row>
    <row customHeight="1" ht="11.549999999999999">
      <c r="A51" s="1484" t="s">
        <v>171</v>
      </c>
      <c r="B51" s="1484" t="s">
        <v>172</v>
      </c>
      <c r="C51" s="1484" t="s">
        <v>173</v>
      </c>
      <c r="D51" s="1484" t="s">
        <v>174</v>
      </c>
      <c r="E51" s="2380"/>
      <c r="F51" s="2380"/>
      <c r="G51" s="2380"/>
      <c r="H51" s="2380"/>
      <c r="I51" s="2407"/>
      <c r="J51" s="2377"/>
      <c r="K51" s="1484"/>
      <c r="L51" s="1485"/>
      <c r="P51" s="2378"/>
      <c r="Q51" s="2378"/>
      <c r="R51" s="477"/>
      <c r="S51" s="1399"/>
      <c r="T51" s="409"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171</v>
      </c>
      <c r="B52" s="1484" t="s">
        <v>172</v>
      </c>
      <c r="C52" s="1484" t="s">
        <v>173</v>
      </c>
      <c r="D52" s="1484" t="s">
        <v>174</v>
      </c>
      <c r="E52" s="2380"/>
      <c r="F52" s="2380"/>
      <c r="G52" s="2380"/>
      <c r="H52" s="2380"/>
      <c r="I52" s="2377"/>
      <c r="J52" s="1484"/>
      <c r="K52" s="1484"/>
      <c r="L52" s="1485"/>
      <c r="P52" s="2378"/>
      <c r="Q52" s="1341"/>
      <c r="R52" s="477"/>
      <c r="S52" s="1399"/>
      <c r="T52" s="408"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171</v>
      </c>
      <c r="B53" s="1484" t="s">
        <v>172</v>
      </c>
      <c r="C53" s="1484" t="s">
        <v>173</v>
      </c>
      <c r="D53" s="1484" t="s">
        <v>174</v>
      </c>
      <c r="E53" s="2380"/>
      <c r="F53" s="2380"/>
      <c r="G53" s="2380"/>
      <c r="H53" s="2379"/>
      <c r="I53" s="1484"/>
      <c r="J53" s="1484"/>
      <c r="K53" s="1484"/>
      <c r="L53" s="1485"/>
      <c r="M53" s="1486"/>
      <c r="N53" s="1486"/>
      <c r="O53" s="658"/>
      <c r="P53" s="481"/>
      <c r="Q53" s="496"/>
      <c r="R53" s="476"/>
      <c r="S53" s="1399"/>
      <c r="T53" s="486" t="s">
        <v>437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17" customFormat="1" customHeight="1" ht="1.05">
      <c r="A54" s="1464" t="s">
        <v>171</v>
      </c>
      <c r="B54" s="1464" t="s">
        <v>172</v>
      </c>
      <c r="C54" s="1464" t="s">
        <v>173</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17" customFormat="1" customHeight="1" ht="1.05">
      <c r="A55" s="1464" t="s">
        <v>171</v>
      </c>
      <c r="B55" s="1464" t="s">
        <v>172</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17" customFormat="1" customHeight="1" ht="1.05">
      <c r="A56" s="1464" t="s">
        <v>171</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8469" customFormat="1" customHeight="1" ht="21">
      <c r="A57" s="3780" t="s">
        <v>179</v>
      </c>
      <c r="B57" s="3780"/>
      <c r="C57" s="3780"/>
      <c r="D57" s="3780"/>
      <c r="E57" s="3781" t="s">
        <v>103</v>
      </c>
      <c r="F57" s="3780"/>
      <c r="G57" s="3780"/>
      <c r="H57" s="3780"/>
      <c r="I57" s="3780"/>
      <c r="J57" s="3780"/>
      <c r="K57" s="3780"/>
      <c r="L57" s="3782"/>
      <c r="M57" s="3783"/>
      <c r="N57" s="3783"/>
      <c r="O57" s="3783"/>
      <c r="P57" s="3784"/>
      <c r="Q57" s="3785"/>
      <c r="R57" s="3786"/>
      <c r="S57" s="3787" t="str">
        <f>INDEX(PT_DIFFERENTIATION_NUM_NTAR,MATCH(A57,PT_DIFFERENTIATION_NTAR_ID,0))</f>
        <v>2</v>
      </c>
      <c r="T57" s="3788" t="s">
        <v>136</v>
      </c>
      <c r="U57" s="3789"/>
      <c r="V57" s="3790"/>
      <c r="W57" s="3791"/>
      <c r="X57" s="3791"/>
      <c r="Y57" s="3791"/>
      <c r="Z57" s="3791"/>
      <c r="AA57" s="3791"/>
      <c r="AB57" s="3791"/>
      <c r="AC57" s="3792"/>
      <c r="AD57" s="3790" t="str">
        <f>INDEX(PT_DIFFERENTIATION_NTAR,MATCH(A57,PT_DIFFERENTIATION_NTAR_ID,0))</f>
        <v>Тариф на тепловую энергию (мощность), 
поставляемую потребителям узла теплоснабжения ТЭЦ-5 ПАО "ТГК-1"</v>
      </c>
      <c r="AE57" s="3791"/>
      <c r="AF57" s="3791"/>
      <c r="AG57" s="3791"/>
      <c r="AH57" s="3791"/>
      <c r="AI57" s="3791"/>
      <c r="AJ57" s="3791"/>
      <c r="AK57" s="3791"/>
      <c r="AL57" s="3792"/>
      <c r="AM57" s="3793" t="s">
        <v>420</v>
      </c>
      <c r="AN57" s="3794"/>
      <c r="AO57" s="3795"/>
      <c r="AP57" s="3795" t="str">
        <f>IF(T57="","",T57)</f>
        <v>Наименование тарифа</v>
      </c>
      <c r="AQ57" s="3795"/>
      <c r="AR57" s="3795"/>
      <c r="AS57" s="3796">
        <v>0</v>
      </c>
    </row>
    <row s="8469" customFormat="1" customHeight="1" ht="21">
      <c r="A58" s="3780"/>
      <c r="B58" s="3780" t="s">
        <v>180</v>
      </c>
      <c r="C58" s="3780"/>
      <c r="D58" s="3780"/>
      <c r="E58" s="3798">
        <v>1</v>
      </c>
      <c r="F58" s="3781">
        <v>1</v>
      </c>
      <c r="G58" s="3780"/>
      <c r="H58" s="3780"/>
      <c r="I58" s="3780"/>
      <c r="J58" s="3780"/>
      <c r="K58" s="3780"/>
      <c r="L58" s="3782"/>
      <c r="M58" s="3783"/>
      <c r="N58" s="3783"/>
      <c r="O58" s="3783"/>
      <c r="P58" s="3799"/>
      <c r="Q58" s="3800"/>
      <c r="R58" s="3801"/>
      <c r="S58" s="3787" t="str">
        <f>INDEX(PT_DIFFERENTIATION_NUM_TER,MATCH(B58,PT_DIFFERENTIATION_TER_ID,0))</f>
        <v>2.1</v>
      </c>
      <c r="T58" s="3802" t="s">
        <v>421</v>
      </c>
      <c r="U58" s="3789"/>
      <c r="V58" s="3790"/>
      <c r="W58" s="3791"/>
      <c r="X58" s="3791"/>
      <c r="Y58" s="3791"/>
      <c r="Z58" s="3791"/>
      <c r="AA58" s="3791"/>
      <c r="AB58" s="3791"/>
      <c r="AC58" s="3792"/>
      <c r="AD58" s="3790" t="str">
        <f>INDEX(PT_DIFFERENTIATION_TER,MATCH(B58,PT_DIFFERENTIATION_TER_ID,0))</f>
        <v>Территория 2</v>
      </c>
      <c r="AE58" s="3791"/>
      <c r="AF58" s="3791"/>
      <c r="AG58" s="3791"/>
      <c r="AH58" s="3791"/>
      <c r="AI58" s="3791"/>
      <c r="AJ58" s="3791"/>
      <c r="AK58" s="3791"/>
      <c r="AL58" s="3792"/>
      <c r="AM58" s="3793" t="s">
        <v>422</v>
      </c>
      <c r="AN58" s="3794"/>
      <c r="AO58" s="3795"/>
      <c r="AP58" s="3795" t="str">
        <f>IF(T58="","",T58)</f>
        <v>Территория действия тарифа</v>
      </c>
      <c r="AQ58" s="3795"/>
      <c r="AR58" s="3795"/>
      <c r="AS58" s="3796">
        <v>0</v>
      </c>
    </row>
    <row s="8469" customFormat="1" customHeight="1" ht="23.25">
      <c r="A59" s="3780"/>
      <c r="B59" s="3780"/>
      <c r="C59" s="3780" t="s">
        <v>181</v>
      </c>
      <c r="D59" s="3780"/>
      <c r="E59" s="3798">
        <v>1</v>
      </c>
      <c r="F59" s="3798"/>
      <c r="G59" s="3781">
        <v>1</v>
      </c>
      <c r="H59" s="3780"/>
      <c r="I59" s="3780"/>
      <c r="J59" s="3780"/>
      <c r="K59" s="3780"/>
      <c r="L59" s="3782"/>
      <c r="M59" s="3783"/>
      <c r="N59" s="3783"/>
      <c r="O59" s="3783"/>
      <c r="P59" s="3804"/>
      <c r="Q59" s="3800"/>
      <c r="R59" s="3801"/>
      <c r="S59" s="3787" t="str">
        <f>INDEX(PT_DIFFERENTIATION_NUM_CS,MATCH(C59,PT_DIFFERENTIATION_CS_ID,0))</f>
        <v>2.1.1</v>
      </c>
      <c r="T59" s="3805" t="s">
        <v>423</v>
      </c>
      <c r="U59" s="3789"/>
      <c r="V59" s="3790"/>
      <c r="W59" s="3791"/>
      <c r="X59" s="3791"/>
      <c r="Y59" s="3791"/>
      <c r="Z59" s="3791"/>
      <c r="AA59" s="3791"/>
      <c r="AB59" s="3791"/>
      <c r="AC59" s="3792"/>
      <c r="AD59" s="3790" t="str">
        <f>INDEX(PT_DIFFERENTIATION_CS,MATCH(C59,PT_DIFFERENTIATION_CS_ID,0))</f>
        <v>без дифференциации</v>
      </c>
      <c r="AE59" s="3791"/>
      <c r="AF59" s="3791"/>
      <c r="AG59" s="3791"/>
      <c r="AH59" s="3791"/>
      <c r="AI59" s="3791"/>
      <c r="AJ59" s="3791"/>
      <c r="AK59" s="3791"/>
      <c r="AL59" s="3792"/>
      <c r="AM59" s="3793" t="s">
        <v>424</v>
      </c>
      <c r="AN59" s="3794"/>
      <c r="AO59" s="3795"/>
      <c r="AP59" s="3795" t="str">
        <f>IF(T59="","",T59)</f>
        <v>Наименование системы теплоснабжения </v>
      </c>
      <c r="AQ59" s="3795"/>
      <c r="AR59" s="3795"/>
      <c r="AS59" s="3796">
        <v>0</v>
      </c>
    </row>
    <row s="8469" customFormat="1" customHeight="1" ht="21">
      <c r="A60" s="3780"/>
      <c r="B60" s="3780"/>
      <c r="C60" s="3780"/>
      <c r="D60" s="3780" t="s">
        <v>182</v>
      </c>
      <c r="E60" s="3798">
        <v>1</v>
      </c>
      <c r="F60" s="3798"/>
      <c r="G60" s="3798"/>
      <c r="H60" s="3781">
        <v>1</v>
      </c>
      <c r="I60" s="3780"/>
      <c r="J60" s="3780"/>
      <c r="K60" s="3780"/>
      <c r="L60" s="3782"/>
      <c r="M60" s="3783"/>
      <c r="N60" s="3783"/>
      <c r="O60" s="3783"/>
      <c r="P60" s="3804"/>
      <c r="Q60" s="3800"/>
      <c r="R60" s="3801"/>
      <c r="S60" s="3787" t="str">
        <f>INDEX(PT_DIFFERENTIATION_NUM_IST_TE,MATCH(D60,PT_DIFFERENTIATION_IST_TE_ID,0))</f>
        <v>2.1.1.1</v>
      </c>
      <c r="T60" s="3807" t="s">
        <v>425</v>
      </c>
      <c r="U60" s="3789"/>
      <c r="V60" s="3790"/>
      <c r="W60" s="3791"/>
      <c r="X60" s="3791"/>
      <c r="Y60" s="3791"/>
      <c r="Z60" s="3791"/>
      <c r="AA60" s="3791"/>
      <c r="AB60" s="3791"/>
      <c r="AC60" s="3792"/>
      <c r="AD60" s="3790" t="str">
        <f>INDEX(PT_DIFFERENTIATION_IST_TE,MATCH(D60,PT_DIFFERENTIATION_IST_TE_ID,0))</f>
        <v>без дифференциации</v>
      </c>
      <c r="AE60" s="3791"/>
      <c r="AF60" s="3791"/>
      <c r="AG60" s="3791"/>
      <c r="AH60" s="3791"/>
      <c r="AI60" s="3791"/>
      <c r="AJ60" s="3791"/>
      <c r="AK60" s="3791"/>
      <c r="AL60" s="3792"/>
      <c r="AM60" s="3793" t="s">
        <v>426</v>
      </c>
      <c r="AN60" s="3794"/>
      <c r="AO60" s="3795"/>
      <c r="AP60" s="3795" t="str">
        <f>IF(T60="","",T60)</f>
        <v>Источник тепловой энергии  </v>
      </c>
      <c r="AQ60" s="3795"/>
      <c r="AR60" s="3795"/>
      <c r="AS60" s="3796">
        <v>0</v>
      </c>
    </row>
    <row s="8469" customFormat="1" customHeight="1" ht="47.25">
      <c r="A61" s="3780"/>
      <c r="B61" s="3780"/>
      <c r="C61" s="3780"/>
      <c r="D61" s="3780"/>
      <c r="E61" s="3798">
        <v>1</v>
      </c>
      <c r="F61" s="3798"/>
      <c r="G61" s="3798"/>
      <c r="H61" s="3798"/>
      <c r="I61" s="3809" t="str">
        <f>S60&amp;".1"</f>
        <v>2.1.1.1.1</v>
      </c>
      <c r="J61" s="3780"/>
      <c r="K61" s="3780"/>
      <c r="L61" s="3782" t="s">
        <v>427</v>
      </c>
      <c r="M61" s="3810"/>
      <c r="N61" s="3811"/>
      <c r="O61" s="3811"/>
      <c r="P61" s="3812">
        <v>1</v>
      </c>
      <c r="Q61" s="3812"/>
      <c r="R61" s="3813"/>
      <c r="S61" s="3787" t="str">
        <f>$I61</f>
        <v>2.1.1.1.1</v>
      </c>
      <c r="T61" s="3814" t="s">
        <v>428</v>
      </c>
      <c r="U61" s="3789"/>
      <c r="V61" s="3815"/>
      <c r="W61" s="3816"/>
      <c r="X61" s="3816"/>
      <c r="Y61" s="3816"/>
      <c r="Z61" s="3816"/>
      <c r="AA61" s="3816"/>
      <c r="AB61" s="3816"/>
      <c r="AC61" s="3817"/>
      <c r="AD61" s="3815" t="s">
        <v>469</v>
      </c>
      <c r="AE61" s="3816"/>
      <c r="AF61" s="3816"/>
      <c r="AG61" s="3816"/>
      <c r="AH61" s="3816"/>
      <c r="AI61" s="3816"/>
      <c r="AJ61" s="3816"/>
      <c r="AK61" s="3816"/>
      <c r="AL61" s="3817"/>
      <c r="AM61" s="3793" t="s">
        <v>429</v>
      </c>
      <c r="AN61" s="3794"/>
      <c r="AO61" s="3795"/>
      <c r="AP61" s="3795" t="str">
        <f>IF(T61="","",T61)</f>
        <v>Схема подключения теплопотребляющей установки к коллектору источника тепловой энергии</v>
      </c>
      <c r="AQ61" s="3795"/>
      <c r="AR61" s="3795"/>
      <c r="AS61" s="3796">
        <v>0</v>
      </c>
    </row>
    <row s="8469" customFormat="1" customHeight="1" ht="21">
      <c r="A62" s="3780"/>
      <c r="B62" s="3780"/>
      <c r="C62" s="3780"/>
      <c r="D62" s="3780"/>
      <c r="E62" s="3798">
        <v>1</v>
      </c>
      <c r="F62" s="3798"/>
      <c r="G62" s="3798"/>
      <c r="H62" s="3798"/>
      <c r="I62" s="3819"/>
      <c r="J62" s="3809" t="str">
        <f>I61&amp;".1"</f>
        <v>2.1.1.1.1.1</v>
      </c>
      <c r="K62" s="3780"/>
      <c r="L62" s="3782" t="s">
        <v>430</v>
      </c>
      <c r="M62" s="3810"/>
      <c r="N62" s="3810"/>
      <c r="O62" s="3811"/>
      <c r="P62" s="3812"/>
      <c r="Q62" s="3812">
        <v>1</v>
      </c>
      <c r="R62" s="3820"/>
      <c r="S62" s="3787" t="str">
        <f>$J62</f>
        <v>2.1.1.1.1.1</v>
      </c>
      <c r="T62" s="3821" t="s">
        <v>431</v>
      </c>
      <c r="U62" s="3789"/>
      <c r="V62" s="3815"/>
      <c r="W62" s="3816"/>
      <c r="X62" s="3816"/>
      <c r="Y62" s="3816"/>
      <c r="Z62" s="3816"/>
      <c r="AA62" s="3816"/>
      <c r="AB62" s="3816"/>
      <c r="AC62" s="3817"/>
      <c r="AD62" s="3815" t="s">
        <v>469</v>
      </c>
      <c r="AE62" s="3816"/>
      <c r="AF62" s="3816"/>
      <c r="AG62" s="3816"/>
      <c r="AH62" s="3816"/>
      <c r="AI62" s="3816"/>
      <c r="AJ62" s="3816"/>
      <c r="AK62" s="3816"/>
      <c r="AL62" s="3817"/>
      <c r="AM62" s="3793" t="s">
        <v>432</v>
      </c>
      <c r="AN62" s="3794"/>
      <c r="AO62" s="3795"/>
      <c r="AP62" s="3795" t="str">
        <f>IF(T62="","",T62)</f>
        <v>Группа потребителей</v>
      </c>
      <c r="AQ62" s="3795"/>
      <c r="AR62" s="3795"/>
      <c r="AS62" s="3796">
        <v>0</v>
      </c>
    </row>
    <row s="8469" customFormat="1" customHeight="1" ht="21">
      <c r="A63" s="3780"/>
      <c r="B63" s="3780"/>
      <c r="C63" s="3780"/>
      <c r="D63" s="3780"/>
      <c r="E63" s="3798">
        <v>1</v>
      </c>
      <c r="F63" s="3798"/>
      <c r="G63" s="3798"/>
      <c r="H63" s="3798"/>
      <c r="I63" s="3819"/>
      <c r="J63" s="3819"/>
      <c r="K63" s="3809" t="str">
        <f>J62&amp;".1"</f>
        <v>2.1.1.1.1.1.1</v>
      </c>
      <c r="L63" s="3782" t="s">
        <v>433</v>
      </c>
      <c r="M63" s="3810"/>
      <c r="N63" s="3810"/>
      <c r="O63" s="3810"/>
      <c r="P63" s="3812"/>
      <c r="Q63" s="3812"/>
      <c r="R63" s="3820">
        <v>1</v>
      </c>
      <c r="S63" s="3787" t="str">
        <f>$K63</f>
        <v>2.1.1.1.1.1.1</v>
      </c>
      <c r="T63" s="3823" t="s">
        <v>470</v>
      </c>
      <c r="U63" s="3789"/>
      <c r="V63" s="3824"/>
      <c r="W63" s="3825"/>
      <c r="X63" s="3824"/>
      <c r="Y63" s="3826"/>
      <c r="Z63" s="3769"/>
      <c r="AA63" s="3155" t="s">
        <v>66</v>
      </c>
      <c r="AB63" s="3769"/>
      <c r="AC63" s="3155" t="s">
        <v>66</v>
      </c>
      <c r="AD63" s="3824">
        <v>2226.76</v>
      </c>
      <c r="AE63" s="3825"/>
      <c r="AF63" s="3824"/>
      <c r="AG63" s="3826"/>
      <c r="AH63" s="8411">
        <v>46023</v>
      </c>
      <c r="AI63" s="3155" t="s">
        <v>66</v>
      </c>
      <c r="AJ63" s="8411">
        <v>46387</v>
      </c>
      <c r="AK63" s="3155" t="s">
        <v>66</v>
      </c>
      <c r="AL63" s="3825"/>
      <c r="AM63" s="3827" t="s">
        <v>434</v>
      </c>
      <c r="AN63" s="3794">
        <f>STRCHECKDATE(V64:AL64)</f>
      </c>
      <c r="AO63" s="3795"/>
      <c r="AP63" s="3795" t="str">
        <f>IF(T63="","",T63)</f>
        <v>вода</v>
      </c>
      <c r="AQ63" s="3795"/>
      <c r="AR63" s="3795"/>
      <c r="AS63" s="3796">
        <v>0</v>
      </c>
    </row>
    <row s="8469" customFormat="1" customHeight="1" ht="0.75">
      <c r="A64" s="3780"/>
      <c r="B64" s="3780"/>
      <c r="C64" s="3780"/>
      <c r="D64" s="3780"/>
      <c r="E64" s="3798">
        <v>1</v>
      </c>
      <c r="F64" s="3798"/>
      <c r="G64" s="3798"/>
      <c r="H64" s="3798"/>
      <c r="I64" s="3819"/>
      <c r="J64" s="3819"/>
      <c r="K64" s="3809"/>
      <c r="L64" s="3782"/>
      <c r="M64" s="3810"/>
      <c r="N64" s="3810"/>
      <c r="O64" s="3810"/>
      <c r="P64" s="3812"/>
      <c r="Q64" s="3812"/>
      <c r="R64" s="3820"/>
      <c r="S64" s="3829"/>
      <c r="T64" s="3789"/>
      <c r="U64" s="3789"/>
      <c r="V64" s="3825"/>
      <c r="W64" s="3825"/>
      <c r="X64" s="3825"/>
      <c r="Y64" s="3830" t="str">
        <f>Z63&amp;"-"&amp;AB63</f>
        <v>-</v>
      </c>
      <c r="Z64" s="3831"/>
      <c r="AA64" s="3155"/>
      <c r="AB64" s="3831"/>
      <c r="AC64" s="3155"/>
      <c r="AD64" s="3825"/>
      <c r="AE64" s="3825"/>
      <c r="AF64" s="3825"/>
      <c r="AG64" s="3830" t="str">
        <f>AH63&amp;"-"&amp;AJ63</f>
        <v>46023-46387</v>
      </c>
      <c r="AH64" s="3831"/>
      <c r="AI64" s="3155"/>
      <c r="AJ64" s="3831"/>
      <c r="AK64" s="3155"/>
      <c r="AL64" s="3825"/>
      <c r="AM64" s="3832"/>
      <c r="AN64" s="3794"/>
      <c r="AO64" s="3795"/>
      <c r="AP64" s="3795" t="str">
        <f>IF(T64="","",T64)</f>
        <v/>
      </c>
      <c r="AQ64" s="3795"/>
      <c r="AR64" s="3795"/>
      <c r="AS64" s="3796">
        <v>0</v>
      </c>
    </row>
    <row s="8469" customFormat="1" customHeight="1" ht="15">
      <c r="A65" s="3780"/>
      <c r="B65" s="3780"/>
      <c r="C65" s="3780"/>
      <c r="D65" s="3780"/>
      <c r="E65" s="3798">
        <v>1</v>
      </c>
      <c r="F65" s="3798"/>
      <c r="G65" s="3798"/>
      <c r="H65" s="3798"/>
      <c r="I65" s="3819"/>
      <c r="J65" s="3809"/>
      <c r="K65" s="3780"/>
      <c r="L65" s="3782"/>
      <c r="M65" s="3810"/>
      <c r="N65" s="3810"/>
      <c r="O65" s="3811"/>
      <c r="P65" s="3812"/>
      <c r="Q65" s="3812"/>
      <c r="R65" s="3813"/>
      <c r="S65" s="3834"/>
      <c r="T65" s="3835" t="s">
        <v>435</v>
      </c>
      <c r="U65" s="3836"/>
      <c r="V65" s="3837"/>
      <c r="W65" s="3838"/>
      <c r="X65" s="3839"/>
      <c r="Y65" s="3840"/>
      <c r="Z65" s="3841"/>
      <c r="AA65" s="3842"/>
      <c r="AB65" s="3843"/>
      <c r="AC65" s="3844"/>
      <c r="AD65" s="3845"/>
      <c r="AE65" s="3846"/>
      <c r="AF65" s="3847"/>
      <c r="AG65" s="3848"/>
      <c r="AH65" s="3849"/>
      <c r="AI65" s="3850"/>
      <c r="AJ65" s="3851"/>
      <c r="AK65" s="3852"/>
      <c r="AL65" s="3853"/>
      <c r="AM65" s="3854"/>
      <c r="AN65" s="3794"/>
      <c r="AO65" s="3795"/>
      <c r="AP65" s="3795" t="str">
        <f>IF(T65="","",T65)</f>
        <v>Добавить вид теплоносителя (параметры теплоносителя)</v>
      </c>
      <c r="AQ65" s="3795"/>
      <c r="AR65" s="3795"/>
      <c r="AS65" s="3796">
        <v>0</v>
      </c>
    </row>
    <row s="8469" customFormat="1" customHeight="1" ht="15">
      <c r="A66" s="3780"/>
      <c r="B66" s="3780"/>
      <c r="C66" s="3780"/>
      <c r="D66" s="3780"/>
      <c r="E66" s="3798">
        <v>1</v>
      </c>
      <c r="F66" s="3798"/>
      <c r="G66" s="3798"/>
      <c r="H66" s="3798"/>
      <c r="I66" s="3809"/>
      <c r="J66" s="3780"/>
      <c r="K66" s="3780"/>
      <c r="L66" s="3782"/>
      <c r="M66" s="3810"/>
      <c r="N66" s="3811"/>
      <c r="O66" s="3811"/>
      <c r="P66" s="3812"/>
      <c r="Q66" s="3812"/>
      <c r="R66" s="3813"/>
      <c r="S66" s="3856"/>
      <c r="T66" s="3857" t="s">
        <v>436</v>
      </c>
      <c r="U66" s="3858"/>
      <c r="V66" s="3859"/>
      <c r="W66" s="3860"/>
      <c r="X66" s="3861"/>
      <c r="Y66" s="3862"/>
      <c r="Z66" s="3863"/>
      <c r="AA66" s="3864"/>
      <c r="AB66" s="3865"/>
      <c r="AC66" s="3866"/>
      <c r="AD66" s="3867"/>
      <c r="AE66" s="3868"/>
      <c r="AF66" s="3869"/>
      <c r="AG66" s="3870"/>
      <c r="AH66" s="3871"/>
      <c r="AI66" s="3872"/>
      <c r="AJ66" s="3873"/>
      <c r="AK66" s="3874"/>
      <c r="AL66" s="3875"/>
      <c r="AM66" s="3876"/>
      <c r="AN66" s="3794"/>
      <c r="AO66" s="3795"/>
      <c r="AP66" s="3795" t="str">
        <f>IF(T66="","",T66)</f>
        <v>Добавить группу потребителей</v>
      </c>
      <c r="AQ66" s="3795"/>
      <c r="AR66" s="3795"/>
      <c r="AS66" s="3796">
        <v>0</v>
      </c>
    </row>
    <row s="8469" customFormat="1" customHeight="1" ht="14.25">
      <c r="A67" s="3780"/>
      <c r="B67" s="3780"/>
      <c r="C67" s="3780"/>
      <c r="D67" s="3780"/>
      <c r="E67" s="3798">
        <v>1</v>
      </c>
      <c r="F67" s="3798"/>
      <c r="G67" s="3798"/>
      <c r="H67" s="3781"/>
      <c r="I67" s="3780"/>
      <c r="J67" s="3780"/>
      <c r="K67" s="3780"/>
      <c r="L67" s="3782"/>
      <c r="M67" s="3783"/>
      <c r="N67" s="3783"/>
      <c r="O67" s="3810"/>
      <c r="P67" s="3785"/>
      <c r="Q67" s="3878"/>
      <c r="R67" s="3786"/>
      <c r="S67" s="3879"/>
      <c r="T67" s="3880" t="s">
        <v>437</v>
      </c>
      <c r="U67" s="3881"/>
      <c r="V67" s="3882"/>
      <c r="W67" s="3883"/>
      <c r="X67" s="3884"/>
      <c r="Y67" s="3885"/>
      <c r="Z67" s="3886"/>
      <c r="AA67" s="3887"/>
      <c r="AB67" s="3888"/>
      <c r="AC67" s="3889"/>
      <c r="AD67" s="3890"/>
      <c r="AE67" s="3891"/>
      <c r="AF67" s="3892"/>
      <c r="AG67" s="3893"/>
      <c r="AH67" s="3894"/>
      <c r="AI67" s="3895"/>
      <c r="AJ67" s="3896"/>
      <c r="AK67" s="3897"/>
      <c r="AL67" s="3898"/>
      <c r="AM67" s="3899"/>
      <c r="AN67" s="3794"/>
      <c r="AO67" s="3795"/>
      <c r="AP67" s="3795" t="str">
        <f>IF(T67="","",T67)</f>
        <v>Добавить схему подключения</v>
      </c>
      <c r="AQ67" s="3795"/>
      <c r="AR67" s="3795"/>
      <c r="AS67" s="3796">
        <v>0</v>
      </c>
    </row>
    <row s="7207" customFormat="1" customHeight="1" ht="0.75">
      <c r="A68" s="3901"/>
      <c r="B68" s="3901"/>
      <c r="C68" s="3901"/>
      <c r="D68" s="3901"/>
      <c r="E68" s="3798">
        <v>1</v>
      </c>
      <c r="F68" s="3798"/>
      <c r="G68" s="3781"/>
      <c r="H68" s="3901"/>
      <c r="I68" s="3901"/>
      <c r="J68" s="3901"/>
      <c r="K68" s="3901"/>
      <c r="L68" s="3902"/>
      <c r="M68" s="3903"/>
      <c r="N68" s="3903"/>
      <c r="O68" s="3794"/>
      <c r="P68" s="3904"/>
      <c r="Q68" s="3905"/>
      <c r="R68" s="3904"/>
      <c r="S68" s="3906"/>
      <c r="T68" s="3907" t="s">
        <v>175</v>
      </c>
      <c r="U68" s="3908"/>
      <c r="V68" s="3908"/>
      <c r="W68" s="3908"/>
      <c r="X68" s="3908"/>
      <c r="Y68" s="3908"/>
      <c r="Z68" s="3908"/>
      <c r="AA68" s="3908"/>
      <c r="AB68" s="3908"/>
      <c r="AC68" s="3908"/>
      <c r="AD68" s="3908"/>
      <c r="AE68" s="3908"/>
      <c r="AF68" s="3908"/>
      <c r="AG68" s="3908"/>
      <c r="AH68" s="3908"/>
      <c r="AI68" s="3908"/>
      <c r="AJ68" s="3908"/>
      <c r="AK68" s="3908"/>
      <c r="AL68" s="3908"/>
      <c r="AM68" s="3908"/>
      <c r="AN68" s="3794"/>
      <c r="AO68" s="3795"/>
      <c r="AP68" s="3795" t="str">
        <f>IF(T68="","",T68)</f>
        <v>Добавить источник для дифференциации</v>
      </c>
      <c r="AQ68" s="3795"/>
      <c r="AR68" s="3795"/>
      <c r="AS68" s="3794">
        <v>0</v>
      </c>
    </row>
    <row s="7207" customFormat="1" customHeight="1" ht="0.75">
      <c r="A69" s="3901"/>
      <c r="B69" s="3901"/>
      <c r="C69" s="3901"/>
      <c r="D69" s="3901"/>
      <c r="E69" s="3798">
        <v>1</v>
      </c>
      <c r="F69" s="3781"/>
      <c r="G69" s="3901"/>
      <c r="H69" s="3901"/>
      <c r="I69" s="3901"/>
      <c r="J69" s="3901"/>
      <c r="K69" s="3901"/>
      <c r="L69" s="3902"/>
      <c r="M69" s="3910"/>
      <c r="N69" s="3910"/>
      <c r="O69" s="3794"/>
      <c r="P69" s="3904"/>
      <c r="Q69" s="3905"/>
      <c r="R69" s="3904"/>
      <c r="S69" s="3911"/>
      <c r="T69" s="3912" t="s">
        <v>176</v>
      </c>
      <c r="U69" s="3913"/>
      <c r="V69" s="3913"/>
      <c r="W69" s="3913"/>
      <c r="X69" s="3913"/>
      <c r="Y69" s="3913"/>
      <c r="Z69" s="3913"/>
      <c r="AA69" s="3913"/>
      <c r="AB69" s="3913"/>
      <c r="AC69" s="3913"/>
      <c r="AD69" s="3913"/>
      <c r="AE69" s="3913"/>
      <c r="AF69" s="3913"/>
      <c r="AG69" s="3913"/>
      <c r="AH69" s="3913"/>
      <c r="AI69" s="3913"/>
      <c r="AJ69" s="3913"/>
      <c r="AK69" s="3913"/>
      <c r="AL69" s="3913"/>
      <c r="AM69" s="3913"/>
      <c r="AN69" s="3794"/>
      <c r="AO69" s="3795"/>
      <c r="AP69" s="3795" t="str">
        <f>IF(T69="","",T69)</f>
        <v>Добавить централизованную систему для дифференциации</v>
      </c>
      <c r="AQ69" s="3795"/>
      <c r="AR69" s="3795"/>
      <c r="AS69" s="3794">
        <v>0</v>
      </c>
    </row>
    <row s="7207" customFormat="1" customHeight="1" ht="0.75">
      <c r="A70" s="3901"/>
      <c r="B70" s="3901"/>
      <c r="C70" s="3901"/>
      <c r="D70" s="3901"/>
      <c r="E70" s="3781">
        <v>1</v>
      </c>
      <c r="F70" s="3901"/>
      <c r="G70" s="3901"/>
      <c r="H70" s="3901"/>
      <c r="I70" s="3901"/>
      <c r="J70" s="3901"/>
      <c r="K70" s="3901"/>
      <c r="L70" s="3902"/>
      <c r="M70" s="3910"/>
      <c r="N70" s="3910"/>
      <c r="O70" s="3794"/>
      <c r="P70" s="3904"/>
      <c r="Q70" s="3905"/>
      <c r="R70" s="3904"/>
      <c r="S70" s="3911"/>
      <c r="T70" s="3915" t="s">
        <v>177</v>
      </c>
      <c r="U70" s="3913"/>
      <c r="V70" s="3913"/>
      <c r="W70" s="3913"/>
      <c r="X70" s="3913"/>
      <c r="Y70" s="3913"/>
      <c r="Z70" s="3913"/>
      <c r="AA70" s="3913"/>
      <c r="AB70" s="3913"/>
      <c r="AC70" s="3913"/>
      <c r="AD70" s="3913"/>
      <c r="AE70" s="3913"/>
      <c r="AF70" s="3913"/>
      <c r="AG70" s="3913"/>
      <c r="AH70" s="3913"/>
      <c r="AI70" s="3913"/>
      <c r="AJ70" s="3913"/>
      <c r="AK70" s="3913"/>
      <c r="AL70" s="3913"/>
      <c r="AM70" s="3913"/>
      <c r="AN70" s="3794"/>
      <c r="AO70" s="3795"/>
      <c r="AP70" s="3795" t="str">
        <f>IF(T70="","",T70)</f>
        <v>Добавить территорию для дифференциации</v>
      </c>
      <c r="AQ70" s="3795"/>
      <c r="AR70" s="3795"/>
      <c r="AS70" s="3794">
        <v>0</v>
      </c>
    </row>
    <row s="7217" customFormat="1" customHeight="1" ht="1.05">
      <c r="A71" s="1435"/>
      <c r="B71" s="1435"/>
      <c r="C71" s="1435"/>
      <c r="D71" s="1435"/>
      <c r="E71" s="1464"/>
      <c r="F71" s="1435"/>
      <c r="G71" s="1435"/>
      <c r="H71" s="1435"/>
      <c r="I71" s="1435"/>
      <c r="J71" s="1435"/>
      <c r="K71" s="1435"/>
      <c r="L71" s="1460"/>
      <c r="M71" s="1442"/>
      <c r="N71" s="1442"/>
      <c r="P71" s="1437"/>
      <c r="Q71" s="1438"/>
      <c r="R71" s="1437"/>
      <c r="S71" s="1443"/>
      <c r="T71" s="1446" t="s">
        <v>183</v>
      </c>
      <c r="U71" s="1445"/>
      <c r="V71" s="1445"/>
      <c r="W71" s="1445"/>
      <c r="X71" s="1445"/>
      <c r="Y71" s="1445"/>
      <c r="Z71" s="1445"/>
      <c r="AA71" s="1445"/>
      <c r="AB71" s="1445"/>
      <c r="AC71" s="1445"/>
      <c r="AD71" s="1445"/>
      <c r="AE71" s="1445"/>
      <c r="AF71" s="1445"/>
      <c r="AG71" s="1445"/>
      <c r="AH71" s="1445"/>
      <c r="AI71" s="1445"/>
      <c r="AJ71" s="1445"/>
      <c r="AK71" s="1445"/>
      <c r="AL71" s="1445"/>
      <c r="AM71" s="1445"/>
      <c r="AO71" s="910"/>
      <c r="AP71" s="910" t="str">
        <f>IF(T71="","",T71)</f>
        <v>Добавить наименование тарифа</v>
      </c>
      <c r="AQ71" s="910"/>
      <c r="AR71" s="910"/>
      <c r="AS71" s="639">
        <v>1</v>
      </c>
    </row>
    <row customHeight="1" ht="11.549999999999999">
      <c r="M72" s="1281"/>
      <c r="N72" s="1281"/>
      <c r="O72" s="658"/>
      <c r="P72" s="1276"/>
      <c r="Q72" s="1276"/>
      <c r="R72" s="1276"/>
      <c r="S72" s="1276"/>
      <c r="AN72" s="1276"/>
      <c r="AO72" s="1276"/>
      <c r="AP72" s="1276"/>
      <c r="AQ72" s="1276"/>
      <c r="AR72" s="1276"/>
      <c r="AS72" s="1276">
        <v>11</v>
      </c>
    </row>
    <row customHeight="1" ht="28.5">
      <c r="O73" s="658"/>
      <c r="S73" s="1374"/>
      <c r="T73" s="2406"/>
      <c r="U73" s="2406"/>
      <c r="V73" s="2406"/>
      <c r="W73" s="2406"/>
      <c r="X73" s="2406"/>
      <c r="Y73" s="2406"/>
      <c r="Z73" s="2406"/>
      <c r="AA73" s="2406"/>
      <c r="AB73" s="2406"/>
      <c r="AC73" s="2406"/>
      <c r="AD73" s="2406"/>
      <c r="AE73" s="2406"/>
      <c r="AF73" s="2406"/>
      <c r="AG73" s="2406"/>
      <c r="AH73" s="2406"/>
      <c r="AI73" s="2406"/>
      <c r="AJ73" s="2406"/>
      <c r="AK73" s="2406"/>
      <c r="AL73" s="2406"/>
      <c r="AM73" s="2406"/>
      <c r="AS73" s="1276">
        <v>27</v>
      </c>
    </row>
    <row customHeight="1" ht="67.2">
      <c r="O74" s="658"/>
      <c r="P74" s="1424"/>
      <c r="T74" s="2406"/>
      <c r="U74" s="2406"/>
      <c r="V74" s="2406"/>
      <c r="W74" s="2406"/>
      <c r="X74" s="2406"/>
      <c r="Y74" s="2406"/>
      <c r="Z74" s="2406"/>
      <c r="AA74" s="2406"/>
      <c r="AB74" s="2406"/>
      <c r="AC74" s="2406"/>
      <c r="AD74" s="2406"/>
      <c r="AE74" s="2406"/>
      <c r="AF74" s="2406"/>
      <c r="AG74" s="2406"/>
      <c r="AH74" s="2406"/>
      <c r="AI74" s="2406"/>
      <c r="AJ74" s="2406"/>
      <c r="AK74" s="2406"/>
      <c r="AL74" s="2406"/>
      <c r="AM74" s="2406"/>
      <c r="AS74" s="1276">
        <v>64</v>
      </c>
    </row>
    <row customHeight="1" ht="14.699999999999998">
      <c r="O75" s="658"/>
      <c r="AS75" s="1276">
        <v>14</v>
      </c>
    </row>
    <row customHeight="1" ht="18.75">
      <c r="O76" s="658"/>
      <c r="P76" s="1449"/>
      <c r="S76" s="1374"/>
      <c r="T76" s="2406"/>
      <c r="U76" s="2406"/>
      <c r="V76" s="2406"/>
      <c r="W76" s="2406"/>
      <c r="X76" s="2406"/>
      <c r="Y76" s="2406"/>
      <c r="Z76" s="2406"/>
      <c r="AA76" s="2406"/>
      <c r="AB76" s="2406"/>
      <c r="AC76" s="2406"/>
      <c r="AD76" s="2406"/>
      <c r="AE76" s="2406"/>
      <c r="AF76" s="2406"/>
      <c r="AG76" s="2406"/>
      <c r="AH76" s="2406"/>
      <c r="AI76" s="2406"/>
      <c r="AJ76" s="2406"/>
      <c r="AK76" s="2406"/>
      <c r="AL76" s="2406"/>
      <c r="AM76" s="2406"/>
      <c r="AS76" s="1276">
        <v>18</v>
      </c>
    </row>
    <row customHeight="1" ht="18.75">
      <c r="O77" s="658"/>
      <c r="P77" s="1449"/>
      <c r="T77" s="2406"/>
      <c r="U77" s="2406"/>
      <c r="V77" s="2406"/>
      <c r="W77" s="2406"/>
      <c r="X77" s="2406"/>
      <c r="Y77" s="2406"/>
      <c r="Z77" s="2406"/>
      <c r="AA77" s="2406"/>
      <c r="AB77" s="2406"/>
      <c r="AC77" s="2406"/>
      <c r="AD77" s="2406"/>
      <c r="AE77" s="2406"/>
      <c r="AF77" s="2406"/>
      <c r="AG77" s="2406"/>
      <c r="AH77" s="2406"/>
      <c r="AI77" s="2406"/>
      <c r="AJ77" s="2406"/>
      <c r="AK77" s="2406"/>
      <c r="AL77" s="2406"/>
      <c r="AM77" s="2406"/>
      <c r="AS77" s="1276">
        <v>18</v>
      </c>
    </row>
    <row customHeight="1" ht="29.25">
      <c r="O78" s="658"/>
      <c r="P78" s="1449"/>
      <c r="S78" s="1374"/>
      <c r="T78" s="2406"/>
      <c r="U78" s="2406"/>
      <c r="V78" s="2406"/>
      <c r="W78" s="2406"/>
      <c r="X78" s="2406"/>
      <c r="Y78" s="2406"/>
      <c r="Z78" s="2406"/>
      <c r="AA78" s="2406"/>
      <c r="AB78" s="2406"/>
      <c r="AC78" s="2406"/>
      <c r="AD78" s="2406"/>
      <c r="AE78" s="2406"/>
      <c r="AF78" s="2406"/>
      <c r="AG78" s="2406"/>
      <c r="AH78" s="2406"/>
      <c r="AI78" s="2406"/>
      <c r="AJ78" s="2406"/>
      <c r="AK78" s="2406"/>
      <c r="AL78" s="2406"/>
      <c r="AM78" s="2406"/>
      <c r="AS78" s="1276">
        <v>28</v>
      </c>
    </row>
    <row customHeight="1" ht="22.5" hidden="1">
      <c r="A79" s="1281" t="s">
        <v>82</v>
      </c>
      <c r="B79" s="1281">
        <v>0</v>
      </c>
      <c r="C79" s="1281">
        <v>0</v>
      </c>
      <c r="D79" s="1281">
        <v>0</v>
      </c>
      <c r="E79" s="1281">
        <v>0</v>
      </c>
      <c r="F79" s="1281">
        <v>0</v>
      </c>
      <c r="G79" s="1281">
        <v>0</v>
      </c>
      <c r="H79" s="1281">
        <v>0</v>
      </c>
      <c r="I79" s="1281">
        <v>0</v>
      </c>
      <c r="J79" s="1281">
        <v>0</v>
      </c>
      <c r="K79" s="1281">
        <v>0</v>
      </c>
      <c r="L79" s="1450">
        <v>0</v>
      </c>
      <c r="M79" s="1483">
        <v>0</v>
      </c>
      <c r="N79" s="1483">
        <v>0</v>
      </c>
      <c r="O79" s="1483">
        <v>0</v>
      </c>
      <c r="P79" s="1339">
        <v>3</v>
      </c>
      <c r="Q79" s="465">
        <v>3</v>
      </c>
      <c r="R79" s="465">
        <v>3</v>
      </c>
      <c r="S79" s="702">
        <v>12</v>
      </c>
      <c r="T79" s="1276">
        <v>35</v>
      </c>
      <c r="U79" s="1276">
        <v>0</v>
      </c>
      <c r="V79" s="1276">
        <v>0</v>
      </c>
      <c r="W79" s="1276">
        <v>0</v>
      </c>
      <c r="X79" s="1276">
        <v>0</v>
      </c>
      <c r="Y79" s="1276">
        <v>0</v>
      </c>
      <c r="Z79" s="1276">
        <v>0</v>
      </c>
      <c r="AA79" s="1276">
        <v>0</v>
      </c>
      <c r="AB79" s="1276">
        <v>0</v>
      </c>
      <c r="AC79" s="1276">
        <v>0</v>
      </c>
      <c r="AD79" s="1276">
        <v>24</v>
      </c>
      <c r="AE79" s="1276">
        <v>0</v>
      </c>
      <c r="AF79" s="1276">
        <v>24</v>
      </c>
      <c r="AG79" s="1276">
        <v>24</v>
      </c>
      <c r="AH79" s="1276">
        <v>11</v>
      </c>
      <c r="AI79" s="1276">
        <v>3</v>
      </c>
      <c r="AJ79" s="1276">
        <v>11</v>
      </c>
      <c r="AK79" s="1276">
        <v>0</v>
      </c>
      <c r="AL79" s="1276">
        <v>4</v>
      </c>
      <c r="AM79" s="1276">
        <v>115</v>
      </c>
      <c r="AN79" s="632">
        <v>10</v>
      </c>
      <c r="AO79" s="632">
        <v>10</v>
      </c>
      <c r="AP79" s="632">
        <v>10</v>
      </c>
      <c r="AQ79" s="632">
        <v>10</v>
      </c>
      <c r="AR79" s="632">
        <v>10</v>
      </c>
      <c r="AS79" s="1276">
        <v>23</v>
      </c>
    </row>
  </sheetData>
  <sheetProtection formatColumns="0" formatRows="0" autoFilter="0" sort="0" insertRows="0" insertColumns="1" deleteRows="0" deleteColumns="0"/>
  <mergeCells count="14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76:AM76"/>
    <mergeCell ref="T77:AM77"/>
    <mergeCell ref="T78:AM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AM73"/>
    <mergeCell ref="W40:W41"/>
    <mergeCell ref="T74:AM74"/>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 ref="V62:AC62"/>
    <mergeCell ref="AD62:AL62"/>
    <mergeCell ref="V57:AC57"/>
    <mergeCell ref="AD57:AL57"/>
    <mergeCell ref="V58:AC58"/>
    <mergeCell ref="AD58:AL58"/>
    <mergeCell ref="V59:AC59"/>
    <mergeCell ref="AD59:AL59"/>
    <mergeCell ref="V60:AC60"/>
    <mergeCell ref="AD60:AL60"/>
    <mergeCell ref="V61:AC61"/>
    <mergeCell ref="AD61:AL61"/>
    <mergeCell ref="AK63:AK64"/>
    <mergeCell ref="E57:E70"/>
    <mergeCell ref="F58:F69"/>
    <mergeCell ref="G59:G68"/>
    <mergeCell ref="H60:H67"/>
    <mergeCell ref="I61:I66"/>
    <mergeCell ref="J62:J65"/>
    <mergeCell ref="AM63:AM65"/>
    <mergeCell ref="K63:K64"/>
    <mergeCell ref="P61:P66"/>
    <mergeCell ref="Q62:Q65"/>
    <mergeCell ref="AH63:AH64"/>
    <mergeCell ref="AI63:AI64"/>
    <mergeCell ref="AJ63:AJ64"/>
    <mergeCell ref="Z63:Z64"/>
    <mergeCell ref="AA63:AA64"/>
    <mergeCell ref="AB63:AB64"/>
    <mergeCell ref="AC63:AC64"/>
  </mergeCells>
  <dataValidations count="8">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Y64 AG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63 AC63 AI63 AK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5576-C387-DBCB-EB37-0.31D1EE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427</v>
      </c>
      <c r="M6" s="658"/>
      <c r="P6" s="2378">
        <v>1</v>
      </c>
      <c r="Q6" s="1452"/>
      <c r="R6" s="477"/>
      <c r="S6" s="1457">
        <f>$I6</f>
      </c>
      <c r="T6" s="406" t="s">
        <v>428</v>
      </c>
      <c r="U6" s="421"/>
      <c r="V6" s="2366"/>
      <c r="W6" s="2367"/>
      <c r="X6" s="2367"/>
      <c r="Y6" s="2367"/>
      <c r="Z6" s="2367"/>
      <c r="AA6" s="2367"/>
      <c r="AB6" s="2367"/>
      <c r="AC6" s="2368"/>
      <c r="AD6" s="2366"/>
      <c r="AE6" s="2367"/>
      <c r="AF6" s="2367"/>
      <c r="AG6" s="2367"/>
      <c r="AH6" s="2367"/>
      <c r="AI6" s="2367"/>
      <c r="AJ6" s="2367"/>
      <c r="AK6" s="2367"/>
      <c r="AL6" s="2368"/>
      <c r="AM6" s="1379" t="s">
        <v>429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430</v>
      </c>
      <c r="M7" s="658"/>
      <c r="N7" s="1487"/>
      <c r="P7" s="2378"/>
      <c r="Q7" s="2378">
        <v>1</v>
      </c>
      <c r="R7" s="478"/>
      <c r="S7" s="1457">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433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437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1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14.2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18.7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276">
        <v>14</v>
      </c>
    </row>
    <row customHeight="1" ht="35.699999999999996">
      <c r="Q40" s="497"/>
      <c r="R40" s="497"/>
      <c r="S40" s="2394"/>
      <c r="T40" s="2330"/>
      <c r="U40" s="1152"/>
      <c r="V40" s="2381" t="s">
        <v>454</v>
      </c>
      <c r="W40" s="2404" t="s">
        <v>455</v>
      </c>
      <c r="X40" s="2383" t="s">
        <v>456</v>
      </c>
      <c r="Y40" s="2384"/>
      <c r="Z40" s="2383" t="s">
        <v>471</v>
      </c>
      <c r="AA40" s="2390"/>
      <c r="AB40" s="2384"/>
      <c r="AC40" s="2399"/>
      <c r="AD40" s="2381" t="s">
        <v>454</v>
      </c>
      <c r="AE40" s="2404" t="s">
        <v>455</v>
      </c>
      <c r="AF40" s="2383" t="s">
        <v>456</v>
      </c>
      <c r="AG40" s="2384"/>
      <c r="AH40" s="2383" t="s">
        <v>457</v>
      </c>
      <c r="AI40" s="2390"/>
      <c r="AJ40" s="2384"/>
      <c r="AK40" s="2399"/>
      <c r="AL40" s="2402"/>
      <c r="AM40" s="2248"/>
      <c r="AS40" s="1276">
        <v>34</v>
      </c>
    </row>
    <row customHeight="1" ht="35.699999999999996">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Q41" s="497"/>
      <c r="R41" s="497"/>
      <c r="S41" s="2394"/>
      <c r="T41" s="2330"/>
      <c r="U41" s="423"/>
      <c r="V41" s="2382"/>
      <c r="W41" s="2405"/>
      <c r="X41" s="1343" t="s">
        <v>465</v>
      </c>
      <c r="Y41" s="1343" t="s">
        <v>466</v>
      </c>
      <c r="Z41" s="1459" t="s">
        <v>467</v>
      </c>
      <c r="AA41" s="2391" t="s">
        <v>468</v>
      </c>
      <c r="AB41" s="2392"/>
      <c r="AC41" s="2400"/>
      <c r="AD41" s="2382"/>
      <c r="AE41" s="2405"/>
      <c r="AF41" s="1343" t="s">
        <v>465</v>
      </c>
      <c r="AG41" s="1343" t="s">
        <v>466</v>
      </c>
      <c r="AH41" s="1459" t="s">
        <v>467</v>
      </c>
      <c r="AI41" s="2391" t="s">
        <v>468</v>
      </c>
      <c r="AJ41" s="2392"/>
      <c r="AK41" s="2400"/>
      <c r="AL41" s="2403"/>
      <c r="AM41" s="2248"/>
      <c r="AS41" s="1276">
        <v>34</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186</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186</v>
      </c>
      <c r="B44" s="1484" t="s">
        <v>187</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21</v>
      </c>
    </row>
    <row customHeight="1" ht="24">
      <c r="A45" s="1484" t="s">
        <v>186</v>
      </c>
      <c r="B45" s="1484" t="s">
        <v>187</v>
      </c>
      <c r="C45" s="1484" t="s">
        <v>188</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2.049999999999997">
      <c r="A46" s="1484" t="s">
        <v>186</v>
      </c>
      <c r="B46" s="1484" t="s">
        <v>187</v>
      </c>
      <c r="C46" s="1484" t="s">
        <v>188</v>
      </c>
      <c r="D46" s="1484" t="s">
        <v>189</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621"/>
      <c r="AP46" s="621" t="str">
        <f>IF(T46="","",T46)</f>
        <v>Источник тепловой энергии  </v>
      </c>
      <c r="AQ46" s="621"/>
      <c r="AR46" s="621"/>
      <c r="AS46" s="1276">
        <v>21</v>
      </c>
    </row>
    <row customHeight="1" ht="49.5">
      <c r="A47" s="1484" t="s">
        <v>186</v>
      </c>
      <c r="B47" s="1484" t="s">
        <v>187</v>
      </c>
      <c r="C47" s="1484" t="s">
        <v>188</v>
      </c>
      <c r="D47" s="1484" t="s">
        <v>189</v>
      </c>
      <c r="E47" s="2380"/>
      <c r="F47" s="2380"/>
      <c r="G47" s="2380"/>
      <c r="H47" s="2380"/>
      <c r="I47" s="2377" t="str">
        <f>S46&amp;".1"</f>
        <v>....1</v>
      </c>
      <c r="J47" s="1484"/>
      <c r="K47" s="1484"/>
      <c r="L47" s="1485" t="s">
        <v>427</v>
      </c>
      <c r="P47" s="2378">
        <v>1</v>
      </c>
      <c r="Q47" s="1452"/>
      <c r="R47" s="477"/>
      <c r="S47" s="1457" t="str">
        <f>$I47</f>
        <v>....1</v>
      </c>
      <c r="T47" s="406" t="s">
        <v>428</v>
      </c>
      <c r="U47" s="421"/>
      <c r="V47" s="2366"/>
      <c r="W47" s="2367"/>
      <c r="X47" s="2367"/>
      <c r="Y47" s="2367"/>
      <c r="Z47" s="2367"/>
      <c r="AA47" s="2367"/>
      <c r="AB47" s="2367"/>
      <c r="AC47" s="2368"/>
      <c r="AD47" s="2366"/>
      <c r="AE47" s="2367"/>
      <c r="AF47" s="2367"/>
      <c r="AG47" s="2367"/>
      <c r="AH47" s="2367"/>
      <c r="AI47" s="2367"/>
      <c r="AJ47" s="2367"/>
      <c r="AK47" s="2367"/>
      <c r="AL47" s="2368"/>
      <c r="AM47" s="1379" t="s">
        <v>429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186</v>
      </c>
      <c r="B48" s="1484" t="s">
        <v>187</v>
      </c>
      <c r="C48" s="1484" t="s">
        <v>188</v>
      </c>
      <c r="D48" s="1484" t="s">
        <v>189</v>
      </c>
      <c r="E48" s="2380"/>
      <c r="F48" s="2380"/>
      <c r="G48" s="2380"/>
      <c r="H48" s="2380"/>
      <c r="I48" s="2407"/>
      <c r="J48" s="2377" t="str">
        <f>I47&amp;".1"</f>
        <v>....1.1</v>
      </c>
      <c r="K48" s="1484"/>
      <c r="L48" s="1485" t="s">
        <v>430</v>
      </c>
      <c r="P48" s="2378"/>
      <c r="Q48" s="2378">
        <v>1</v>
      </c>
      <c r="R48" s="478"/>
      <c r="S48" s="1457" t="str">
        <f>$J48</f>
        <v>....1.1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621"/>
      <c r="AP48" s="621" t="str">
        <f>IF(T48="","",T48)</f>
        <v>Группа потребителей</v>
      </c>
      <c r="AQ48" s="621"/>
      <c r="AR48" s="621"/>
      <c r="AS48" s="1276">
        <v>21</v>
      </c>
    </row>
    <row customHeight="1" ht="22.049999999999997">
      <c r="A49" s="1484" t="s">
        <v>186</v>
      </c>
      <c r="B49" s="1484" t="s">
        <v>187</v>
      </c>
      <c r="C49" s="1484" t="s">
        <v>188</v>
      </c>
      <c r="D49" s="1484" t="s">
        <v>189</v>
      </c>
      <c r="E49" s="2380"/>
      <c r="F49" s="2380"/>
      <c r="G49" s="2380"/>
      <c r="H49" s="2380"/>
      <c r="I49" s="2407"/>
      <c r="J49" s="2407"/>
      <c r="K49" s="2377" t="str">
        <f>J48&amp;".1"</f>
        <v>....1.1.1</v>
      </c>
      <c r="L49" s="1485" t="s">
        <v>433</v>
      </c>
      <c r="P49" s="2378"/>
      <c r="Q49" s="2378"/>
      <c r="R49" s="478">
        <v>1</v>
      </c>
      <c r="S49" s="1457"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434</v>
      </c>
      <c r="AN49" s="632">
        <f>STRCHECKDATE(V50:AL50)</f>
      </c>
      <c r="AO49" s="621"/>
      <c r="AP49" s="621" t="str">
        <f>IF(T49="","",T49)</f>
        <v/>
      </c>
      <c r="AQ49" s="621"/>
      <c r="AR49" s="621"/>
      <c r="AS49" s="1276">
        <v>21</v>
      </c>
    </row>
    <row customHeight="1" ht="1.05">
      <c r="A50" s="1484" t="s">
        <v>186</v>
      </c>
      <c r="B50" s="1484" t="s">
        <v>187</v>
      </c>
      <c r="C50" s="1484" t="s">
        <v>188</v>
      </c>
      <c r="D50" s="1484" t="s">
        <v>189</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186</v>
      </c>
      <c r="B51" s="1484" t="s">
        <v>187</v>
      </c>
      <c r="C51" s="1484" t="s">
        <v>188</v>
      </c>
      <c r="D51" s="1484" t="s">
        <v>189</v>
      </c>
      <c r="E51" s="2380"/>
      <c r="F51" s="2380"/>
      <c r="G51" s="2380"/>
      <c r="H51" s="2380"/>
      <c r="I51" s="2407"/>
      <c r="J51" s="2377"/>
      <c r="K51" s="1484"/>
      <c r="L51" s="1485"/>
      <c r="P51" s="2378"/>
      <c r="Q51" s="2378"/>
      <c r="R51" s="477"/>
      <c r="S51" s="1399"/>
      <c r="T51" s="409"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186</v>
      </c>
      <c r="B52" s="1484" t="s">
        <v>187</v>
      </c>
      <c r="C52" s="1484" t="s">
        <v>188</v>
      </c>
      <c r="D52" s="1484" t="s">
        <v>189</v>
      </c>
      <c r="E52" s="2380"/>
      <c r="F52" s="2380"/>
      <c r="G52" s="2380"/>
      <c r="H52" s="2380"/>
      <c r="I52" s="2377"/>
      <c r="J52" s="1484"/>
      <c r="K52" s="1484"/>
      <c r="L52" s="1485"/>
      <c r="P52" s="2378"/>
      <c r="Q52" s="1452"/>
      <c r="R52" s="477"/>
      <c r="S52" s="1399"/>
      <c r="T52" s="408"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186</v>
      </c>
      <c r="B53" s="1484" t="s">
        <v>187</v>
      </c>
      <c r="C53" s="1484" t="s">
        <v>188</v>
      </c>
      <c r="D53" s="1484" t="s">
        <v>189</v>
      </c>
      <c r="E53" s="2380"/>
      <c r="F53" s="2380"/>
      <c r="G53" s="2380"/>
      <c r="H53" s="2379"/>
      <c r="I53" s="1484"/>
      <c r="J53" s="1484"/>
      <c r="K53" s="1484"/>
      <c r="L53" s="1485"/>
      <c r="M53" s="1486"/>
      <c r="N53" s="1486"/>
      <c r="O53" s="658"/>
      <c r="P53" s="481"/>
      <c r="Q53" s="496"/>
      <c r="R53" s="476"/>
      <c r="S53" s="1399"/>
      <c r="T53" s="486" t="s">
        <v>437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17" customFormat="1" customHeight="1" ht="1.05">
      <c r="A54" s="1464" t="s">
        <v>186</v>
      </c>
      <c r="B54" s="1464" t="s">
        <v>187</v>
      </c>
      <c r="C54" s="1464" t="s">
        <v>188</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17" customFormat="1" customHeight="1" ht="1.05">
      <c r="A55" s="1464" t="s">
        <v>186</v>
      </c>
      <c r="B55" s="1464" t="s">
        <v>187</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17" customFormat="1" customHeight="1" ht="1.05">
      <c r="A56" s="1464" t="s">
        <v>186</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1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5.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62</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A7259-260E-5D98-B4DC-0.232DC8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720" width="10.57421875" hidden="1"/>
    <col min="2" max="2" style="7720" width="11.00390625" hidden="1" customWidth="1"/>
    <col min="3" max="3" style="7720" width="10.57421875" hidden="1"/>
    <col min="4" max="4" style="7720" width="11.8515625" hidden="1" customWidth="1"/>
    <col min="5" max="5" style="7720" width="10.00390625" hidden="1" customWidth="1"/>
    <col min="6" max="6" style="7720" width="8.7109375" hidden="1" customWidth="1"/>
    <col min="7" max="7" style="7720" width="7.57421875" hidden="1" customWidth="1"/>
    <col min="8" max="8" style="7720" width="11.421875" hidden="1" customWidth="1"/>
    <col min="9" max="9" style="7720" width="12.00390625" hidden="1" customWidth="1"/>
    <col min="10" max="10" style="7720" width="9.8515625" hidden="1" customWidth="1"/>
    <col min="11" max="11" style="7720" width="11.421875" hidden="1" customWidth="1"/>
    <col min="12" max="12" style="8408" width="19.140625" hidden="1" customWidth="1"/>
    <col min="13" max="14" style="8429" width="12.28125" hidden="1" customWidth="1"/>
    <col min="15" max="15" style="8429" width="23.421875" hidden="1" customWidth="1"/>
    <col min="16" max="16" style="8429" width="3.00390625"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427</v>
      </c>
      <c r="M6" s="1756"/>
      <c r="P6" s="2378">
        <v>1</v>
      </c>
      <c r="Q6" s="2075"/>
      <c r="R6" s="477"/>
      <c r="S6" s="2079">
        <f>$I6</f>
      </c>
      <c r="T6" s="406" t="s">
        <v>428</v>
      </c>
      <c r="U6" s="421"/>
      <c r="V6" s="2366"/>
      <c r="W6" s="2367"/>
      <c r="X6" s="2367"/>
      <c r="Y6" s="2367"/>
      <c r="Z6" s="2367"/>
      <c r="AA6" s="2367"/>
      <c r="AB6" s="2367"/>
      <c r="AC6" s="2368"/>
      <c r="AD6" s="2366"/>
      <c r="AE6" s="2367"/>
      <c r="AF6" s="2367"/>
      <c r="AG6" s="2367"/>
      <c r="AH6" s="2367"/>
      <c r="AI6" s="2367"/>
      <c r="AJ6" s="2367"/>
      <c r="AK6" s="2367"/>
      <c r="AL6" s="2368"/>
      <c r="AM6" s="1379" t="s">
        <v>429</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430</v>
      </c>
      <c r="M7" s="1756"/>
      <c r="N7" s="1752"/>
      <c r="P7" s="2378"/>
      <c r="Q7" s="2378">
        <v>1</v>
      </c>
      <c r="R7" s="478"/>
      <c r="S7" s="2079">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433</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435</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436</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437</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217"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217"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217"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669" customFormat="1" customHeight="1" ht="14.25" hidden="1">
      <c r="A20" s="1752"/>
      <c r="B20" s="1752"/>
      <c r="C20" s="1752"/>
      <c r="D20" s="1752"/>
      <c r="E20" s="1752"/>
      <c r="F20" s="1752"/>
      <c r="G20" s="1752"/>
      <c r="H20" s="1752"/>
      <c r="I20" s="1752"/>
      <c r="J20" s="1752"/>
      <c r="K20" s="1752"/>
      <c r="L20" s="2060"/>
      <c r="M20" s="2086"/>
      <c r="N20" s="2086"/>
      <c r="O20" s="1466" t="s">
        <v>438</v>
      </c>
      <c r="P20" s="1483"/>
      <c r="Q20" s="1492"/>
      <c r="R20" s="1492"/>
      <c r="S20" s="850"/>
      <c r="Z20" s="1488"/>
      <c r="AB20" s="1488"/>
      <c r="AH20" s="1488"/>
      <c r="AJ20" s="1488"/>
      <c r="AN20" s="1757"/>
      <c r="AO20" s="1757"/>
      <c r="AP20" s="1757"/>
      <c r="AQ20" s="1757"/>
      <c r="AR20" s="1757"/>
      <c r="AS20" s="1487">
        <v>0</v>
      </c>
    </row>
    <row s="7669"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669" customFormat="1" customHeight="1" ht="14.25" hidden="1">
      <c r="A22" s="1752"/>
      <c r="B22" s="1752"/>
      <c r="C22" s="1752"/>
      <c r="D22" s="1752"/>
      <c r="E22" s="1752"/>
      <c r="F22" s="1752"/>
      <c r="G22" s="1752"/>
      <c r="H22" s="1752"/>
      <c r="I22" s="1752"/>
      <c r="J22" s="1752"/>
      <c r="K22" s="1752"/>
      <c r="L22" s="2060"/>
      <c r="M22" s="2086"/>
      <c r="N22" s="2086"/>
      <c r="O22" s="1431" t="s">
        <v>439</v>
      </c>
      <c r="P22" s="1483"/>
      <c r="Q22" s="1492"/>
      <c r="R22" s="1492"/>
      <c r="S22" s="850"/>
      <c r="T22" s="1487" t="s">
        <v>440</v>
      </c>
      <c r="AA22" s="716" t="s">
        <v>441</v>
      </c>
      <c r="AC22" s="716" t="s">
        <v>442</v>
      </c>
      <c r="AD22" s="1487" t="s">
        <v>440</v>
      </c>
      <c r="AI22" s="716" t="s">
        <v>443</v>
      </c>
      <c r="AK22" s="716" t="s">
        <v>442</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300"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300" customFormat="1" customHeight="1" ht="18.75" hidden="1">
      <c r="A30" s="1369"/>
      <c r="B30" s="1369"/>
      <c r="C30" s="1369"/>
      <c r="D30" s="1369"/>
      <c r="E30" s="1369"/>
      <c r="F30" s="1369"/>
      <c r="G30" s="1369"/>
      <c r="H30" s="1369"/>
      <c r="I30" s="1369"/>
      <c r="J30" s="1369"/>
      <c r="K30" s="1369"/>
      <c r="L30" s="1501"/>
      <c r="M30" s="1369"/>
      <c r="N30" s="1369"/>
      <c r="O30" s="1369"/>
      <c r="S30" s="2371" t="s">
        <v>444</v>
      </c>
      <c r="T30" s="2371"/>
      <c r="U30" s="1493"/>
      <c r="V30" s="2385" t="str">
        <f>IF(TITLE_DATE_PR_CHANGE="",IF(TITLE_DATE_PR="","",TITLE_DATE_PR),TITLE_DATE_PR_CHANGE)</f>
        <v>45777</v>
      </c>
      <c r="W30" s="2385"/>
      <c r="X30" s="2385"/>
      <c r="Y30" s="2385"/>
      <c r="Z30" s="2385"/>
      <c r="AA30" s="2385"/>
      <c r="AB30" s="2385"/>
      <c r="AC30" s="1756"/>
      <c r="AD30" s="2385" t="str">
        <f>IF(TITLE_DATE_PR_CHANGE="",IF(TITLE_DATE_PR="","",TITLE_DATE_PR),TITLE_DATE_PR_CHANGE)</f>
        <v>45777</v>
      </c>
      <c r="AE30" s="2385"/>
      <c r="AF30" s="2385"/>
      <c r="AG30" s="2385"/>
      <c r="AH30" s="2385"/>
      <c r="AI30" s="2385"/>
      <c r="AJ30" s="2385"/>
      <c r="AK30" s="1756"/>
      <c r="AL30" s="1756"/>
      <c r="AM30" s="401"/>
      <c r="AN30" s="489"/>
      <c r="AO30" s="489"/>
      <c r="AP30" s="489"/>
      <c r="AQ30" s="489"/>
      <c r="AR30" s="489"/>
      <c r="AS30" s="539">
        <v>0</v>
      </c>
    </row>
    <row s="8300" customFormat="1" customHeight="1" ht="18.75" hidden="1">
      <c r="A31" s="1369"/>
      <c r="B31" s="1369"/>
      <c r="C31" s="1369"/>
      <c r="D31" s="1369"/>
      <c r="E31" s="1369"/>
      <c r="F31" s="1369"/>
      <c r="G31" s="1369"/>
      <c r="H31" s="1369"/>
      <c r="I31" s="1369"/>
      <c r="J31" s="1369"/>
      <c r="K31" s="1369"/>
      <c r="L31" s="1501"/>
      <c r="M31" s="1369"/>
      <c r="N31" s="1369"/>
      <c r="O31" s="1369"/>
      <c r="S31" s="2371" t="s">
        <v>445</v>
      </c>
      <c r="T31" s="2371"/>
      <c r="U31" s="1493"/>
      <c r="V31" s="2372" t="str">
        <f>IF(TITLE_NUMBER_PR_CHANGE="",IF(TITLE_NUMBER_PR="","",TITLE_NUMBER_PR),TITLE_NUMBER_PR_CHANGE)</f>
        <v>33-01/80</v>
      </c>
      <c r="W31" s="2372"/>
      <c r="X31" s="2372"/>
      <c r="Y31" s="2372"/>
      <c r="Z31" s="2372"/>
      <c r="AA31" s="2372"/>
      <c r="AB31" s="2372"/>
      <c r="AC31" s="1756"/>
      <c r="AD31" s="2372" t="str">
        <f>IF(TITLE_NUMBER_PR_CHANGE="",IF(TITLE_NUMBER_PR="","",TITLE_NUMBER_PR),TITLE_NUMBER_PR_CHANGE)</f>
        <v>33-01/80</v>
      </c>
      <c r="AE31" s="2372"/>
      <c r="AF31" s="2372"/>
      <c r="AG31" s="2372"/>
      <c r="AH31" s="2372"/>
      <c r="AI31" s="2372"/>
      <c r="AJ31" s="2372"/>
      <c r="AK31" s="1756"/>
      <c r="AL31" s="1756"/>
      <c r="AM31" s="401"/>
      <c r="AN31" s="489"/>
      <c r="AO31" s="489"/>
      <c r="AP31" s="489"/>
      <c r="AQ31" s="489"/>
      <c r="AR31" s="489"/>
      <c r="AS31" s="539">
        <v>0</v>
      </c>
    </row>
    <row s="8300"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300" customFormat="1" customHeight="1" ht="18.75" hidden="1">
      <c r="A34" s="1369"/>
      <c r="B34" s="1369"/>
      <c r="C34" s="1369"/>
      <c r="D34" s="1369"/>
      <c r="E34" s="1369"/>
      <c r="F34" s="1369"/>
      <c r="G34" s="1369"/>
      <c r="H34" s="1369"/>
      <c r="I34" s="1369"/>
      <c r="J34" s="1369"/>
      <c r="K34" s="1369"/>
      <c r="L34" s="1501"/>
      <c r="M34" s="1369"/>
      <c r="N34" s="1369"/>
      <c r="O34" s="1369"/>
      <c r="S34" s="2371" t="s">
        <v>446</v>
      </c>
      <c r="T34" s="2371"/>
      <c r="U34" s="1493"/>
      <c r="V34" s="2385" t="str">
        <f>IF(TITLE_DATE_PR_CHANGE="",IF(TITLE_DATE_PR="","",TITLE_DATE_PR),TITLE_DATE_PR_CHANGE)</f>
        <v>45777</v>
      </c>
      <c r="W34" s="2385"/>
      <c r="X34" s="2385"/>
      <c r="Y34" s="2385"/>
      <c r="Z34" s="2385"/>
      <c r="AA34" s="2385"/>
      <c r="AB34" s="2385"/>
      <c r="AC34" s="1756"/>
      <c r="AD34" s="2385" t="str">
        <f>IF(TITLE_DATE_PR_CHANGE="",IF(TITLE_DATE_PR="","",TITLE_DATE_PR),TITLE_DATE_PR_CHANGE)</f>
        <v>45777</v>
      </c>
      <c r="AE34" s="2385"/>
      <c r="AF34" s="2385"/>
      <c r="AG34" s="2385"/>
      <c r="AH34" s="2385"/>
      <c r="AI34" s="2385"/>
      <c r="AJ34" s="2385"/>
      <c r="AK34" s="1756"/>
      <c r="AL34" s="1756"/>
      <c r="AM34" s="401"/>
      <c r="AN34" s="489"/>
      <c r="AO34" s="489"/>
      <c r="AP34" s="489"/>
      <c r="AQ34" s="489"/>
      <c r="AR34" s="489"/>
      <c r="AS34" s="539">
        <v>0</v>
      </c>
    </row>
    <row s="8300" customFormat="1" customHeight="1" ht="18.75" hidden="1">
      <c r="A35" s="1369"/>
      <c r="B35" s="1369"/>
      <c r="C35" s="1369"/>
      <c r="D35" s="1369"/>
      <c r="E35" s="1369"/>
      <c r="F35" s="1369"/>
      <c r="G35" s="1369"/>
      <c r="H35" s="1369"/>
      <c r="I35" s="1369"/>
      <c r="J35" s="1369"/>
      <c r="K35" s="1369"/>
      <c r="L35" s="1501"/>
      <c r="M35" s="1369"/>
      <c r="N35" s="1369"/>
      <c r="O35" s="1369"/>
      <c r="S35" s="2371" t="s">
        <v>447</v>
      </c>
      <c r="T35" s="2371"/>
      <c r="U35" s="1493"/>
      <c r="V35" s="2372" t="str">
        <f>IF(TITLE_NUMBER_PR_CHANGE="",IF(TITLE_NUMBER_PR="","",TITLE_NUMBER_PR),TITLE_NUMBER_PR_CHANGE)</f>
        <v>33-01/80</v>
      </c>
      <c r="W35" s="2372"/>
      <c r="X35" s="2372"/>
      <c r="Y35" s="2372"/>
      <c r="Z35" s="2372"/>
      <c r="AA35" s="2372"/>
      <c r="AB35" s="2372"/>
      <c r="AC35" s="1756"/>
      <c r="AD35" s="2372" t="str">
        <f>IF(TITLE_NUMBER_PR_CHANGE="",IF(TITLE_NUMBER_PR="","",TITLE_NUMBER_PR),TITLE_NUMBER_PR_CHANGE)</f>
        <v>33-01/80</v>
      </c>
      <c r="AE35" s="2372"/>
      <c r="AF35" s="2372"/>
      <c r="AG35" s="2372"/>
      <c r="AH35" s="2372"/>
      <c r="AI35" s="2372"/>
      <c r="AJ35" s="2372"/>
      <c r="AK35" s="1756"/>
      <c r="AL35" s="1756"/>
      <c r="AM35" s="401"/>
      <c r="AN35" s="489"/>
      <c r="AO35" s="489"/>
      <c r="AP35" s="489"/>
      <c r="AQ35" s="489"/>
      <c r="AR35" s="489"/>
      <c r="AS35" s="539">
        <v>0</v>
      </c>
    </row>
    <row s="8300"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448</v>
      </c>
      <c r="AD36" s="1756"/>
      <c r="AE36" s="1756"/>
      <c r="AF36" s="1756"/>
      <c r="AG36" s="1756"/>
      <c r="AH36" s="1756"/>
      <c r="AI36" s="1756"/>
      <c r="AJ36" s="1756"/>
      <c r="AK36" s="1763" t="s">
        <v>448</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752">
        <v>14</v>
      </c>
    </row>
    <row customHeight="1" ht="14.699999999999998">
      <c r="Q39" s="497"/>
      <c r="R39" s="497"/>
      <c r="S39" s="2394" t="s">
        <v>88</v>
      </c>
      <c r="T39" s="2330" t="s">
        <v>449</v>
      </c>
      <c r="U39" s="458"/>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752">
        <v>14</v>
      </c>
    </row>
    <row customHeight="1" ht="35.699999999999996">
      <c r="Q40" s="497"/>
      <c r="R40" s="497"/>
      <c r="S40" s="2394"/>
      <c r="T40" s="2330"/>
      <c r="U40" s="1152"/>
      <c r="V40" s="2381" t="s">
        <v>454</v>
      </c>
      <c r="W40" s="2404" t="s">
        <v>455</v>
      </c>
      <c r="X40" s="2383" t="s">
        <v>456</v>
      </c>
      <c r="Y40" s="2384"/>
      <c r="Z40" s="2383" t="s">
        <v>471</v>
      </c>
      <c r="AA40" s="2390"/>
      <c r="AB40" s="2384"/>
      <c r="AC40" s="2399"/>
      <c r="AD40" s="2381" t="s">
        <v>454</v>
      </c>
      <c r="AE40" s="2404" t="s">
        <v>455</v>
      </c>
      <c r="AF40" s="2383" t="s">
        <v>456</v>
      </c>
      <c r="AG40" s="2384"/>
      <c r="AH40" s="2383" t="s">
        <v>457</v>
      </c>
      <c r="AI40" s="2390"/>
      <c r="AJ40" s="2384"/>
      <c r="AK40" s="2399"/>
      <c r="AL40" s="2402"/>
      <c r="AM40" s="2248"/>
      <c r="AS40" s="1752">
        <v>34</v>
      </c>
    </row>
    <row customHeight="1" ht="35.699999999999996">
      <c r="A41" s="1387"/>
      <c r="B41" s="1387" t="s">
        <v>148</v>
      </c>
      <c r="C41" s="1387" t="s">
        <v>149</v>
      </c>
      <c r="D41" s="1387" t="s">
        <v>150</v>
      </c>
      <c r="E41" s="1431" t="s">
        <v>458</v>
      </c>
      <c r="F41" s="1431" t="s">
        <v>459</v>
      </c>
      <c r="G41" s="1431" t="s">
        <v>460</v>
      </c>
      <c r="H41" s="1431" t="s">
        <v>461</v>
      </c>
      <c r="I41" s="1431" t="s">
        <v>462</v>
      </c>
      <c r="J41" s="1431" t="s">
        <v>463</v>
      </c>
      <c r="K41" s="1431" t="s">
        <v>464</v>
      </c>
      <c r="L41" s="1431" t="s">
        <v>439</v>
      </c>
      <c r="Q41" s="497"/>
      <c r="R41" s="497"/>
      <c r="S41" s="2394"/>
      <c r="T41" s="2330"/>
      <c r="U41" s="423"/>
      <c r="V41" s="2382"/>
      <c r="W41" s="2405"/>
      <c r="X41" s="2059" t="s">
        <v>465</v>
      </c>
      <c r="Y41" s="2059" t="s">
        <v>466</v>
      </c>
      <c r="Z41" s="2059" t="s">
        <v>467</v>
      </c>
      <c r="AA41" s="2391" t="s">
        <v>468</v>
      </c>
      <c r="AB41" s="2392"/>
      <c r="AC41" s="2400"/>
      <c r="AD41" s="2382"/>
      <c r="AE41" s="2405"/>
      <c r="AF41" s="2059" t="s">
        <v>465</v>
      </c>
      <c r="AG41" s="2059" t="s">
        <v>466</v>
      </c>
      <c r="AH41" s="2059" t="s">
        <v>467</v>
      </c>
      <c r="AI41" s="2391" t="s">
        <v>468</v>
      </c>
      <c r="AJ41" s="2392"/>
      <c r="AK41" s="2400"/>
      <c r="AL41" s="2403"/>
      <c r="AM41" s="2248"/>
      <c r="AS41" s="1752">
        <v>34</v>
      </c>
    </row>
    <row s="6812"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123</v>
      </c>
      <c r="T42" s="1376" t="s">
        <v>103</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236</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236</v>
      </c>
      <c r="B44" s="1388" t="s">
        <v>237</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1745"/>
      <c r="AP44" s="1745" t="str">
        <f>IF(T44="","",T44)</f>
        <v>Территория действия тарифа</v>
      </c>
      <c r="AQ44" s="1745"/>
      <c r="AR44" s="1745"/>
      <c r="AS44" s="1752">
        <v>21</v>
      </c>
    </row>
    <row customHeight="1" ht="24">
      <c r="A45" s="1388" t="s">
        <v>236</v>
      </c>
      <c r="B45" s="1388" t="s">
        <v>237</v>
      </c>
      <c r="C45" s="1388" t="s">
        <v>238</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1745"/>
      <c r="AP45" s="1745" t="str">
        <f>IF(T45="","",T45)</f>
        <v>Наименование системы теплоснабжения </v>
      </c>
      <c r="AQ45" s="1745"/>
      <c r="AR45" s="1745"/>
      <c r="AS45" s="1752">
        <v>23</v>
      </c>
    </row>
    <row customHeight="1" ht="22.049999999999997">
      <c r="A46" s="1388" t="s">
        <v>236</v>
      </c>
      <c r="B46" s="1388" t="s">
        <v>237</v>
      </c>
      <c r="C46" s="1388" t="s">
        <v>238</v>
      </c>
      <c r="D46" s="1388" t="s">
        <v>239</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1745"/>
      <c r="AP46" s="1745" t="str">
        <f>IF(T46="","",T46)</f>
        <v>Источник тепловой энергии  </v>
      </c>
      <c r="AQ46" s="1745"/>
      <c r="AR46" s="1745"/>
      <c r="AS46" s="1752">
        <v>21</v>
      </c>
    </row>
    <row customHeight="1" ht="49.5">
      <c r="A47" s="1388" t="s">
        <v>236</v>
      </c>
      <c r="B47" s="1388" t="s">
        <v>237</v>
      </c>
      <c r="C47" s="1388" t="s">
        <v>238</v>
      </c>
      <c r="D47" s="1388" t="s">
        <v>239</v>
      </c>
      <c r="E47" s="2411"/>
      <c r="F47" s="2411"/>
      <c r="G47" s="2411"/>
      <c r="H47" s="2411"/>
      <c r="I47" s="2248" t="str">
        <f>S46&amp;".1"</f>
        <v>....1</v>
      </c>
      <c r="J47" s="1388"/>
      <c r="K47" s="1388"/>
      <c r="L47" s="1431" t="s">
        <v>427</v>
      </c>
      <c r="P47" s="2378">
        <v>1</v>
      </c>
      <c r="Q47" s="2075"/>
      <c r="R47" s="477"/>
      <c r="S47" s="2079" t="str">
        <f>$I47</f>
        <v>....1</v>
      </c>
      <c r="T47" s="406" t="s">
        <v>428</v>
      </c>
      <c r="U47" s="421"/>
      <c r="V47" s="2366"/>
      <c r="W47" s="2367"/>
      <c r="X47" s="2367"/>
      <c r="Y47" s="2367"/>
      <c r="Z47" s="2367"/>
      <c r="AA47" s="2367"/>
      <c r="AB47" s="2367"/>
      <c r="AC47" s="2368"/>
      <c r="AD47" s="2366"/>
      <c r="AE47" s="2367"/>
      <c r="AF47" s="2367"/>
      <c r="AG47" s="2367"/>
      <c r="AH47" s="2367"/>
      <c r="AI47" s="2367"/>
      <c r="AJ47" s="2367"/>
      <c r="AK47" s="2367"/>
      <c r="AL47" s="2368"/>
      <c r="AM47" s="1379" t="s">
        <v>429</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236</v>
      </c>
      <c r="B48" s="1388" t="s">
        <v>237</v>
      </c>
      <c r="C48" s="1388" t="s">
        <v>238</v>
      </c>
      <c r="D48" s="1388" t="s">
        <v>239</v>
      </c>
      <c r="E48" s="2411"/>
      <c r="F48" s="2411"/>
      <c r="G48" s="2411"/>
      <c r="H48" s="2411"/>
      <c r="I48" s="2222"/>
      <c r="J48" s="2248" t="str">
        <f>I47&amp;".1"</f>
        <v>....1.1</v>
      </c>
      <c r="K48" s="1388"/>
      <c r="L48" s="1431" t="s">
        <v>430</v>
      </c>
      <c r="P48" s="2378"/>
      <c r="Q48" s="2378">
        <v>1</v>
      </c>
      <c r="R48" s="478"/>
      <c r="S48" s="2079" t="str">
        <f>$J48</f>
        <v>....1.1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1745"/>
      <c r="AP48" s="1745" t="str">
        <f>IF(T48="","",T48)</f>
        <v>Группа потребителей</v>
      </c>
      <c r="AQ48" s="1745"/>
      <c r="AR48" s="1745"/>
      <c r="AS48" s="1752">
        <v>21</v>
      </c>
    </row>
    <row customHeight="1" ht="22.049999999999997">
      <c r="A49" s="1388" t="s">
        <v>236</v>
      </c>
      <c r="B49" s="1388" t="s">
        <v>237</v>
      </c>
      <c r="C49" s="1388" t="s">
        <v>238</v>
      </c>
      <c r="D49" s="1388" t="s">
        <v>239</v>
      </c>
      <c r="E49" s="2411"/>
      <c r="F49" s="2411"/>
      <c r="G49" s="2411"/>
      <c r="H49" s="2411"/>
      <c r="I49" s="2222"/>
      <c r="J49" s="2222"/>
      <c r="K49" s="2248" t="str">
        <f>J48&amp;".1"</f>
        <v>....1.1.1</v>
      </c>
      <c r="L49" s="1431" t="s">
        <v>433</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434</v>
      </c>
      <c r="AN49" s="1757">
        <f>STRCHECKDATE(V50:AL50)</f>
      </c>
      <c r="AO49" s="1745"/>
      <c r="AP49" s="1745" t="str">
        <f>IF(T49="","",T49)</f>
        <v/>
      </c>
      <c r="AQ49" s="1745"/>
      <c r="AR49" s="1745"/>
      <c r="AS49" s="1752">
        <v>21</v>
      </c>
    </row>
    <row customHeight="1" ht="1.05">
      <c r="A50" s="1388" t="s">
        <v>236</v>
      </c>
      <c r="B50" s="1388" t="s">
        <v>237</v>
      </c>
      <c r="C50" s="1388" t="s">
        <v>238</v>
      </c>
      <c r="D50" s="1388" t="s">
        <v>239</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236</v>
      </c>
      <c r="B51" s="1388" t="s">
        <v>237</v>
      </c>
      <c r="C51" s="1388" t="s">
        <v>238</v>
      </c>
      <c r="D51" s="1388" t="s">
        <v>239</v>
      </c>
      <c r="E51" s="2411"/>
      <c r="F51" s="2411"/>
      <c r="G51" s="2411"/>
      <c r="H51" s="2411"/>
      <c r="I51" s="2222"/>
      <c r="J51" s="2248"/>
      <c r="K51" s="1388"/>
      <c r="L51" s="1431"/>
      <c r="P51" s="2378"/>
      <c r="Q51" s="2378"/>
      <c r="R51" s="477"/>
      <c r="S51" s="1399"/>
      <c r="T51" s="409" t="s">
        <v>435</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236</v>
      </c>
      <c r="B52" s="1388" t="s">
        <v>237</v>
      </c>
      <c r="C52" s="1388" t="s">
        <v>238</v>
      </c>
      <c r="D52" s="1388" t="s">
        <v>239</v>
      </c>
      <c r="E52" s="2411"/>
      <c r="F52" s="2411"/>
      <c r="G52" s="2411"/>
      <c r="H52" s="2411"/>
      <c r="I52" s="2248"/>
      <c r="J52" s="1388"/>
      <c r="K52" s="1388"/>
      <c r="L52" s="1431"/>
      <c r="P52" s="2378"/>
      <c r="Q52" s="2075"/>
      <c r="R52" s="477"/>
      <c r="S52" s="1399"/>
      <c r="T52" s="408" t="s">
        <v>436</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236</v>
      </c>
      <c r="B53" s="1388" t="s">
        <v>237</v>
      </c>
      <c r="C53" s="1388" t="s">
        <v>238</v>
      </c>
      <c r="D53" s="1388" t="s">
        <v>239</v>
      </c>
      <c r="E53" s="2411"/>
      <c r="F53" s="2411"/>
      <c r="G53" s="2411"/>
      <c r="H53" s="2410"/>
      <c r="I53" s="1388"/>
      <c r="J53" s="1388"/>
      <c r="K53" s="1388"/>
      <c r="L53" s="1431"/>
      <c r="M53" s="1731"/>
      <c r="N53" s="1731"/>
      <c r="O53" s="1756"/>
      <c r="P53" s="481"/>
      <c r="Q53" s="496"/>
      <c r="R53" s="476"/>
      <c r="S53" s="1399"/>
      <c r="T53" s="486" t="s">
        <v>437</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217" customFormat="1" customHeight="1" ht="4.2">
      <c r="A54" s="1496" t="s">
        <v>236</v>
      </c>
      <c r="B54" s="1496" t="s">
        <v>237</v>
      </c>
      <c r="C54" s="1496" t="s">
        <v>238</v>
      </c>
      <c r="D54" s="1495"/>
      <c r="E54" s="2411"/>
      <c r="F54" s="2411"/>
      <c r="G54" s="2410"/>
      <c r="H54" s="1495"/>
      <c r="I54" s="1495"/>
      <c r="J54" s="1495"/>
      <c r="K54" s="1495"/>
      <c r="L54" s="1498"/>
      <c r="M54" s="1499"/>
      <c r="N54" s="1499"/>
      <c r="O54" s="472"/>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7217" customFormat="1" customHeight="1" ht="4.2">
      <c r="A55" s="1496" t="s">
        <v>236</v>
      </c>
      <c r="B55" s="1496" t="s">
        <v>237</v>
      </c>
      <c r="C55" s="1495"/>
      <c r="D55" s="1495"/>
      <c r="E55" s="2411"/>
      <c r="F55" s="2410"/>
      <c r="G55" s="1495"/>
      <c r="H55" s="1495"/>
      <c r="I55" s="1495"/>
      <c r="J55" s="1495"/>
      <c r="K55" s="1495"/>
      <c r="L55" s="1498"/>
      <c r="M55" s="1500"/>
      <c r="N55" s="1500"/>
      <c r="O55" s="47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7217" customFormat="1" customHeight="1" ht="4.2">
      <c r="A56" s="1496" t="s">
        <v>236</v>
      </c>
      <c r="B56" s="1496"/>
      <c r="C56" s="1496"/>
      <c r="D56" s="1496"/>
      <c r="E56" s="2410"/>
      <c r="F56" s="1496"/>
      <c r="G56" s="1496"/>
      <c r="H56" s="1496"/>
      <c r="I56" s="1496"/>
      <c r="J56" s="1496"/>
      <c r="K56" s="1496"/>
      <c r="L56" s="1502"/>
      <c r="M56" s="1500"/>
      <c r="N56" s="1500"/>
      <c r="O56" s="472"/>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7217"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0AF25-E711-81F8-C60D-0.3E71F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720" width="10.57421875" hidden="1"/>
    <col min="2" max="2" style="7720" width="11.00390625" hidden="1" customWidth="1"/>
    <col min="3" max="3" style="7720" width="10.57421875" hidden="1"/>
    <col min="4" max="4" style="7720" width="11.8515625" hidden="1" customWidth="1"/>
    <col min="5" max="5" style="7720" width="10.00390625" hidden="1" customWidth="1"/>
    <col min="6" max="6" style="7720" width="8.7109375" hidden="1" customWidth="1"/>
    <col min="7" max="7" style="7720" width="7.57421875" hidden="1" customWidth="1"/>
    <col min="8" max="8" style="7720" width="11.421875" hidden="1" customWidth="1"/>
    <col min="9" max="9" style="7720" width="12.00390625" hidden="1" customWidth="1"/>
    <col min="10" max="10" style="7720" width="9.8515625" hidden="1" customWidth="1"/>
    <col min="11" max="11" style="7720" width="11.421875" hidden="1" customWidth="1"/>
    <col min="12" max="12" style="8408" width="19.140625" hidden="1" customWidth="1"/>
    <col min="13" max="14" style="8429" width="12.28125" hidden="1" customWidth="1"/>
    <col min="15" max="15" style="8429" width="23.421875" hidden="1" customWidth="1"/>
    <col min="16" max="16" style="8429" width="3.00390625"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427</v>
      </c>
      <c r="M6" s="1756"/>
      <c r="P6" s="2378">
        <v>1</v>
      </c>
      <c r="Q6" s="2075"/>
      <c r="R6" s="477"/>
      <c r="S6" s="2079">
        <f>$I6</f>
      </c>
      <c r="T6" s="406" t="s">
        <v>428</v>
      </c>
      <c r="U6" s="421"/>
      <c r="V6" s="2366"/>
      <c r="W6" s="2367"/>
      <c r="X6" s="2367"/>
      <c r="Y6" s="2367"/>
      <c r="Z6" s="2367"/>
      <c r="AA6" s="2367"/>
      <c r="AB6" s="2367"/>
      <c r="AC6" s="2368"/>
      <c r="AD6" s="2366"/>
      <c r="AE6" s="2367"/>
      <c r="AF6" s="2367"/>
      <c r="AG6" s="2367"/>
      <c r="AH6" s="2367"/>
      <c r="AI6" s="2367"/>
      <c r="AJ6" s="2367"/>
      <c r="AK6" s="2367"/>
      <c r="AL6" s="2368"/>
      <c r="AM6" s="1379" t="s">
        <v>429</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430</v>
      </c>
      <c r="M7" s="1756"/>
      <c r="N7" s="1752"/>
      <c r="P7" s="2378"/>
      <c r="Q7" s="2378">
        <v>1</v>
      </c>
      <c r="R7" s="478"/>
      <c r="S7" s="2079">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433</v>
      </c>
      <c r="M8" s="1756"/>
      <c r="N8" s="1752"/>
      <c r="O8" s="1752"/>
      <c r="P8" s="2378"/>
      <c r="Q8" s="2378"/>
      <c r="R8" s="478">
        <v>1</v>
      </c>
      <c r="S8" s="2079">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435</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436</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437</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7217"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7217"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7217"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66</v>
      </c>
      <c r="AJ17" s="2388"/>
      <c r="AK17" s="2389" t="s">
        <v>66</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669" customFormat="1" customHeight="1" ht="14.25" hidden="1">
      <c r="A20" s="1752"/>
      <c r="B20" s="1752"/>
      <c r="C20" s="1752"/>
      <c r="D20" s="1752"/>
      <c r="E20" s="1752"/>
      <c r="F20" s="1752"/>
      <c r="G20" s="1752"/>
      <c r="H20" s="1752"/>
      <c r="I20" s="1752"/>
      <c r="J20" s="1752"/>
      <c r="K20" s="1752"/>
      <c r="L20" s="2060"/>
      <c r="M20" s="2086"/>
      <c r="N20" s="2086"/>
      <c r="O20" s="1466" t="s">
        <v>438</v>
      </c>
      <c r="P20" s="1483"/>
      <c r="Q20" s="1492"/>
      <c r="R20" s="1492"/>
      <c r="S20" s="850"/>
      <c r="Z20" s="1488"/>
      <c r="AB20" s="1488"/>
      <c r="AH20" s="1488"/>
      <c r="AJ20" s="1488"/>
      <c r="AN20" s="1757"/>
      <c r="AO20" s="1757"/>
      <c r="AP20" s="1757"/>
      <c r="AQ20" s="1757"/>
      <c r="AR20" s="1757"/>
      <c r="AS20" s="1487">
        <v>0</v>
      </c>
    </row>
    <row s="7669"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669" customFormat="1" customHeight="1" ht="14.25" hidden="1">
      <c r="A22" s="1752"/>
      <c r="B22" s="1752"/>
      <c r="C22" s="1752"/>
      <c r="D22" s="1752"/>
      <c r="E22" s="1752"/>
      <c r="F22" s="1752"/>
      <c r="G22" s="1752"/>
      <c r="H22" s="1752"/>
      <c r="I22" s="1752"/>
      <c r="J22" s="1752"/>
      <c r="K22" s="1752"/>
      <c r="L22" s="2060"/>
      <c r="M22" s="2086"/>
      <c r="N22" s="2086"/>
      <c r="O22" s="1431" t="s">
        <v>439</v>
      </c>
      <c r="P22" s="1483"/>
      <c r="Q22" s="1492"/>
      <c r="R22" s="1492"/>
      <c r="S22" s="850"/>
      <c r="T22" s="1487" t="s">
        <v>440</v>
      </c>
      <c r="AA22" s="716" t="s">
        <v>441</v>
      </c>
      <c r="AC22" s="716" t="s">
        <v>442</v>
      </c>
      <c r="AD22" s="1487" t="s">
        <v>440</v>
      </c>
      <c r="AI22" s="716" t="s">
        <v>443</v>
      </c>
      <c r="AK22" s="716" t="s">
        <v>442</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8300"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8300" customFormat="1" customHeight="1" ht="18.75" hidden="1">
      <c r="A30" s="1369"/>
      <c r="B30" s="1369"/>
      <c r="C30" s="1369"/>
      <c r="D30" s="1369"/>
      <c r="E30" s="1369"/>
      <c r="F30" s="1369"/>
      <c r="G30" s="1369"/>
      <c r="H30" s="1369"/>
      <c r="I30" s="1369"/>
      <c r="J30" s="1369"/>
      <c r="K30" s="1369"/>
      <c r="L30" s="1501"/>
      <c r="M30" s="1369"/>
      <c r="N30" s="1369"/>
      <c r="O30" s="1369"/>
      <c r="S30" s="2371" t="s">
        <v>444</v>
      </c>
      <c r="T30" s="2371"/>
      <c r="U30" s="1493"/>
      <c r="V30" s="2385" t="str">
        <f>IF(TITLE_DATE_PR_CHANGE="",IF(TITLE_DATE_PR="","",TITLE_DATE_PR),TITLE_DATE_PR_CHANGE)</f>
        <v>45777</v>
      </c>
      <c r="W30" s="2385"/>
      <c r="X30" s="2385"/>
      <c r="Y30" s="2385"/>
      <c r="Z30" s="2385"/>
      <c r="AA30" s="2385"/>
      <c r="AB30" s="2385"/>
      <c r="AC30" s="1756"/>
      <c r="AD30" s="2385" t="str">
        <f>IF(TITLE_DATE_PR_CHANGE="",IF(TITLE_DATE_PR="","",TITLE_DATE_PR),TITLE_DATE_PR_CHANGE)</f>
        <v>45777</v>
      </c>
      <c r="AE30" s="2385"/>
      <c r="AF30" s="2385"/>
      <c r="AG30" s="2385"/>
      <c r="AH30" s="2385"/>
      <c r="AI30" s="2385"/>
      <c r="AJ30" s="2385"/>
      <c r="AK30" s="1756"/>
      <c r="AL30" s="1756"/>
      <c r="AM30" s="401"/>
      <c r="AN30" s="489"/>
      <c r="AO30" s="489"/>
      <c r="AP30" s="489"/>
      <c r="AQ30" s="489"/>
      <c r="AR30" s="489"/>
      <c r="AS30" s="539">
        <v>0</v>
      </c>
    </row>
    <row s="8300" customFormat="1" customHeight="1" ht="18.75" hidden="1">
      <c r="A31" s="1369"/>
      <c r="B31" s="1369"/>
      <c r="C31" s="1369"/>
      <c r="D31" s="1369"/>
      <c r="E31" s="1369"/>
      <c r="F31" s="1369"/>
      <c r="G31" s="1369"/>
      <c r="H31" s="1369"/>
      <c r="I31" s="1369"/>
      <c r="J31" s="1369"/>
      <c r="K31" s="1369"/>
      <c r="L31" s="1501"/>
      <c r="M31" s="1369"/>
      <c r="N31" s="1369"/>
      <c r="O31" s="1369"/>
      <c r="S31" s="2371" t="s">
        <v>445</v>
      </c>
      <c r="T31" s="2371"/>
      <c r="U31" s="1493"/>
      <c r="V31" s="2372" t="str">
        <f>IF(TITLE_NUMBER_PR_CHANGE="",IF(TITLE_NUMBER_PR="","",TITLE_NUMBER_PR),TITLE_NUMBER_PR_CHANGE)</f>
        <v>33-01/80</v>
      </c>
      <c r="W31" s="2372"/>
      <c r="X31" s="2372"/>
      <c r="Y31" s="2372"/>
      <c r="Z31" s="2372"/>
      <c r="AA31" s="2372"/>
      <c r="AB31" s="2372"/>
      <c r="AC31" s="1756"/>
      <c r="AD31" s="2372" t="str">
        <f>IF(TITLE_NUMBER_PR_CHANGE="",IF(TITLE_NUMBER_PR="","",TITLE_NUMBER_PR),TITLE_NUMBER_PR_CHANGE)</f>
        <v>33-01/80</v>
      </c>
      <c r="AE31" s="2372"/>
      <c r="AF31" s="2372"/>
      <c r="AG31" s="2372"/>
      <c r="AH31" s="2372"/>
      <c r="AI31" s="2372"/>
      <c r="AJ31" s="2372"/>
      <c r="AK31" s="1756"/>
      <c r="AL31" s="1756"/>
      <c r="AM31" s="401"/>
      <c r="AN31" s="489"/>
      <c r="AO31" s="489"/>
      <c r="AP31" s="489"/>
      <c r="AQ31" s="489"/>
      <c r="AR31" s="489"/>
      <c r="AS31" s="539">
        <v>0</v>
      </c>
    </row>
    <row s="8300"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8300" customFormat="1" customHeight="1" ht="18.75" hidden="1">
      <c r="A34" s="1369"/>
      <c r="B34" s="1369"/>
      <c r="C34" s="1369"/>
      <c r="D34" s="1369"/>
      <c r="E34" s="1369"/>
      <c r="F34" s="1369"/>
      <c r="G34" s="1369"/>
      <c r="H34" s="1369"/>
      <c r="I34" s="1369"/>
      <c r="J34" s="1369"/>
      <c r="K34" s="1369"/>
      <c r="L34" s="1501"/>
      <c r="M34" s="1369"/>
      <c r="N34" s="1369"/>
      <c r="O34" s="1369"/>
      <c r="S34" s="2371" t="s">
        <v>446</v>
      </c>
      <c r="T34" s="2371"/>
      <c r="U34" s="1493"/>
      <c r="V34" s="2385" t="str">
        <f>IF(TITLE_DATE_PR_CHANGE="",IF(TITLE_DATE_PR="","",TITLE_DATE_PR),TITLE_DATE_PR_CHANGE)</f>
        <v>45777</v>
      </c>
      <c r="W34" s="2385"/>
      <c r="X34" s="2385"/>
      <c r="Y34" s="2385"/>
      <c r="Z34" s="2385"/>
      <c r="AA34" s="2385"/>
      <c r="AB34" s="2385"/>
      <c r="AC34" s="1756"/>
      <c r="AD34" s="2385" t="str">
        <f>IF(TITLE_DATE_PR_CHANGE="",IF(TITLE_DATE_PR="","",TITLE_DATE_PR),TITLE_DATE_PR_CHANGE)</f>
        <v>45777</v>
      </c>
      <c r="AE34" s="2385"/>
      <c r="AF34" s="2385"/>
      <c r="AG34" s="2385"/>
      <c r="AH34" s="2385"/>
      <c r="AI34" s="2385"/>
      <c r="AJ34" s="2385"/>
      <c r="AK34" s="1756"/>
      <c r="AL34" s="1756"/>
      <c r="AM34" s="401"/>
      <c r="AN34" s="489"/>
      <c r="AO34" s="489"/>
      <c r="AP34" s="489"/>
      <c r="AQ34" s="489"/>
      <c r="AR34" s="489"/>
      <c r="AS34" s="539">
        <v>0</v>
      </c>
    </row>
    <row s="8300" customFormat="1" customHeight="1" ht="18.75" hidden="1">
      <c r="A35" s="1369"/>
      <c r="B35" s="1369"/>
      <c r="C35" s="1369"/>
      <c r="D35" s="1369"/>
      <c r="E35" s="1369"/>
      <c r="F35" s="1369"/>
      <c r="G35" s="1369"/>
      <c r="H35" s="1369"/>
      <c r="I35" s="1369"/>
      <c r="J35" s="1369"/>
      <c r="K35" s="1369"/>
      <c r="L35" s="1501"/>
      <c r="M35" s="1369"/>
      <c r="N35" s="1369"/>
      <c r="O35" s="1369"/>
      <c r="S35" s="2371" t="s">
        <v>447</v>
      </c>
      <c r="T35" s="2371"/>
      <c r="U35" s="1493"/>
      <c r="V35" s="2372" t="str">
        <f>IF(TITLE_NUMBER_PR_CHANGE="",IF(TITLE_NUMBER_PR="","",TITLE_NUMBER_PR),TITLE_NUMBER_PR_CHANGE)</f>
        <v>33-01/80</v>
      </c>
      <c r="W35" s="2372"/>
      <c r="X35" s="2372"/>
      <c r="Y35" s="2372"/>
      <c r="Z35" s="2372"/>
      <c r="AA35" s="2372"/>
      <c r="AB35" s="2372"/>
      <c r="AC35" s="1756"/>
      <c r="AD35" s="2372" t="str">
        <f>IF(TITLE_NUMBER_PR_CHANGE="",IF(TITLE_NUMBER_PR="","",TITLE_NUMBER_PR),TITLE_NUMBER_PR_CHANGE)</f>
        <v>33-01/80</v>
      </c>
      <c r="AE35" s="2372"/>
      <c r="AF35" s="2372"/>
      <c r="AG35" s="2372"/>
      <c r="AH35" s="2372"/>
      <c r="AI35" s="2372"/>
      <c r="AJ35" s="2372"/>
      <c r="AK35" s="1756"/>
      <c r="AL35" s="1756"/>
      <c r="AM35" s="401"/>
      <c r="AN35" s="489"/>
      <c r="AO35" s="489"/>
      <c r="AP35" s="489"/>
      <c r="AQ35" s="489"/>
      <c r="AR35" s="489"/>
      <c r="AS35" s="539">
        <v>0</v>
      </c>
    </row>
    <row s="8300"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448</v>
      </c>
      <c r="AD36" s="1756"/>
      <c r="AE36" s="1756"/>
      <c r="AF36" s="1756"/>
      <c r="AG36" s="1756"/>
      <c r="AH36" s="1756"/>
      <c r="AI36" s="1756"/>
      <c r="AJ36" s="1756"/>
      <c r="AK36" s="1763" t="s">
        <v>448</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752">
        <v>14</v>
      </c>
    </row>
    <row customHeight="1" ht="14.699999999999998">
      <c r="Q39" s="497"/>
      <c r="R39" s="497"/>
      <c r="S39" s="2394" t="s">
        <v>88</v>
      </c>
      <c r="T39" s="2330" t="s">
        <v>449</v>
      </c>
      <c r="U39" s="458"/>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752">
        <v>14</v>
      </c>
    </row>
    <row customHeight="1" ht="35.699999999999996">
      <c r="Q40" s="497"/>
      <c r="R40" s="497"/>
      <c r="S40" s="2394"/>
      <c r="T40" s="2330"/>
      <c r="U40" s="1152"/>
      <c r="V40" s="2381" t="s">
        <v>454</v>
      </c>
      <c r="W40" s="2404" t="s">
        <v>455</v>
      </c>
      <c r="X40" s="2383" t="s">
        <v>456</v>
      </c>
      <c r="Y40" s="2384"/>
      <c r="Z40" s="2383" t="s">
        <v>471</v>
      </c>
      <c r="AA40" s="2390"/>
      <c r="AB40" s="2384"/>
      <c r="AC40" s="2399"/>
      <c r="AD40" s="2381" t="s">
        <v>454</v>
      </c>
      <c r="AE40" s="2404" t="s">
        <v>455</v>
      </c>
      <c r="AF40" s="2383" t="s">
        <v>456</v>
      </c>
      <c r="AG40" s="2384"/>
      <c r="AH40" s="2383" t="s">
        <v>457</v>
      </c>
      <c r="AI40" s="2390"/>
      <c r="AJ40" s="2384"/>
      <c r="AK40" s="2399"/>
      <c r="AL40" s="2402"/>
      <c r="AM40" s="2248"/>
      <c r="AS40" s="1752">
        <v>34</v>
      </c>
    </row>
    <row customHeight="1" ht="35.699999999999996">
      <c r="A41" s="1387"/>
      <c r="B41" s="1387" t="s">
        <v>148</v>
      </c>
      <c r="C41" s="1387" t="s">
        <v>149</v>
      </c>
      <c r="D41" s="1387" t="s">
        <v>150</v>
      </c>
      <c r="E41" s="1431" t="s">
        <v>458</v>
      </c>
      <c r="F41" s="1431" t="s">
        <v>459</v>
      </c>
      <c r="G41" s="1431" t="s">
        <v>460</v>
      </c>
      <c r="H41" s="1431" t="s">
        <v>461</v>
      </c>
      <c r="I41" s="1431" t="s">
        <v>462</v>
      </c>
      <c r="J41" s="1431" t="s">
        <v>463</v>
      </c>
      <c r="K41" s="1431" t="s">
        <v>464</v>
      </c>
      <c r="L41" s="1431" t="s">
        <v>439</v>
      </c>
      <c r="Q41" s="497"/>
      <c r="R41" s="497"/>
      <c r="S41" s="2394"/>
      <c r="T41" s="2330"/>
      <c r="U41" s="423"/>
      <c r="V41" s="2382"/>
      <c r="W41" s="2405"/>
      <c r="X41" s="2059" t="s">
        <v>465</v>
      </c>
      <c r="Y41" s="2059" t="s">
        <v>466</v>
      </c>
      <c r="Z41" s="2059" t="s">
        <v>467</v>
      </c>
      <c r="AA41" s="2391" t="s">
        <v>468</v>
      </c>
      <c r="AB41" s="2392"/>
      <c r="AC41" s="2400"/>
      <c r="AD41" s="2382"/>
      <c r="AE41" s="2405"/>
      <c r="AF41" s="2059" t="s">
        <v>465</v>
      </c>
      <c r="AG41" s="2059" t="s">
        <v>466</v>
      </c>
      <c r="AH41" s="2059" t="s">
        <v>467</v>
      </c>
      <c r="AI41" s="2391" t="s">
        <v>468</v>
      </c>
      <c r="AJ41" s="2392"/>
      <c r="AK41" s="2400"/>
      <c r="AL41" s="2403"/>
      <c r="AM41" s="2248"/>
      <c r="AS41" s="1752">
        <v>34</v>
      </c>
    </row>
    <row s="6812"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123</v>
      </c>
      <c r="T42" s="1376" t="s">
        <v>103</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236</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236</v>
      </c>
      <c r="B44" s="1388" t="s">
        <v>237</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1745"/>
      <c r="AP44" s="1745" t="str">
        <f>IF(T44="","",T44)</f>
        <v>Территория действия тарифа</v>
      </c>
      <c r="AQ44" s="1745"/>
      <c r="AR44" s="1745"/>
      <c r="AS44" s="1752">
        <v>21</v>
      </c>
    </row>
    <row customHeight="1" ht="24">
      <c r="A45" s="1388" t="s">
        <v>236</v>
      </c>
      <c r="B45" s="1388" t="s">
        <v>237</v>
      </c>
      <c r="C45" s="1388" t="s">
        <v>238</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1745"/>
      <c r="AP45" s="1745" t="str">
        <f>IF(T45="","",T45)</f>
        <v>Наименование системы теплоснабжения </v>
      </c>
      <c r="AQ45" s="1745"/>
      <c r="AR45" s="1745"/>
      <c r="AS45" s="1752">
        <v>23</v>
      </c>
    </row>
    <row customHeight="1" ht="22.049999999999997">
      <c r="A46" s="1388" t="s">
        <v>236</v>
      </c>
      <c r="B46" s="1388" t="s">
        <v>237</v>
      </c>
      <c r="C46" s="1388" t="s">
        <v>238</v>
      </c>
      <c r="D46" s="1388" t="s">
        <v>239</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1745"/>
      <c r="AP46" s="1745" t="str">
        <f>IF(T46="","",T46)</f>
        <v>Источник тепловой энергии  </v>
      </c>
      <c r="AQ46" s="1745"/>
      <c r="AR46" s="1745"/>
      <c r="AS46" s="1752">
        <v>21</v>
      </c>
    </row>
    <row customHeight="1" ht="49.5">
      <c r="A47" s="1388" t="s">
        <v>236</v>
      </c>
      <c r="B47" s="1388" t="s">
        <v>237</v>
      </c>
      <c r="C47" s="1388" t="s">
        <v>238</v>
      </c>
      <c r="D47" s="1388" t="s">
        <v>239</v>
      </c>
      <c r="E47" s="2411"/>
      <c r="F47" s="2411"/>
      <c r="G47" s="2411"/>
      <c r="H47" s="2411"/>
      <c r="I47" s="2248" t="str">
        <f>S46&amp;".1"</f>
        <v>....1</v>
      </c>
      <c r="J47" s="1388"/>
      <c r="K47" s="1388"/>
      <c r="L47" s="1431" t="s">
        <v>427</v>
      </c>
      <c r="P47" s="2378">
        <v>1</v>
      </c>
      <c r="Q47" s="2075"/>
      <c r="R47" s="477"/>
      <c r="S47" s="2079" t="str">
        <f>$I47</f>
        <v>....1</v>
      </c>
      <c r="T47" s="406" t="s">
        <v>428</v>
      </c>
      <c r="U47" s="421"/>
      <c r="V47" s="2366"/>
      <c r="W47" s="2367"/>
      <c r="X47" s="2367"/>
      <c r="Y47" s="2367"/>
      <c r="Z47" s="2367"/>
      <c r="AA47" s="2367"/>
      <c r="AB47" s="2367"/>
      <c r="AC47" s="2368"/>
      <c r="AD47" s="2366"/>
      <c r="AE47" s="2367"/>
      <c r="AF47" s="2367"/>
      <c r="AG47" s="2367"/>
      <c r="AH47" s="2367"/>
      <c r="AI47" s="2367"/>
      <c r="AJ47" s="2367"/>
      <c r="AK47" s="2367"/>
      <c r="AL47" s="2368"/>
      <c r="AM47" s="1379" t="s">
        <v>429</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236</v>
      </c>
      <c r="B48" s="1388" t="s">
        <v>237</v>
      </c>
      <c r="C48" s="1388" t="s">
        <v>238</v>
      </c>
      <c r="D48" s="1388" t="s">
        <v>239</v>
      </c>
      <c r="E48" s="2411"/>
      <c r="F48" s="2411"/>
      <c r="G48" s="2411"/>
      <c r="H48" s="2411"/>
      <c r="I48" s="2222"/>
      <c r="J48" s="2248" t="str">
        <f>I47&amp;".1"</f>
        <v>....1.1</v>
      </c>
      <c r="K48" s="1388"/>
      <c r="L48" s="1431" t="s">
        <v>430</v>
      </c>
      <c r="P48" s="2378"/>
      <c r="Q48" s="2378">
        <v>1</v>
      </c>
      <c r="R48" s="478"/>
      <c r="S48" s="2079" t="str">
        <f>$J48</f>
        <v>....1.1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1745"/>
      <c r="AP48" s="1745" t="str">
        <f>IF(T48="","",T48)</f>
        <v>Группа потребителей</v>
      </c>
      <c r="AQ48" s="1745"/>
      <c r="AR48" s="1745"/>
      <c r="AS48" s="1752">
        <v>21</v>
      </c>
    </row>
    <row customHeight="1" ht="22.049999999999997">
      <c r="A49" s="1388" t="s">
        <v>236</v>
      </c>
      <c r="B49" s="1388" t="s">
        <v>237</v>
      </c>
      <c r="C49" s="1388" t="s">
        <v>238</v>
      </c>
      <c r="D49" s="1388" t="s">
        <v>239</v>
      </c>
      <c r="E49" s="2411"/>
      <c r="F49" s="2411"/>
      <c r="G49" s="2411"/>
      <c r="H49" s="2411"/>
      <c r="I49" s="2222"/>
      <c r="J49" s="2222"/>
      <c r="K49" s="2248" t="str">
        <f>J48&amp;".1"</f>
        <v>....1.1.1</v>
      </c>
      <c r="L49" s="1431" t="s">
        <v>433</v>
      </c>
      <c r="P49" s="2378"/>
      <c r="Q49" s="2378"/>
      <c r="R49" s="478">
        <v>1</v>
      </c>
      <c r="S49" s="2079" t="str">
        <f>$K49</f>
        <v>....1.1.1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434</v>
      </c>
      <c r="AN49" s="1757">
        <f>STRCHECKDATE(V50:AL50)</f>
      </c>
      <c r="AO49" s="1745"/>
      <c r="AP49" s="1745" t="str">
        <f>IF(T49="","",T49)</f>
        <v/>
      </c>
      <c r="AQ49" s="1745"/>
      <c r="AR49" s="1745"/>
      <c r="AS49" s="1752">
        <v>21</v>
      </c>
    </row>
    <row customHeight="1" ht="1.05">
      <c r="A50" s="1388" t="s">
        <v>236</v>
      </c>
      <c r="B50" s="1388" t="s">
        <v>237</v>
      </c>
      <c r="C50" s="1388" t="s">
        <v>238</v>
      </c>
      <c r="D50" s="1388" t="s">
        <v>239</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236</v>
      </c>
      <c r="B51" s="1388" t="s">
        <v>237</v>
      </c>
      <c r="C51" s="1388" t="s">
        <v>238</v>
      </c>
      <c r="D51" s="1388" t="s">
        <v>239</v>
      </c>
      <c r="E51" s="2411"/>
      <c r="F51" s="2411"/>
      <c r="G51" s="2411"/>
      <c r="H51" s="2411"/>
      <c r="I51" s="2222"/>
      <c r="J51" s="2248"/>
      <c r="K51" s="1388"/>
      <c r="L51" s="1431"/>
      <c r="P51" s="2378"/>
      <c r="Q51" s="2378"/>
      <c r="R51" s="477"/>
      <c r="S51" s="1399"/>
      <c r="T51" s="409" t="s">
        <v>435</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236</v>
      </c>
      <c r="B52" s="1388" t="s">
        <v>237</v>
      </c>
      <c r="C52" s="1388" t="s">
        <v>238</v>
      </c>
      <c r="D52" s="1388" t="s">
        <v>239</v>
      </c>
      <c r="E52" s="2411"/>
      <c r="F52" s="2411"/>
      <c r="G52" s="2411"/>
      <c r="H52" s="2411"/>
      <c r="I52" s="2248"/>
      <c r="J52" s="1388"/>
      <c r="K52" s="1388"/>
      <c r="L52" s="1431"/>
      <c r="P52" s="2378"/>
      <c r="Q52" s="2075"/>
      <c r="R52" s="477"/>
      <c r="S52" s="1399"/>
      <c r="T52" s="408" t="s">
        <v>436</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236</v>
      </c>
      <c r="B53" s="1388" t="s">
        <v>237</v>
      </c>
      <c r="C53" s="1388" t="s">
        <v>238</v>
      </c>
      <c r="D53" s="1388" t="s">
        <v>239</v>
      </c>
      <c r="E53" s="2411"/>
      <c r="F53" s="2411"/>
      <c r="G53" s="2411"/>
      <c r="H53" s="2410"/>
      <c r="I53" s="1388"/>
      <c r="J53" s="1388"/>
      <c r="K53" s="1388"/>
      <c r="L53" s="1431"/>
      <c r="M53" s="1731"/>
      <c r="N53" s="1731"/>
      <c r="O53" s="1756"/>
      <c r="P53" s="481"/>
      <c r="Q53" s="496"/>
      <c r="R53" s="476"/>
      <c r="S53" s="1399"/>
      <c r="T53" s="486" t="s">
        <v>437</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7217" customFormat="1" customHeight="1" ht="1.05">
      <c r="A54" s="1388" t="s">
        <v>236</v>
      </c>
      <c r="B54" s="1388" t="s">
        <v>237</v>
      </c>
      <c r="C54" s="1388" t="s">
        <v>238</v>
      </c>
      <c r="D54" s="2095"/>
      <c r="E54" s="2411"/>
      <c r="F54" s="2411"/>
      <c r="G54" s="2410"/>
      <c r="H54" s="2095"/>
      <c r="I54" s="2095"/>
      <c r="J54" s="2095"/>
      <c r="K54" s="2095"/>
      <c r="L54" s="1501"/>
      <c r="M54" s="1731"/>
      <c r="N54" s="1731"/>
      <c r="O54" s="175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7217" customFormat="1" customHeight="1" ht="1.05">
      <c r="A55" s="1388" t="s">
        <v>236</v>
      </c>
      <c r="B55" s="1388" t="s">
        <v>237</v>
      </c>
      <c r="C55" s="2095"/>
      <c r="D55" s="2095"/>
      <c r="E55" s="2411"/>
      <c r="F55" s="2410"/>
      <c r="G55" s="2095"/>
      <c r="H55" s="2095"/>
      <c r="I55" s="2095"/>
      <c r="J55" s="2095"/>
      <c r="K55" s="2095"/>
      <c r="L55" s="1501"/>
      <c r="M55" s="2096"/>
      <c r="N55" s="2096"/>
      <c r="O55" s="1756"/>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7217" customFormat="1" customHeight="1" ht="1.05">
      <c r="A56" s="1388" t="s">
        <v>236</v>
      </c>
      <c r="B56" s="1388"/>
      <c r="C56" s="1388"/>
      <c r="D56" s="1388"/>
      <c r="E56" s="2410"/>
      <c r="F56" s="1388"/>
      <c r="G56" s="1388"/>
      <c r="H56" s="1388"/>
      <c r="I56" s="1388"/>
      <c r="J56" s="1388"/>
      <c r="K56" s="1388"/>
      <c r="L56" s="1431"/>
      <c r="M56" s="2096"/>
      <c r="N56" s="2096"/>
      <c r="O56" s="1756"/>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7217"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82</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CE3CE-D7D2-2B7F-536E-0.081435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1.00390625" customWidth="1"/>
    <col min="21" max="21" style="7720" width="0.7109375" hidden="1" customWidth="1"/>
    <col min="22" max="22" style="7720" width="1.7109375" hidden="1" customWidth="1"/>
    <col min="23" max="23" style="7720" width="24.7109375" hidden="1" customWidth="1"/>
    <col min="24" max="25" style="7720" width="0.14062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0.140625" customWidth="1"/>
    <col min="31" max="31" style="7720" width="24.00390625" customWidth="1"/>
    <col min="32" max="33" style="7720" width="0.14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427</v>
      </c>
      <c r="M6" s="658"/>
      <c r="P6" s="2378">
        <v>1</v>
      </c>
      <c r="Q6" s="1452"/>
      <c r="R6" s="477"/>
      <c r="S6" s="1457">
        <f>$I6</f>
      </c>
      <c r="T6" s="406" t="s">
        <v>428</v>
      </c>
      <c r="U6" s="421"/>
      <c r="V6" s="2366"/>
      <c r="W6" s="2367"/>
      <c r="X6" s="2367"/>
      <c r="Y6" s="2367"/>
      <c r="Z6" s="2367"/>
      <c r="AA6" s="2367"/>
      <c r="AB6" s="2367"/>
      <c r="AC6" s="2368"/>
      <c r="AD6" s="2366"/>
      <c r="AE6" s="2367"/>
      <c r="AF6" s="2367"/>
      <c r="AG6" s="2367"/>
      <c r="AH6" s="2367"/>
      <c r="AI6" s="2367"/>
      <c r="AJ6" s="2367"/>
      <c r="AK6" s="2367"/>
      <c r="AL6" s="2368"/>
      <c r="AM6" s="1379" t="s">
        <v>429</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430</v>
      </c>
      <c r="M7" s="658"/>
      <c r="N7" s="1487"/>
      <c r="P7" s="2378"/>
      <c r="Q7" s="2378">
        <v>1</v>
      </c>
      <c r="R7" s="478"/>
      <c r="S7" s="1457">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433</v>
      </c>
      <c r="M8" s="658"/>
      <c r="N8" s="1487"/>
      <c r="O8" s="1487"/>
      <c r="P8" s="2378"/>
      <c r="Q8" s="2378"/>
      <c r="R8" s="478">
        <v>1</v>
      </c>
      <c r="S8" s="1457">
        <f>$K8</f>
      </c>
      <c r="T8" s="1468"/>
      <c r="U8" s="421"/>
      <c r="V8" s="446"/>
      <c r="W8" s="872"/>
      <c r="X8" s="446"/>
      <c r="Y8" s="505"/>
      <c r="Z8" s="2386"/>
      <c r="AA8" s="2228" t="s">
        <v>66</v>
      </c>
      <c r="AB8" s="2386"/>
      <c r="AC8" s="2228" t="s">
        <v>66</v>
      </c>
      <c r="AD8" s="446"/>
      <c r="AE8" s="872"/>
      <c r="AF8" s="446"/>
      <c r="AG8" s="505"/>
      <c r="AH8" s="2386"/>
      <c r="AI8" s="2228" t="s">
        <v>66</v>
      </c>
      <c r="AJ8" s="2386"/>
      <c r="AK8" s="2228" t="s">
        <v>66</v>
      </c>
      <c r="AL8" s="446"/>
      <c r="AM8" s="2374" t="s">
        <v>434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437</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721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33.7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28</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18.7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412"/>
      <c r="Y39" s="2412"/>
      <c r="Z39" s="2396"/>
      <c r="AA39" s="2396"/>
      <c r="AB39" s="2397"/>
      <c r="AC39" s="2398" t="s">
        <v>451</v>
      </c>
      <c r="AD39" s="2395" t="s">
        <v>450</v>
      </c>
      <c r="AE39" s="2396"/>
      <c r="AF39" s="2412"/>
      <c r="AG39" s="2412"/>
      <c r="AH39" s="2396"/>
      <c r="AI39" s="2396"/>
      <c r="AJ39" s="2397"/>
      <c r="AK39" s="2398" t="s">
        <v>452</v>
      </c>
      <c r="AL39" s="2401" t="s">
        <v>453</v>
      </c>
      <c r="AM39" s="2248"/>
      <c r="AS39" s="1276">
        <v>14</v>
      </c>
    </row>
    <row customHeight="1" ht="24">
      <c r="Q40" s="497"/>
      <c r="R40" s="497"/>
      <c r="S40" s="2394"/>
      <c r="T40" s="2330"/>
      <c r="U40" s="1152"/>
      <c r="V40" s="2413" t="s">
        <v>454</v>
      </c>
      <c r="W40" s="2415" t="s">
        <v>455</v>
      </c>
      <c r="X40" s="1497" t="s">
        <v>456</v>
      </c>
      <c r="Y40" s="1497"/>
      <c r="Z40" s="2390" t="s">
        <v>457</v>
      </c>
      <c r="AA40" s="2390"/>
      <c r="AB40" s="2384"/>
      <c r="AC40" s="2399"/>
      <c r="AD40" s="2413" t="s">
        <v>454</v>
      </c>
      <c r="AE40" s="2415" t="s">
        <v>455</v>
      </c>
      <c r="AF40" s="1497" t="s">
        <v>456</v>
      </c>
      <c r="AG40" s="1497"/>
      <c r="AH40" s="2390" t="s">
        <v>457</v>
      </c>
      <c r="AI40" s="2390"/>
      <c r="AJ40" s="2384"/>
      <c r="AK40" s="2399"/>
      <c r="AL40" s="2402"/>
      <c r="AM40" s="2248"/>
      <c r="AS40" s="1276">
        <v>23</v>
      </c>
    </row>
    <row s="7837" customFormat="1" customHeight="1" ht="24">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M41" s="1483"/>
      <c r="N41" s="1483"/>
      <c r="O41" s="1483"/>
      <c r="P41" s="1449"/>
      <c r="Q41" s="497"/>
      <c r="R41" s="497"/>
      <c r="S41" s="2394"/>
      <c r="T41" s="2330"/>
      <c r="U41" s="423"/>
      <c r="V41" s="2414"/>
      <c r="W41" s="2416"/>
      <c r="X41" s="1494" t="s">
        <v>465</v>
      </c>
      <c r="Y41" s="1494" t="s">
        <v>466</v>
      </c>
      <c r="Z41" s="1455" t="s">
        <v>467</v>
      </c>
      <c r="AA41" s="2391" t="s">
        <v>468</v>
      </c>
      <c r="AB41" s="2392"/>
      <c r="AC41" s="2400"/>
      <c r="AD41" s="2414"/>
      <c r="AE41" s="2416"/>
      <c r="AF41" s="1494" t="s">
        <v>465</v>
      </c>
      <c r="AG41" s="1494" t="s">
        <v>466</v>
      </c>
      <c r="AH41" s="1455" t="s">
        <v>467</v>
      </c>
      <c r="AI41" s="2391" t="s">
        <v>468</v>
      </c>
      <c r="AJ41" s="2392"/>
      <c r="AK41" s="2400"/>
      <c r="AL41" s="2403"/>
      <c r="AM41" s="2248"/>
      <c r="AN41" s="632"/>
      <c r="AO41" s="621"/>
      <c r="AP41" s="621"/>
      <c r="AQ41" s="621"/>
      <c r="AR41" s="621"/>
      <c r="AS41" s="703">
        <v>23</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456">
        <f>OFFSET(V42,0,-1)+1</f>
        <v>3</v>
      </c>
      <c r="W42" s="1456"/>
      <c r="X42" s="1462">
        <f>OFFSET(X42,0,-1)+1</f>
        <v>1</v>
      </c>
      <c r="Y42" s="1462">
        <f>OFFSET(Y42,0,-1)+1</f>
        <v>2</v>
      </c>
      <c r="Z42" s="1456">
        <f>OFFSET(Z42,0,-1)+1</f>
        <v>3</v>
      </c>
      <c r="AA42" s="2393">
        <f>OFFSET(AA42,0,-1)+1</f>
        <v>4</v>
      </c>
      <c r="AB42" s="2393"/>
      <c r="AC42" s="1456">
        <f>OFFSET(AC42,0,-2)+1</f>
        <v>5</v>
      </c>
      <c r="AD42" s="1456">
        <f>OFFSET(AD42,0,-1)+1</f>
        <v>6</v>
      </c>
      <c r="AE42" s="1456"/>
      <c r="AF42" s="1462">
        <f>OFFSET(AF42,0,-1)+1</f>
        <v>1</v>
      </c>
      <c r="AG42" s="1462">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218</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218</v>
      </c>
      <c r="B44" s="1484" t="s">
        <v>219</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21</v>
      </c>
    </row>
    <row customHeight="1" ht="24">
      <c r="A45" s="1484" t="s">
        <v>218</v>
      </c>
      <c r="B45" s="1484" t="s">
        <v>219</v>
      </c>
      <c r="C45" s="1484" t="s">
        <v>220</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2.049999999999997">
      <c r="A46" s="1484" t="s">
        <v>218</v>
      </c>
      <c r="B46" s="1484" t="s">
        <v>219</v>
      </c>
      <c r="C46" s="1484" t="s">
        <v>220</v>
      </c>
      <c r="D46" s="1484" t="s">
        <v>221</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621"/>
      <c r="AP46" s="621" t="str">
        <f>IF(T46="","",T46)</f>
        <v>Источник тепловой энергии  </v>
      </c>
      <c r="AQ46" s="621"/>
      <c r="AR46" s="621"/>
      <c r="AS46" s="1276">
        <v>21</v>
      </c>
    </row>
    <row customHeight="1" ht="49.5">
      <c r="A47" s="1484" t="s">
        <v>218</v>
      </c>
      <c r="B47" s="1484" t="s">
        <v>219</v>
      </c>
      <c r="C47" s="1484" t="s">
        <v>220</v>
      </c>
      <c r="D47" s="1484" t="s">
        <v>221</v>
      </c>
      <c r="E47" s="2380"/>
      <c r="F47" s="2380"/>
      <c r="G47" s="2380"/>
      <c r="H47" s="2380"/>
      <c r="I47" s="2377" t="str">
        <f>S46&amp;".1"</f>
        <v>....1</v>
      </c>
      <c r="J47" s="1484"/>
      <c r="K47" s="1484"/>
      <c r="L47" s="1485" t="s">
        <v>427</v>
      </c>
      <c r="P47" s="2378">
        <v>1</v>
      </c>
      <c r="Q47" s="1452"/>
      <c r="R47" s="477"/>
      <c r="S47" s="1457" t="str">
        <f>$I47</f>
        <v>....1</v>
      </c>
      <c r="T47" s="406" t="s">
        <v>428</v>
      </c>
      <c r="U47" s="421"/>
      <c r="V47" s="2366"/>
      <c r="W47" s="2367"/>
      <c r="X47" s="2367"/>
      <c r="Y47" s="2367"/>
      <c r="Z47" s="2367"/>
      <c r="AA47" s="2367"/>
      <c r="AB47" s="2367"/>
      <c r="AC47" s="2368"/>
      <c r="AD47" s="2366"/>
      <c r="AE47" s="2367"/>
      <c r="AF47" s="2367"/>
      <c r="AG47" s="2367"/>
      <c r="AH47" s="2367"/>
      <c r="AI47" s="2367"/>
      <c r="AJ47" s="2367"/>
      <c r="AK47" s="2367"/>
      <c r="AL47" s="2368"/>
      <c r="AM47" s="1379" t="s">
        <v>429</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218</v>
      </c>
      <c r="B48" s="1484" t="s">
        <v>219</v>
      </c>
      <c r="C48" s="1484" t="s">
        <v>220</v>
      </c>
      <c r="D48" s="1484" t="s">
        <v>221</v>
      </c>
      <c r="E48" s="2380"/>
      <c r="F48" s="2380"/>
      <c r="G48" s="2380"/>
      <c r="H48" s="2380"/>
      <c r="I48" s="2407"/>
      <c r="J48" s="2377" t="str">
        <f>I47&amp;".1"</f>
        <v>....1.1</v>
      </c>
      <c r="K48" s="1484"/>
      <c r="L48" s="1485" t="s">
        <v>430</v>
      </c>
      <c r="P48" s="2378"/>
      <c r="Q48" s="2378">
        <v>1</v>
      </c>
      <c r="R48" s="478"/>
      <c r="S48" s="1457" t="str">
        <f>$J48</f>
        <v>....1.1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621"/>
      <c r="AP48" s="621" t="str">
        <f>IF(T48="","",T48)</f>
        <v>Группа потребителей</v>
      </c>
      <c r="AQ48" s="621"/>
      <c r="AR48" s="621"/>
      <c r="AS48" s="1276">
        <v>21</v>
      </c>
    </row>
    <row customHeight="1" ht="22.049999999999997">
      <c r="A49" s="1484" t="s">
        <v>218</v>
      </c>
      <c r="B49" s="1484" t="s">
        <v>219</v>
      </c>
      <c r="C49" s="1484" t="s">
        <v>220</v>
      </c>
      <c r="D49" s="1484" t="s">
        <v>221</v>
      </c>
      <c r="E49" s="2380"/>
      <c r="F49" s="2380"/>
      <c r="G49" s="2380"/>
      <c r="H49" s="2380"/>
      <c r="I49" s="2407"/>
      <c r="J49" s="2407"/>
      <c r="K49" s="2377" t="str">
        <f>J48&amp;".1"</f>
        <v>....1.1.1</v>
      </c>
      <c r="L49" s="1485" t="s">
        <v>433</v>
      </c>
      <c r="P49" s="2378"/>
      <c r="Q49" s="2378"/>
      <c r="R49" s="478">
        <v>1</v>
      </c>
      <c r="S49" s="1457" t="str">
        <f>$K49</f>
        <v>....1.1.1</v>
      </c>
      <c r="T49" s="1468"/>
      <c r="U49" s="421"/>
      <c r="V49" s="446"/>
      <c r="W49" s="872"/>
      <c r="X49" s="446"/>
      <c r="Y49" s="505"/>
      <c r="Z49" s="2386"/>
      <c r="AA49" s="2228" t="s">
        <v>66</v>
      </c>
      <c r="AB49" s="2386"/>
      <c r="AC49" s="2228" t="s">
        <v>66</v>
      </c>
      <c r="AD49" s="446"/>
      <c r="AE49" s="872"/>
      <c r="AF49" s="446"/>
      <c r="AG49" s="505"/>
      <c r="AH49" s="2386"/>
      <c r="AI49" s="2228" t="s">
        <v>66</v>
      </c>
      <c r="AJ49" s="2408"/>
      <c r="AK49" s="2228" t="s">
        <v>66</v>
      </c>
      <c r="AL49" s="1469"/>
      <c r="AM49" s="2374" t="s">
        <v>434</v>
      </c>
      <c r="AN49" s="632">
        <f>STRCHECKDATE(V50:AL50)</f>
      </c>
      <c r="AO49" s="621"/>
      <c r="AP49" s="621" t="str">
        <f>IF(T49="","",T49)</f>
        <v/>
      </c>
      <c r="AQ49" s="621"/>
      <c r="AR49" s="621"/>
      <c r="AS49" s="1276">
        <v>21</v>
      </c>
    </row>
    <row customHeight="1" ht="1.05">
      <c r="A50" s="1484" t="s">
        <v>218</v>
      </c>
      <c r="B50" s="1484" t="s">
        <v>219</v>
      </c>
      <c r="C50" s="1484" t="s">
        <v>220</v>
      </c>
      <c r="D50" s="1484" t="s">
        <v>221</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218</v>
      </c>
      <c r="B51" s="1484" t="s">
        <v>219</v>
      </c>
      <c r="C51" s="1484" t="s">
        <v>220</v>
      </c>
      <c r="D51" s="1484" t="s">
        <v>221</v>
      </c>
      <c r="E51" s="2380"/>
      <c r="F51" s="2380"/>
      <c r="G51" s="2380"/>
      <c r="H51" s="2380"/>
      <c r="I51" s="2407"/>
      <c r="J51" s="2377"/>
      <c r="K51" s="1484"/>
      <c r="L51" s="1485"/>
      <c r="P51" s="2378"/>
      <c r="Q51" s="2378"/>
      <c r="R51" s="477"/>
      <c r="S51" s="1399"/>
      <c r="T51" s="409"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218</v>
      </c>
      <c r="B52" s="1484" t="s">
        <v>219</v>
      </c>
      <c r="C52" s="1484" t="s">
        <v>220</v>
      </c>
      <c r="D52" s="1484" t="s">
        <v>221</v>
      </c>
      <c r="E52" s="2380"/>
      <c r="F52" s="2380"/>
      <c r="G52" s="2380"/>
      <c r="H52" s="2380"/>
      <c r="I52" s="2377"/>
      <c r="J52" s="1484"/>
      <c r="K52" s="1484"/>
      <c r="L52" s="1485"/>
      <c r="P52" s="2378"/>
      <c r="Q52" s="1452"/>
      <c r="R52" s="477"/>
      <c r="S52" s="1399"/>
      <c r="T52" s="408"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218</v>
      </c>
      <c r="B53" s="1484" t="s">
        <v>219</v>
      </c>
      <c r="C53" s="1484" t="s">
        <v>220</v>
      </c>
      <c r="D53" s="1484" t="s">
        <v>221</v>
      </c>
      <c r="E53" s="2380"/>
      <c r="F53" s="2380"/>
      <c r="G53" s="2380"/>
      <c r="H53" s="2379"/>
      <c r="I53" s="1484"/>
      <c r="J53" s="1484"/>
      <c r="K53" s="1484"/>
      <c r="L53" s="1485"/>
      <c r="M53" s="1486"/>
      <c r="N53" s="1486"/>
      <c r="O53" s="658"/>
      <c r="P53" s="481"/>
      <c r="Q53" s="496"/>
      <c r="R53" s="476"/>
      <c r="S53" s="1399"/>
      <c r="T53" s="486" t="s">
        <v>437</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7217" customFormat="1" customHeight="1" ht="1.05">
      <c r="A54" s="1464" t="s">
        <v>218</v>
      </c>
      <c r="B54" s="1464" t="s">
        <v>219</v>
      </c>
      <c r="C54" s="1464" t="s">
        <v>220</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17" customFormat="1" customHeight="1" ht="1.05">
      <c r="A55" s="1464" t="s">
        <v>218</v>
      </c>
      <c r="B55" s="1464" t="s">
        <v>219</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17" customFormat="1" customHeight="1" ht="1.05">
      <c r="A56" s="1464" t="s">
        <v>218</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1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78.7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75</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39.7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38</v>
      </c>
    </row>
    <row customHeight="1" ht="22.5" hidden="1">
      <c r="A65" s="1281" t="s">
        <v>82</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21D39-07BB-C236-A4F7-0.3B19C8BD}"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7109375" hidden="1"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8.421875" hidden="1" customWidth="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427</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430</v>
      </c>
      <c r="M7" s="658"/>
      <c r="N7" s="1487"/>
      <c r="P7" s="2378"/>
      <c r="Q7" s="2378">
        <v>1</v>
      </c>
      <c r="R7" s="478"/>
      <c r="S7" s="1457">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433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86"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1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14.2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60</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18.7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276">
        <v>14</v>
      </c>
    </row>
    <row customHeight="1" ht="35.699999999999996">
      <c r="Q40" s="497"/>
      <c r="R40" s="497"/>
      <c r="S40" s="2394"/>
      <c r="T40" s="2330"/>
      <c r="U40" s="1152"/>
      <c r="V40" s="2381" t="s">
        <v>454</v>
      </c>
      <c r="W40" s="2404"/>
      <c r="X40" s="2383" t="s">
        <v>456</v>
      </c>
      <c r="Y40" s="2384"/>
      <c r="Z40" s="2383" t="s">
        <v>457</v>
      </c>
      <c r="AA40" s="2390"/>
      <c r="AB40" s="2384"/>
      <c r="AC40" s="2399"/>
      <c r="AD40" s="2381" t="s">
        <v>472</v>
      </c>
      <c r="AE40" s="2404"/>
      <c r="AF40" s="2383" t="s">
        <v>456</v>
      </c>
      <c r="AG40" s="2384"/>
      <c r="AH40" s="2383" t="s">
        <v>457</v>
      </c>
      <c r="AI40" s="2390"/>
      <c r="AJ40" s="2384"/>
      <c r="AK40" s="2399"/>
      <c r="AL40" s="2402"/>
      <c r="AM40" s="2248"/>
      <c r="AS40" s="1276">
        <v>34</v>
      </c>
    </row>
    <row customHeight="1" ht="35.699999999999996">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Q41" s="497"/>
      <c r="R41" s="497"/>
      <c r="S41" s="2394"/>
      <c r="T41" s="2330"/>
      <c r="U41" s="423"/>
      <c r="V41" s="2382"/>
      <c r="W41" s="2405"/>
      <c r="X41" s="1343" t="s">
        <v>465</v>
      </c>
      <c r="Y41" s="1343" t="s">
        <v>466</v>
      </c>
      <c r="Z41" s="1459" t="s">
        <v>467</v>
      </c>
      <c r="AA41" s="2391" t="s">
        <v>468</v>
      </c>
      <c r="AB41" s="2392"/>
      <c r="AC41" s="2400"/>
      <c r="AD41" s="2382"/>
      <c r="AE41" s="2405"/>
      <c r="AF41" s="1343" t="s">
        <v>465</v>
      </c>
      <c r="AG41" s="1343" t="s">
        <v>466</v>
      </c>
      <c r="AH41" s="1459" t="s">
        <v>467</v>
      </c>
      <c r="AI41" s="2391" t="s">
        <v>468</v>
      </c>
      <c r="AJ41" s="2392"/>
      <c r="AK41" s="2400"/>
      <c r="AL41" s="2403"/>
      <c r="AM41" s="2248"/>
      <c r="AS41" s="1276">
        <v>34</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194</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1</v>
      </c>
      <c r="T43" s="419" t="s">
        <v>136</v>
      </c>
      <c r="U43" s="421"/>
      <c r="V43" s="2363"/>
      <c r="W43" s="2364"/>
      <c r="X43" s="2364"/>
      <c r="Y43" s="2364"/>
      <c r="Z43" s="2364"/>
      <c r="AA43" s="2364"/>
      <c r="AB43" s="2364"/>
      <c r="AC43" s="2365"/>
      <c r="AD43" s="2363" t="str">
        <f>INDEX(PT_DIFFERENTIATION_NTAR,MATCH(A43,PT_DIFFERENTIATION_NTAR_ID,0))</f>
        <v>Тариф на теплоноситель, поставляемый потребителям узла теплоснабжения ТЭЦ-21 ПАО "ТГК-1"</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194</v>
      </c>
      <c r="B44" s="1484" t="s">
        <v>195</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1.1</v>
      </c>
      <c r="T44" s="429" t="s">
        <v>421</v>
      </c>
      <c r="U44" s="421"/>
      <c r="V44" s="2363"/>
      <c r="W44" s="2364"/>
      <c r="X44" s="2364"/>
      <c r="Y44" s="2364"/>
      <c r="Z44" s="2364"/>
      <c r="AA44" s="2364"/>
      <c r="AB44" s="2364"/>
      <c r="AC44" s="2365"/>
      <c r="AD44" s="2363" t="str">
        <f>INDEX(PT_DIFFERENTIATION_TER,MATCH(B44,PT_DIFFERENTIATION_TER_ID,0))</f>
        <v>Территория 1</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21</v>
      </c>
    </row>
    <row customHeight="1" ht="24">
      <c r="A45" s="1484" t="s">
        <v>194</v>
      </c>
      <c r="B45" s="1484" t="s">
        <v>195</v>
      </c>
      <c r="C45" s="1484" t="s">
        <v>196</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1.1.1</v>
      </c>
      <c r="T45" s="430" t="s">
        <v>423</v>
      </c>
      <c r="U45" s="421"/>
      <c r="V45" s="2363"/>
      <c r="W45" s="2364"/>
      <c r="X45" s="2364"/>
      <c r="Y45" s="2364"/>
      <c r="Z45" s="2364"/>
      <c r="AA45" s="2364"/>
      <c r="AB45" s="2364"/>
      <c r="AC45" s="2365"/>
      <c r="AD45" s="2363" t="str">
        <f>INDEX(PT_DIFFERENTIATION_CS,MATCH(C45,PT_DIFFERENTIATION_CS_ID,0))</f>
        <v>без дифференциации</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2.049999999999997">
      <c r="A46" s="1484" t="s">
        <v>194</v>
      </c>
      <c r="B46" s="1484" t="s">
        <v>195</v>
      </c>
      <c r="C46" s="1484" t="s">
        <v>196</v>
      </c>
      <c r="D46" s="1484" t="s">
        <v>197</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1.1.1.1</v>
      </c>
      <c r="T46" s="431" t="s">
        <v>425</v>
      </c>
      <c r="U46" s="421"/>
      <c r="V46" s="2363"/>
      <c r="W46" s="2364"/>
      <c r="X46" s="2364"/>
      <c r="Y46" s="2364"/>
      <c r="Z46" s="2364"/>
      <c r="AA46" s="2364"/>
      <c r="AB46" s="2364"/>
      <c r="AC46" s="2365"/>
      <c r="AD46" s="2363" t="str">
        <f>INDEX(PT_DIFFERENTIATION_IST_TE,MATCH(D46,PT_DIFFERENTIATION_IST_TE_ID,0))</f>
        <v>без дифференциации</v>
      </c>
      <c r="AE46" s="2364"/>
      <c r="AF46" s="2364"/>
      <c r="AG46" s="2364"/>
      <c r="AH46" s="2364"/>
      <c r="AI46" s="2364"/>
      <c r="AJ46" s="2364"/>
      <c r="AK46" s="2364"/>
      <c r="AL46" s="2365"/>
      <c r="AM46" s="1379" t="s">
        <v>426</v>
      </c>
      <c r="AO46" s="621"/>
      <c r="AP46" s="621" t="str">
        <f>IF(T46="","",T46)</f>
        <v>Источник тепловой энергии  </v>
      </c>
      <c r="AQ46" s="621"/>
      <c r="AR46" s="621"/>
      <c r="AS46" s="1276">
        <v>21</v>
      </c>
    </row>
    <row s="7217" customFormat="1" customHeight="1" ht="0">
      <c r="A47" s="1464" t="s">
        <v>194</v>
      </c>
      <c r="B47" s="1464" t="s">
        <v>195</v>
      </c>
      <c r="C47" s="1464" t="s">
        <v>196</v>
      </c>
      <c r="D47" s="1464" t="s">
        <v>197</v>
      </c>
      <c r="E47" s="2380"/>
      <c r="F47" s="2380"/>
      <c r="G47" s="2380"/>
      <c r="H47" s="2380"/>
      <c r="I47" s="2377" t="str">
        <f>S46&amp;".1"</f>
        <v>1.1.1.1.1</v>
      </c>
      <c r="J47" s="1464"/>
      <c r="K47" s="1464"/>
      <c r="L47" s="1467" t="s">
        <v>427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194</v>
      </c>
      <c r="B48" s="1484" t="s">
        <v>195</v>
      </c>
      <c r="C48" s="1484" t="s">
        <v>196</v>
      </c>
      <c r="D48" s="1484" t="s">
        <v>197</v>
      </c>
      <c r="E48" s="2380"/>
      <c r="F48" s="2380"/>
      <c r="G48" s="2380"/>
      <c r="H48" s="2380"/>
      <c r="I48" s="2407"/>
      <c r="J48" s="2377" t="str">
        <f>S46&amp;".1"</f>
        <v>1.1.1.1.1</v>
      </c>
      <c r="K48" s="1484"/>
      <c r="L48" s="1485" t="s">
        <v>430</v>
      </c>
      <c r="P48" s="2378"/>
      <c r="Q48" s="2378">
        <v>1</v>
      </c>
      <c r="R48" s="478"/>
      <c r="S48" s="1457" t="str">
        <f>$J48</f>
        <v>1.1.1.1.1</v>
      </c>
      <c r="T48" s="407" t="s">
        <v>431</v>
      </c>
      <c r="U48" s="421"/>
      <c r="V48" s="2366"/>
      <c r="W48" s="2367"/>
      <c r="X48" s="2367"/>
      <c r="Y48" s="2367"/>
      <c r="Z48" s="2367"/>
      <c r="AA48" s="2367"/>
      <c r="AB48" s="2367"/>
      <c r="AC48" s="2368"/>
      <c r="AD48" s="2366" t="s">
        <v>469</v>
      </c>
      <c r="AE48" s="2367"/>
      <c r="AF48" s="2367"/>
      <c r="AG48" s="2367"/>
      <c r="AH48" s="2367"/>
      <c r="AI48" s="2367"/>
      <c r="AJ48" s="2367"/>
      <c r="AK48" s="2367"/>
      <c r="AL48" s="2368"/>
      <c r="AM48" s="1379" t="s">
        <v>432</v>
      </c>
      <c r="AO48" s="621"/>
      <c r="AP48" s="621" t="str">
        <f>IF(T48="","",T48)</f>
        <v>Группа потребителей</v>
      </c>
      <c r="AQ48" s="621"/>
      <c r="AR48" s="621"/>
      <c r="AS48" s="1276">
        <v>21</v>
      </c>
    </row>
    <row customHeight="1" ht="22.049999999999997">
      <c r="A49" s="1484" t="s">
        <v>194</v>
      </c>
      <c r="B49" s="1484" t="s">
        <v>195</v>
      </c>
      <c r="C49" s="1484" t="s">
        <v>196</v>
      </c>
      <c r="D49" s="1484" t="s">
        <v>197</v>
      </c>
      <c r="E49" s="2380"/>
      <c r="F49" s="2380"/>
      <c r="G49" s="2380"/>
      <c r="H49" s="2380"/>
      <c r="I49" s="2407"/>
      <c r="J49" s="2407"/>
      <c r="K49" s="2377" t="str">
        <f>J48&amp;".1"</f>
        <v>1.1.1.1.1.1</v>
      </c>
      <c r="L49" s="1485" t="s">
        <v>433</v>
      </c>
      <c r="P49" s="2378"/>
      <c r="Q49" s="2378"/>
      <c r="R49" s="478">
        <v>1</v>
      </c>
      <c r="S49" s="1457" t="str">
        <f>$K49</f>
        <v>1.1.1.1.1.1</v>
      </c>
      <c r="T49" s="1468" t="s">
        <v>470</v>
      </c>
      <c r="U49" s="421"/>
      <c r="V49" s="872"/>
      <c r="W49" s="446"/>
      <c r="X49" s="872"/>
      <c r="Y49" s="1378"/>
      <c r="Z49" s="2386"/>
      <c r="AA49" s="2228" t="s">
        <v>66</v>
      </c>
      <c r="AB49" s="2386"/>
      <c r="AC49" s="2228" t="s">
        <v>66</v>
      </c>
      <c r="AD49" s="872">
        <v>90.04</v>
      </c>
      <c r="AE49" s="446"/>
      <c r="AF49" s="872"/>
      <c r="AG49" s="1378"/>
      <c r="AH49" s="8411">
        <v>46023</v>
      </c>
      <c r="AI49" s="2228" t="s">
        <v>66</v>
      </c>
      <c r="AJ49" s="6785">
        <v>46387</v>
      </c>
      <c r="AK49" s="2228" t="s">
        <v>66</v>
      </c>
      <c r="AL49" s="1469"/>
      <c r="AM49" s="2374" t="s">
        <v>473</v>
      </c>
      <c r="AN49" s="632">
        <f>STRCHECKDATE(V50:AL50)</f>
      </c>
      <c r="AO49" s="621"/>
      <c r="AP49" s="621" t="str">
        <f>IF(T49="","",T49)</f>
        <v>вода</v>
      </c>
      <c r="AQ49" s="621"/>
      <c r="AR49" s="621"/>
      <c r="AS49" s="1276">
        <v>21</v>
      </c>
    </row>
    <row customHeight="1" ht="1.05">
      <c r="A50" s="1484" t="s">
        <v>194</v>
      </c>
      <c r="B50" s="1484" t="s">
        <v>195</v>
      </c>
      <c r="C50" s="1484" t="s">
        <v>196</v>
      </c>
      <c r="D50" s="1484" t="s">
        <v>197</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46023-46387</v>
      </c>
      <c r="AH50" s="2387"/>
      <c r="AI50" s="2228"/>
      <c r="AJ50" s="2409"/>
      <c r="AK50" s="2228"/>
      <c r="AL50" s="1470"/>
      <c r="AM50" s="2375"/>
      <c r="AO50" s="621"/>
      <c r="AP50" s="621" t="str">
        <f>IF(T50="","",T50)</f>
        <v/>
      </c>
      <c r="AQ50" s="621"/>
      <c r="AR50" s="621"/>
      <c r="AS50" s="1276">
        <v>1</v>
      </c>
    </row>
    <row customHeight="1" ht="11.549999999999999">
      <c r="A51" s="1484" t="s">
        <v>194</v>
      </c>
      <c r="B51" s="1484" t="s">
        <v>195</v>
      </c>
      <c r="C51" s="1484" t="s">
        <v>196</v>
      </c>
      <c r="D51" s="1484" t="s">
        <v>197</v>
      </c>
      <c r="E51" s="2380"/>
      <c r="F51" s="2380"/>
      <c r="G51" s="2380"/>
      <c r="H51" s="2380"/>
      <c r="I51" s="2407"/>
      <c r="J51" s="2377"/>
      <c r="K51" s="1484"/>
      <c r="L51" s="1485"/>
      <c r="P51" s="2378"/>
      <c r="Q51" s="2378"/>
      <c r="R51" s="477"/>
      <c r="S51" s="1399"/>
      <c r="T51" s="408"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194</v>
      </c>
      <c r="B52" s="1484" t="s">
        <v>195</v>
      </c>
      <c r="C52" s="1484" t="s">
        <v>196</v>
      </c>
      <c r="D52" s="1484" t="s">
        <v>197</v>
      </c>
      <c r="E52" s="2380"/>
      <c r="F52" s="2380"/>
      <c r="G52" s="2380"/>
      <c r="H52" s="2380"/>
      <c r="I52" s="2377"/>
      <c r="J52" s="1484"/>
      <c r="K52" s="1484"/>
      <c r="L52" s="1485"/>
      <c r="P52" s="2378"/>
      <c r="Q52" s="1452"/>
      <c r="R52" s="477"/>
      <c r="S52" s="1399"/>
      <c r="T52" s="486"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194</v>
      </c>
      <c r="B53" s="1484" t="s">
        <v>195</v>
      </c>
      <c r="C53" s="1484" t="s">
        <v>196</v>
      </c>
      <c r="D53" s="1484" t="s">
        <v>197</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17" customFormat="1" customHeight="1" ht="1.05">
      <c r="A54" s="1464" t="s">
        <v>194</v>
      </c>
      <c r="B54" s="1464" t="s">
        <v>195</v>
      </c>
      <c r="C54" s="1464" t="s">
        <v>196</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17" customFormat="1" customHeight="1" ht="1.05">
      <c r="A55" s="1464" t="s">
        <v>194</v>
      </c>
      <c r="B55" s="1464" t="s">
        <v>195</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17" customFormat="1" customHeight="1" ht="1.05">
      <c r="A56" s="1464" t="s">
        <v>194</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1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19</v>
      </c>
    </row>
    <row customHeight="1" ht="29.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28</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CA933-1D1A-812C-588C-0.0CA367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7109375" hidden="1"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A1" s="1992"/>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2129">
        <f>INDEX(PT_DIFFERENTIATION_NUM_CS,MATCH(C4,PT_DIFFERENTIATION_CS_ID,0))</f>
      </c>
      <c r="T4" s="2133" t="s">
        <v>423</v>
      </c>
      <c r="U4" s="2134"/>
      <c r="V4" s="2421"/>
      <c r="W4" s="2422"/>
      <c r="X4" s="2422"/>
      <c r="Y4" s="2422"/>
      <c r="Z4" s="2422"/>
      <c r="AA4" s="2422"/>
      <c r="AB4" s="2422"/>
      <c r="AC4" s="2423"/>
      <c r="AD4" s="2421">
        <f>INDEX(PT_DIFFERENTIATION_CS,MATCH(C4,PT_DIFFERENTIATION_CS_ID,0))</f>
      </c>
      <c r="AE4" s="2422"/>
      <c r="AF4" s="2422"/>
      <c r="AG4" s="2422"/>
      <c r="AH4" s="2422"/>
      <c r="AI4" s="2422"/>
      <c r="AJ4" s="2422"/>
      <c r="AK4" s="2422"/>
      <c r="AL4" s="2423"/>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1756"/>
      <c r="S5" s="2128">
        <f>INDEX(PT_DIFFERENTIATION_NUM_IST_TE,MATCH(D5,PT_DIFFERENTIATION_IST_TE_ID,0))</f>
      </c>
      <c r="T5" s="431" t="s">
        <v>425</v>
      </c>
      <c r="U5" s="421"/>
      <c r="V5" s="2424"/>
      <c r="W5" s="2424"/>
      <c r="X5" s="2424"/>
      <c r="Y5" s="2424"/>
      <c r="Z5" s="2424"/>
      <c r="AA5" s="2424"/>
      <c r="AB5" s="2424"/>
      <c r="AC5" s="2424"/>
      <c r="AD5" s="2424">
        <f>INDEX(PT_DIFFERENTIATION_IST_TE,MATCH(D5,PT_DIFFERENTIATION_IST_TE_ID,0))</f>
      </c>
      <c r="AE5" s="2424"/>
      <c r="AF5" s="2424"/>
      <c r="AG5" s="2424"/>
      <c r="AH5" s="2424"/>
      <c r="AI5" s="2424"/>
      <c r="AJ5" s="2424"/>
      <c r="AK5" s="2424"/>
      <c r="AL5" s="2424"/>
      <c r="AM5" s="2131" t="s">
        <v>426</v>
      </c>
      <c r="AO5" s="621"/>
      <c r="AP5" s="621" t="str">
        <f>IF(T5="","",T5)</f>
        <v>Источник тепловой энергии  </v>
      </c>
      <c r="AQ5" s="621"/>
      <c r="AR5" s="621"/>
      <c r="AS5" s="1276">
        <v>0</v>
      </c>
    </row>
    <row customHeight="1" ht="0.75" hidden="1">
      <c r="A6" s="1484"/>
      <c r="B6" s="1484"/>
      <c r="C6" s="1484"/>
      <c r="D6" s="1484"/>
      <c r="E6" s="2380"/>
      <c r="F6" s="2380"/>
      <c r="G6" s="2380"/>
      <c r="H6" s="2380"/>
      <c r="I6" s="2377">
        <f>S5&amp;".1"</f>
      </c>
      <c r="J6" s="1484"/>
      <c r="K6" s="1484"/>
      <c r="L6" s="1485" t="s">
        <v>427</v>
      </c>
      <c r="M6" s="658"/>
      <c r="P6" s="2378">
        <v>1</v>
      </c>
      <c r="Q6" s="1452"/>
      <c r="R6" s="2127"/>
      <c r="S6" s="1163"/>
      <c r="T6" s="1504"/>
      <c r="U6" s="1505"/>
      <c r="V6" s="2425"/>
      <c r="W6" s="2425"/>
      <c r="X6" s="2425"/>
      <c r="Y6" s="2425"/>
      <c r="Z6" s="2425"/>
      <c r="AA6" s="2425"/>
      <c r="AB6" s="2425"/>
      <c r="AC6" s="2425"/>
      <c r="AD6" s="2425"/>
      <c r="AE6" s="2425"/>
      <c r="AF6" s="2425"/>
      <c r="AG6" s="2425"/>
      <c r="AH6" s="2425"/>
      <c r="AI6" s="2425"/>
      <c r="AJ6" s="2425"/>
      <c r="AK6" s="2425"/>
      <c r="AL6" s="2425"/>
      <c r="AM6" s="2132"/>
      <c r="AO6" s="621"/>
      <c r="AP6" s="621" t="str">
        <f>IF(T6="","",T6)</f>
        <v/>
      </c>
      <c r="AQ6" s="621"/>
      <c r="AR6" s="621"/>
      <c r="AS6" s="1276">
        <v>0</v>
      </c>
    </row>
    <row customHeight="1" ht="84" hidden="1">
      <c r="A7" s="1484"/>
      <c r="B7" s="1484"/>
      <c r="C7" s="1484"/>
      <c r="D7" s="1484"/>
      <c r="E7" s="2380"/>
      <c r="F7" s="2380"/>
      <c r="G7" s="2380"/>
      <c r="H7" s="2380"/>
      <c r="I7" s="2407"/>
      <c r="J7" s="2377">
        <f>I6&amp;".1"</f>
      </c>
      <c r="K7" s="1484"/>
      <c r="L7" s="1485" t="s">
        <v>430</v>
      </c>
      <c r="M7" s="658"/>
      <c r="N7" s="1487"/>
      <c r="P7" s="2378"/>
      <c r="Q7" s="2378">
        <v>1</v>
      </c>
      <c r="R7" s="1763"/>
      <c r="S7" s="2128">
        <f>$J7</f>
      </c>
      <c r="T7" s="407" t="s">
        <v>431</v>
      </c>
      <c r="U7" s="421"/>
      <c r="V7" s="2426"/>
      <c r="W7" s="2426"/>
      <c r="X7" s="2426"/>
      <c r="Y7" s="2426"/>
      <c r="Z7" s="2426"/>
      <c r="AA7" s="2426"/>
      <c r="AB7" s="2426"/>
      <c r="AC7" s="2426"/>
      <c r="AD7" s="2426"/>
      <c r="AE7" s="2426"/>
      <c r="AF7" s="2426"/>
      <c r="AG7" s="2426"/>
      <c r="AH7" s="2426"/>
      <c r="AI7" s="2426"/>
      <c r="AJ7" s="2426"/>
      <c r="AK7" s="2426"/>
      <c r="AL7" s="2426"/>
      <c r="AM7" s="2131" t="s">
        <v>432</v>
      </c>
      <c r="AO7" s="621"/>
      <c r="AP7" s="621" t="str">
        <f>IF(T7="","",T7)</f>
        <v>Группа потребителей</v>
      </c>
      <c r="AQ7" s="621"/>
      <c r="AR7" s="621"/>
      <c r="AS7" s="1276">
        <v>0</v>
      </c>
    </row>
    <row customHeight="1" ht="11.25" hidden="1">
      <c r="A8" s="1484"/>
      <c r="B8" s="1484"/>
      <c r="C8" s="1484"/>
      <c r="D8" s="1484"/>
      <c r="E8" s="2380"/>
      <c r="F8" s="2380"/>
      <c r="G8" s="2380"/>
      <c r="H8" s="2380"/>
      <c r="I8" s="2407"/>
      <c r="J8" s="2407"/>
      <c r="K8" s="2377">
        <f>J7&amp;".1"</f>
      </c>
      <c r="L8" s="1485" t="s">
        <v>433</v>
      </c>
      <c r="M8" s="658"/>
      <c r="N8" s="1487"/>
      <c r="O8" s="1487"/>
      <c r="P8" s="2378"/>
      <c r="Q8" s="2378"/>
      <c r="R8" s="478">
        <v>1</v>
      </c>
      <c r="S8" s="2130">
        <f>$K8</f>
      </c>
      <c r="T8" s="2135"/>
      <c r="U8" s="2136"/>
      <c r="V8" s="2137"/>
      <c r="W8" s="1470"/>
      <c r="X8" s="2137"/>
      <c r="Y8" s="2138"/>
      <c r="Z8" s="2427"/>
      <c r="AA8" s="2233" t="s">
        <v>66</v>
      </c>
      <c r="AB8" s="2427"/>
      <c r="AC8" s="2233" t="s">
        <v>66</v>
      </c>
      <c r="AD8" s="2137"/>
      <c r="AE8" s="1470"/>
      <c r="AF8" s="2137"/>
      <c r="AG8" s="2138"/>
      <c r="AH8" s="2427"/>
      <c r="AI8" s="2233" t="s">
        <v>66</v>
      </c>
      <c r="AJ8" s="2427"/>
      <c r="AK8" s="2233" t="s">
        <v>66</v>
      </c>
      <c r="AL8" s="1470"/>
      <c r="AM8" s="2374" t="s">
        <v>434</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1.25" hidden="1">
      <c r="A10" s="1484"/>
      <c r="B10" s="1484"/>
      <c r="C10" s="1484"/>
      <c r="D10" s="1484"/>
      <c r="E10" s="2380"/>
      <c r="F10" s="2380"/>
      <c r="G10" s="2380"/>
      <c r="H10" s="2380"/>
      <c r="I10" s="2407"/>
      <c r="J10" s="2377"/>
      <c r="K10" s="1484"/>
      <c r="L10" s="1485"/>
      <c r="M10" s="658"/>
      <c r="N10" s="1487"/>
      <c r="P10" s="2378"/>
      <c r="Q10" s="2378"/>
      <c r="R10" s="477"/>
      <c r="S10" s="1399"/>
      <c r="T10" s="408"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17"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14.2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364"/>
      <c r="AS26" s="1276">
        <v>52</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18.7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276">
        <v>14</v>
      </c>
    </row>
    <row customHeight="1" ht="35.699999999999996">
      <c r="Q40" s="497"/>
      <c r="R40" s="497"/>
      <c r="S40" s="2394"/>
      <c r="T40" s="2330"/>
      <c r="U40" s="1152"/>
      <c r="V40" s="2381" t="s">
        <v>454</v>
      </c>
      <c r="W40" s="2404"/>
      <c r="X40" s="2383" t="s">
        <v>456</v>
      </c>
      <c r="Y40" s="2384"/>
      <c r="Z40" s="2383" t="s">
        <v>457</v>
      </c>
      <c r="AA40" s="2390"/>
      <c r="AB40" s="2384"/>
      <c r="AC40" s="2399"/>
      <c r="AD40" s="2381" t="s">
        <v>472</v>
      </c>
      <c r="AE40" s="2404"/>
      <c r="AF40" s="2383" t="s">
        <v>456</v>
      </c>
      <c r="AG40" s="2384"/>
      <c r="AH40" s="2383" t="s">
        <v>457</v>
      </c>
      <c r="AI40" s="2390"/>
      <c r="AJ40" s="2384"/>
      <c r="AK40" s="2399"/>
      <c r="AL40" s="2402"/>
      <c r="AM40" s="2248"/>
      <c r="AS40" s="1276">
        <v>34</v>
      </c>
    </row>
    <row customHeight="1" ht="35.699999999999996">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Q41" s="497"/>
      <c r="R41" s="497"/>
      <c r="S41" s="2394"/>
      <c r="T41" s="2330"/>
      <c r="U41" s="423"/>
      <c r="V41" s="2382"/>
      <c r="W41" s="2405"/>
      <c r="X41" s="1343" t="s">
        <v>465</v>
      </c>
      <c r="Y41" s="1343" t="s">
        <v>466</v>
      </c>
      <c r="Z41" s="1459" t="s">
        <v>467</v>
      </c>
      <c r="AA41" s="2391" t="s">
        <v>468</v>
      </c>
      <c r="AB41" s="2392"/>
      <c r="AC41" s="2400"/>
      <c r="AD41" s="2382"/>
      <c r="AE41" s="2405"/>
      <c r="AF41" s="1343" t="s">
        <v>465</v>
      </c>
      <c r="AG41" s="1343" t="s">
        <v>466</v>
      </c>
      <c r="AH41" s="1459" t="s">
        <v>467</v>
      </c>
      <c r="AI41" s="2391" t="s">
        <v>468</v>
      </c>
      <c r="AJ41" s="2392"/>
      <c r="AK41" s="2400"/>
      <c r="AL41" s="2403"/>
      <c r="AM41" s="2248"/>
      <c r="AS41" s="1276">
        <v>34</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206</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206</v>
      </c>
      <c r="B44" s="1484" t="s">
        <v>207</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21</v>
      </c>
    </row>
    <row customHeight="1" ht="24">
      <c r="A45" s="1484" t="s">
        <v>206</v>
      </c>
      <c r="B45" s="1484" t="s">
        <v>207</v>
      </c>
      <c r="C45" s="1484" t="s">
        <v>208</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2.049999999999997">
      <c r="A46" s="1484" t="s">
        <v>206</v>
      </c>
      <c r="B46" s="1484" t="s">
        <v>207</v>
      </c>
      <c r="C46" s="1484" t="s">
        <v>208</v>
      </c>
      <c r="D46" s="1484" t="s">
        <v>209</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621"/>
      <c r="AP46" s="621" t="str">
        <f>IF(T46="","",T46)</f>
        <v>Источник тепловой энергии  </v>
      </c>
      <c r="AQ46" s="621"/>
      <c r="AR46" s="621"/>
      <c r="AS46" s="1276">
        <v>21</v>
      </c>
    </row>
    <row s="7217" customFormat="1" customHeight="1" ht="0">
      <c r="A47" s="1464" t="s">
        <v>206</v>
      </c>
      <c r="B47" s="1464" t="s">
        <v>207</v>
      </c>
      <c r="C47" s="1464" t="s">
        <v>208</v>
      </c>
      <c r="D47" s="1464" t="s">
        <v>209</v>
      </c>
      <c r="E47" s="2380"/>
      <c r="F47" s="2380"/>
      <c r="G47" s="2380"/>
      <c r="H47" s="2380"/>
      <c r="I47" s="2377" t="str">
        <f>S46&amp;".1"</f>
        <v>....1</v>
      </c>
      <c r="J47" s="1464"/>
      <c r="K47" s="1464"/>
      <c r="L47" s="1467" t="s">
        <v>427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206</v>
      </c>
      <c r="B48" s="1484" t="s">
        <v>207</v>
      </c>
      <c r="C48" s="1484" t="s">
        <v>208</v>
      </c>
      <c r="D48" s="1484" t="s">
        <v>209</v>
      </c>
      <c r="E48" s="2380"/>
      <c r="F48" s="2380"/>
      <c r="G48" s="2380"/>
      <c r="H48" s="2380"/>
      <c r="I48" s="2407"/>
      <c r="J48" s="2377" t="str">
        <f>S46&amp;".1"</f>
        <v>....1</v>
      </c>
      <c r="K48" s="1484"/>
      <c r="L48" s="1485" t="s">
        <v>430</v>
      </c>
      <c r="P48" s="2378"/>
      <c r="Q48" s="2378">
        <v>1</v>
      </c>
      <c r="R48" s="478"/>
      <c r="S48" s="1457" t="str">
        <f>$J48</f>
        <v>....1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621"/>
      <c r="AP48" s="621" t="str">
        <f>IF(T48="","",T48)</f>
        <v>Группа потребителей</v>
      </c>
      <c r="AQ48" s="621"/>
      <c r="AR48" s="621"/>
      <c r="AS48" s="1276">
        <v>21</v>
      </c>
    </row>
    <row customHeight="1" ht="22.049999999999997">
      <c r="A49" s="1484" t="s">
        <v>206</v>
      </c>
      <c r="B49" s="1484" t="s">
        <v>207</v>
      </c>
      <c r="C49" s="1484" t="s">
        <v>208</v>
      </c>
      <c r="D49" s="1484" t="s">
        <v>209</v>
      </c>
      <c r="E49" s="2380"/>
      <c r="F49" s="2380"/>
      <c r="G49" s="2380"/>
      <c r="H49" s="2380"/>
      <c r="I49" s="2407"/>
      <c r="J49" s="2407"/>
      <c r="K49" s="2377" t="str">
        <f>J48&amp;".1"</f>
        <v>....1.1</v>
      </c>
      <c r="L49" s="1485" t="s">
        <v>433</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473</v>
      </c>
      <c r="AN49" s="632">
        <f>STRCHECKDATE(V50:AL50)</f>
      </c>
      <c r="AO49" s="621"/>
      <c r="AP49" s="621" t="str">
        <f>IF(T49="","",T49)</f>
        <v/>
      </c>
      <c r="AQ49" s="621"/>
      <c r="AR49" s="621"/>
      <c r="AS49" s="1276">
        <v>21</v>
      </c>
    </row>
    <row customHeight="1" ht="1.05">
      <c r="A50" s="1484" t="s">
        <v>206</v>
      </c>
      <c r="B50" s="1484" t="s">
        <v>207</v>
      </c>
      <c r="C50" s="1484" t="s">
        <v>208</v>
      </c>
      <c r="D50" s="1484" t="s">
        <v>209</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206</v>
      </c>
      <c r="B51" s="1484" t="s">
        <v>207</v>
      </c>
      <c r="C51" s="1484" t="s">
        <v>208</v>
      </c>
      <c r="D51" s="1484" t="s">
        <v>209</v>
      </c>
      <c r="E51" s="2380"/>
      <c r="F51" s="2380"/>
      <c r="G51" s="2380"/>
      <c r="H51" s="2380"/>
      <c r="I51" s="2407"/>
      <c r="J51" s="2377"/>
      <c r="K51" s="1484"/>
      <c r="L51" s="1485"/>
      <c r="P51" s="2378"/>
      <c r="Q51" s="2378"/>
      <c r="R51" s="477"/>
      <c r="S51" s="1399"/>
      <c r="T51" s="408"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206</v>
      </c>
      <c r="B52" s="1484" t="s">
        <v>207</v>
      </c>
      <c r="C52" s="1484" t="s">
        <v>208</v>
      </c>
      <c r="D52" s="1484" t="s">
        <v>209</v>
      </c>
      <c r="E52" s="2380"/>
      <c r="F52" s="2380"/>
      <c r="G52" s="2380"/>
      <c r="H52" s="2380"/>
      <c r="I52" s="2377"/>
      <c r="J52" s="1484"/>
      <c r="K52" s="1484"/>
      <c r="L52" s="1485"/>
      <c r="P52" s="2378"/>
      <c r="Q52" s="1452"/>
      <c r="R52" s="477"/>
      <c r="S52" s="1399"/>
      <c r="T52" s="486"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206</v>
      </c>
      <c r="B53" s="1484" t="s">
        <v>207</v>
      </c>
      <c r="C53" s="1484" t="s">
        <v>208</v>
      </c>
      <c r="D53" s="1484" t="s">
        <v>209</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17" customFormat="1" customHeight="1" ht="1.05">
      <c r="A54" s="1464" t="s">
        <v>206</v>
      </c>
      <c r="B54" s="1464" t="s">
        <v>207</v>
      </c>
      <c r="C54" s="1464" t="s">
        <v>208</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7217" customFormat="1" customHeight="1" ht="1.05">
      <c r="A55" s="1464" t="s">
        <v>206</v>
      </c>
      <c r="B55" s="1464" t="s">
        <v>207</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7217" customFormat="1" customHeight="1" ht="1.05">
      <c r="A56" s="1464" t="s">
        <v>206</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7217"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22</v>
      </c>
    </row>
    <row customHeight="1" ht="30.4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29</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F800E-D85E-A168-8242-0.A97AE2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8429" width="3.7109375" hidden="1" customWidth="1"/>
    <col min="17" max="18" style="7739" width="3.00390625" customWidth="1"/>
    <col min="19" max="19" style="8401" width="12.00390625" customWidth="1"/>
    <col min="20" max="20" style="7720" width="31.00390625" customWidth="1"/>
    <col min="21" max="21" style="7720" width="0.140625" customWidth="1"/>
    <col min="22" max="22" style="7720" width="24.7109375" hidden="1" customWidth="1"/>
    <col min="23" max="23" style="7720" width="0.140625" hidden="1" customWidth="1"/>
    <col min="24" max="25" style="7720" width="24.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24.7109375" customWidth="1"/>
    <col min="31" max="31" style="7720" width="0.140625" customWidth="1"/>
    <col min="32" max="33" style="7720" width="24.00390625" customWidth="1"/>
    <col min="34" max="34" style="7720" width="11.00390625" customWidth="1"/>
    <col min="35" max="35" style="7720" width="3.7109375" customWidth="1"/>
    <col min="36" max="36" style="7720" width="11.00390625" customWidth="1"/>
    <col min="37" max="37" style="7720" width="8.57421875" hidden="1" customWidth="1"/>
    <col min="38" max="38" style="7720" width="4.00390625" customWidth="1"/>
    <col min="39" max="39" style="7720" width="115.00390625" customWidth="1"/>
    <col min="40" max="44" style="7217" width="10.00390625" customWidth="1"/>
    <col min="45" max="45" style="7720"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136</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420</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421</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422</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423</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424</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425</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426</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427</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430</v>
      </c>
      <c r="M7" s="658"/>
      <c r="N7" s="1487"/>
      <c r="P7" s="2378"/>
      <c r="Q7" s="2378">
        <v>1</v>
      </c>
      <c r="R7" s="478"/>
      <c r="S7" s="1457">
        <f>$J7</f>
      </c>
      <c r="T7" s="407" t="s">
        <v>431</v>
      </c>
      <c r="U7" s="421"/>
      <c r="V7" s="2366"/>
      <c r="W7" s="2367"/>
      <c r="X7" s="2367"/>
      <c r="Y7" s="2367"/>
      <c r="Z7" s="2367"/>
      <c r="AA7" s="2367"/>
      <c r="AB7" s="2367"/>
      <c r="AC7" s="2368"/>
      <c r="AD7" s="2366"/>
      <c r="AE7" s="2367"/>
      <c r="AF7" s="2367"/>
      <c r="AG7" s="2367"/>
      <c r="AH7" s="2367"/>
      <c r="AI7" s="2367"/>
      <c r="AJ7" s="2367"/>
      <c r="AK7" s="2367"/>
      <c r="AL7" s="2368"/>
      <c r="AM7" s="1379" t="s">
        <v>432</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433</v>
      </c>
      <c r="M8" s="658"/>
      <c r="N8" s="1487"/>
      <c r="O8" s="1487"/>
      <c r="P8" s="2378"/>
      <c r="Q8" s="2378"/>
      <c r="R8" s="478">
        <v>1</v>
      </c>
      <c r="S8" s="1457">
        <f>$K8</f>
      </c>
      <c r="T8" s="1468"/>
      <c r="U8" s="421"/>
      <c r="V8" s="872"/>
      <c r="W8" s="446"/>
      <c r="X8" s="872"/>
      <c r="Y8" s="1378"/>
      <c r="Z8" s="2386"/>
      <c r="AA8" s="2228" t="s">
        <v>66</v>
      </c>
      <c r="AB8" s="2386"/>
      <c r="AC8" s="2228" t="s">
        <v>66</v>
      </c>
      <c r="AD8" s="872"/>
      <c r="AE8" s="446"/>
      <c r="AF8" s="872"/>
      <c r="AG8" s="1378"/>
      <c r="AH8" s="2386"/>
      <c r="AI8" s="2228" t="s">
        <v>66</v>
      </c>
      <c r="AJ8" s="2386"/>
      <c r="AK8" s="2228" t="s">
        <v>66</v>
      </c>
      <c r="AL8" s="446"/>
      <c r="AM8" s="2374" t="s">
        <v>434</v>
      </c>
      <c r="AN8" s="632">
        <f>STRCHECKDATE(V9:AL9)</f>
      </c>
      <c r="AO8" s="621"/>
      <c r="AP8" s="621" t="str">
        <f>IF(T8="","",T8)</f>
        <v/>
      </c>
      <c r="AQ8" s="621"/>
      <c r="AR8" s="621"/>
      <c r="AS8" s="1276">
        <v>0</v>
      </c>
    </row>
    <row customHeight="1" ht="14.2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435</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436</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7217" customFormat="1" customHeight="1" ht="14.25" hidden="1">
      <c r="A13" s="1435"/>
      <c r="B13" s="1435"/>
      <c r="C13" s="1435"/>
      <c r="D13" s="1435"/>
      <c r="E13" s="2380"/>
      <c r="F13" s="2380"/>
      <c r="G13" s="2379"/>
      <c r="H13" s="1435"/>
      <c r="I13" s="1435"/>
      <c r="J13" s="1435"/>
      <c r="K13" s="1435"/>
      <c r="L13" s="1460"/>
      <c r="M13" s="1436"/>
      <c r="N13" s="1436"/>
      <c r="P13" s="1437"/>
      <c r="Q13" s="1438"/>
      <c r="R13" s="1437"/>
      <c r="S13" s="1439"/>
      <c r="T13" s="1440" t="s">
        <v>175</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7217" customFormat="1" customHeight="1" ht="14.25" hidden="1">
      <c r="A14" s="1435"/>
      <c r="B14" s="1435"/>
      <c r="C14" s="1435"/>
      <c r="D14" s="1435"/>
      <c r="E14" s="2380"/>
      <c r="F14" s="2379"/>
      <c r="G14" s="1435"/>
      <c r="H14" s="1435"/>
      <c r="I14" s="1435"/>
      <c r="J14" s="1435"/>
      <c r="K14" s="1435"/>
      <c r="L14" s="1460"/>
      <c r="M14" s="1442"/>
      <c r="N14" s="1442"/>
      <c r="P14" s="1437"/>
      <c r="Q14" s="1438"/>
      <c r="R14" s="1437"/>
      <c r="S14" s="1443"/>
      <c r="T14" s="1444" t="s">
        <v>176</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7217" customFormat="1" customHeight="1" ht="14.25" hidden="1">
      <c r="A15" s="1435"/>
      <c r="B15" s="1435"/>
      <c r="C15" s="1435"/>
      <c r="D15" s="1435"/>
      <c r="E15" s="2379"/>
      <c r="F15" s="1435"/>
      <c r="G15" s="1435"/>
      <c r="H15" s="1435"/>
      <c r="I15" s="1435"/>
      <c r="J15" s="1435"/>
      <c r="K15" s="1435"/>
      <c r="L15" s="1460"/>
      <c r="M15" s="1442"/>
      <c r="N15" s="1442"/>
      <c r="P15" s="1437"/>
      <c r="Q15" s="1438"/>
      <c r="R15" s="1437"/>
      <c r="S15" s="1443"/>
      <c r="T15" s="1446" t="s">
        <v>177</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66</v>
      </c>
      <c r="AJ17" s="2388"/>
      <c r="AK17" s="2389" t="s">
        <v>66</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669" customFormat="1" customHeight="1" ht="22.5" hidden="1">
      <c r="L20" s="1450"/>
      <c r="M20" s="1483"/>
      <c r="N20" s="1483"/>
      <c r="O20" s="1488" t="s">
        <v>438</v>
      </c>
      <c r="P20" s="1483"/>
      <c r="Q20" s="1492"/>
      <c r="R20" s="1492"/>
      <c r="S20" s="850"/>
      <c r="Z20" s="1488"/>
      <c r="AB20" s="1488"/>
      <c r="AC20" s="1487"/>
      <c r="AH20" s="1488"/>
      <c r="AJ20" s="1488"/>
      <c r="AK20" s="1487"/>
      <c r="AN20" s="632"/>
      <c r="AO20" s="632"/>
      <c r="AP20" s="632"/>
      <c r="AQ20" s="632"/>
      <c r="AR20" s="632"/>
      <c r="AS20" s="1281">
        <v>0</v>
      </c>
    </row>
    <row s="7669" customFormat="1" customHeight="1" ht="14.25" hidden="1">
      <c r="L21" s="1450"/>
      <c r="M21" s="1483"/>
      <c r="N21" s="1483"/>
      <c r="O21" s="1483"/>
      <c r="P21" s="1483"/>
      <c r="Q21" s="1492"/>
      <c r="R21" s="1492"/>
      <c r="S21" s="850"/>
      <c r="AC21" s="1487"/>
      <c r="AK21" s="1487"/>
      <c r="AN21" s="632"/>
      <c r="AO21" s="632"/>
      <c r="AP21" s="632"/>
      <c r="AQ21" s="632"/>
      <c r="AR21" s="632"/>
      <c r="AS21" s="1281">
        <v>0</v>
      </c>
    </row>
    <row s="7669" customFormat="1" customHeight="1" ht="14.25" hidden="1">
      <c r="L22" s="1450"/>
      <c r="M22" s="1483"/>
      <c r="N22" s="1483"/>
      <c r="O22" s="1485" t="s">
        <v>439</v>
      </c>
      <c r="P22" s="1483"/>
      <c r="Q22" s="1492"/>
      <c r="R22" s="1492"/>
      <c r="S22" s="850"/>
      <c r="T22" s="1281" t="s">
        <v>440</v>
      </c>
      <c r="AA22" s="307" t="s">
        <v>441</v>
      </c>
      <c r="AC22" s="307" t="s">
        <v>442</v>
      </c>
      <c r="AD22" s="1281" t="s">
        <v>440</v>
      </c>
      <c r="AI22" s="307" t="s">
        <v>443</v>
      </c>
      <c r="AK22" s="307" t="s">
        <v>442</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51</v>
      </c>
    </row>
    <row customHeight="1" ht="14.699999999999998">
      <c r="Q27" s="497"/>
      <c r="R27" s="497"/>
      <c r="S27" s="2370" t="str">
        <f>IF(org=0,"Не определено",org)</f>
        <v>ПАО "ТГК-1" филиал "Невский"</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8300"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444</v>
      </c>
      <c r="T30" s="2371"/>
      <c r="U30" s="1493"/>
      <c r="V30" s="2385" t="str">
        <f>IF(TITLE_DATE_PR_CHANGE="",IF(TITLE_DATE_PR="","",TITLE_DATE_PR),TITLE_DATE_PR_CHANGE)</f>
        <v>45777</v>
      </c>
      <c r="W30" s="2385"/>
      <c r="X30" s="2385"/>
      <c r="Y30" s="2385"/>
      <c r="Z30" s="2385"/>
      <c r="AA30" s="2385"/>
      <c r="AB30" s="2385"/>
      <c r="AC30" s="447"/>
      <c r="AD30" s="2385" t="str">
        <f>IF(TITLE_DATE_PR_CHANGE="",IF(TITLE_DATE_PR="","",TITLE_DATE_PR),TITLE_DATE_PR_CHANGE)</f>
        <v>45777</v>
      </c>
      <c r="AE30" s="2385"/>
      <c r="AF30" s="2385"/>
      <c r="AG30" s="2385"/>
      <c r="AH30" s="2385"/>
      <c r="AI30" s="2385"/>
      <c r="AJ30" s="2385"/>
      <c r="AK30" s="447"/>
      <c r="AL30" s="447"/>
      <c r="AM30" s="401"/>
      <c r="AN30" s="489"/>
      <c r="AO30" s="489"/>
      <c r="AP30" s="489"/>
      <c r="AQ30" s="489"/>
      <c r="AR30" s="489"/>
      <c r="AS30" s="539">
        <v>0</v>
      </c>
    </row>
    <row s="8300" customFormat="1" customHeight="1" ht="18.75" hidden="1">
      <c r="A31" s="1489"/>
      <c r="B31" s="1489"/>
      <c r="C31" s="1489"/>
      <c r="D31" s="1489"/>
      <c r="E31" s="1489"/>
      <c r="F31" s="1489"/>
      <c r="G31" s="1489"/>
      <c r="H31" s="1489"/>
      <c r="I31" s="1489"/>
      <c r="J31" s="1489"/>
      <c r="K31" s="1489"/>
      <c r="L31" s="1490"/>
      <c r="M31" s="1489"/>
      <c r="N31" s="1489"/>
      <c r="O31" s="1489"/>
      <c r="S31" s="2371" t="s">
        <v>445</v>
      </c>
      <c r="T31" s="2371"/>
      <c r="U31" s="1493"/>
      <c r="V31" s="2372" t="str">
        <f>IF(TITLE_NUMBER_PR_CHANGE="",IF(TITLE_NUMBER_PR="","",TITLE_NUMBER_PR),TITLE_NUMBER_PR_CHANGE)</f>
        <v>33-01/80</v>
      </c>
      <c r="W31" s="2372"/>
      <c r="X31" s="2372"/>
      <c r="Y31" s="2372"/>
      <c r="Z31" s="2372"/>
      <c r="AA31" s="2372"/>
      <c r="AB31" s="2372"/>
      <c r="AC31" s="447"/>
      <c r="AD31" s="2372" t="str">
        <f>IF(TITLE_NUMBER_PR_CHANGE="",IF(TITLE_NUMBER_PR="","",TITLE_NUMBER_PR),TITLE_NUMBER_PR_CHANGE)</f>
        <v>33-01/80</v>
      </c>
      <c r="AE31" s="2372"/>
      <c r="AF31" s="2372"/>
      <c r="AG31" s="2372"/>
      <c r="AH31" s="2372"/>
      <c r="AI31" s="2372"/>
      <c r="AJ31" s="2372"/>
      <c r="AK31" s="447"/>
      <c r="AL31" s="447"/>
      <c r="AM31" s="401"/>
      <c r="AN31" s="489"/>
      <c r="AO31" s="489"/>
      <c r="AP31" s="489"/>
      <c r="AQ31" s="489"/>
      <c r="AR31" s="489"/>
      <c r="AS31" s="539">
        <v>0</v>
      </c>
    </row>
    <row s="8300"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8300" customFormat="1" customHeight="1" ht="18.75">
      <c r="A34" s="1489"/>
      <c r="B34" s="1489"/>
      <c r="C34" s="1489"/>
      <c r="D34" s="1489"/>
      <c r="E34" s="1489"/>
      <c r="F34" s="1489"/>
      <c r="G34" s="1489"/>
      <c r="H34" s="1489"/>
      <c r="I34" s="1489"/>
      <c r="J34" s="1489"/>
      <c r="K34" s="1489"/>
      <c r="L34" s="1490"/>
      <c r="M34" s="1489"/>
      <c r="N34" s="1489"/>
      <c r="O34" s="1489"/>
      <c r="S34" s="2371" t="s">
        <v>446</v>
      </c>
      <c r="T34" s="2371"/>
      <c r="U34" s="1493"/>
      <c r="V34" s="2385" t="str">
        <f>IF(TITLE_DATE_PR_CHANGE="",IF(TITLE_DATE_PR="","",TITLE_DATE_PR),TITLE_DATE_PR_CHANGE)</f>
        <v>45777</v>
      </c>
      <c r="W34" s="2385"/>
      <c r="X34" s="2385"/>
      <c r="Y34" s="2385"/>
      <c r="Z34" s="2385"/>
      <c r="AA34" s="2385"/>
      <c r="AB34" s="2385"/>
      <c r="AC34" s="447"/>
      <c r="AD34" s="2385" t="str">
        <f>IF(TITLE_DATE_PR_CHANGE="",IF(TITLE_DATE_PR="","",TITLE_DATE_PR),TITLE_DATE_PR_CHANGE)</f>
        <v>45777</v>
      </c>
      <c r="AE34" s="2385"/>
      <c r="AF34" s="2385"/>
      <c r="AG34" s="2385"/>
      <c r="AH34" s="2385"/>
      <c r="AI34" s="2385"/>
      <c r="AJ34" s="2385"/>
      <c r="AK34" s="447"/>
      <c r="AL34" s="447"/>
      <c r="AM34" s="401"/>
      <c r="AN34" s="489"/>
      <c r="AO34" s="489"/>
      <c r="AP34" s="489"/>
      <c r="AQ34" s="489"/>
      <c r="AR34" s="489"/>
      <c r="AS34" s="539">
        <v>0</v>
      </c>
    </row>
    <row s="8300" customFormat="1" customHeight="1" ht="25.5">
      <c r="A35" s="1489"/>
      <c r="B35" s="1489"/>
      <c r="C35" s="1489"/>
      <c r="D35" s="1489"/>
      <c r="E35" s="1489"/>
      <c r="F35" s="1489"/>
      <c r="G35" s="1489"/>
      <c r="H35" s="1489"/>
      <c r="I35" s="1489"/>
      <c r="J35" s="1489"/>
      <c r="K35" s="1489"/>
      <c r="L35" s="1490"/>
      <c r="M35" s="1489"/>
      <c r="N35" s="1489"/>
      <c r="O35" s="1489"/>
      <c r="S35" s="2371" t="s">
        <v>447</v>
      </c>
      <c r="T35" s="2371"/>
      <c r="U35" s="1493"/>
      <c r="V35" s="2372" t="str">
        <f>IF(TITLE_NUMBER_PR_CHANGE="",IF(TITLE_NUMBER_PR="","",TITLE_NUMBER_PR),TITLE_NUMBER_PR_CHANGE)</f>
        <v>33-01/80</v>
      </c>
      <c r="W35" s="2372"/>
      <c r="X35" s="2372"/>
      <c r="Y35" s="2372"/>
      <c r="Z35" s="2372"/>
      <c r="AA35" s="2372"/>
      <c r="AB35" s="2372"/>
      <c r="AC35" s="447"/>
      <c r="AD35" s="2372" t="str">
        <f>IF(TITLE_NUMBER_PR_CHANGE="",IF(TITLE_NUMBER_PR="","",TITLE_NUMBER_PR),TITLE_NUMBER_PR_CHANGE)</f>
        <v>33-01/80</v>
      </c>
      <c r="AE35" s="2372"/>
      <c r="AF35" s="2372"/>
      <c r="AG35" s="2372"/>
      <c r="AH35" s="2372"/>
      <c r="AI35" s="2372"/>
      <c r="AJ35" s="2372"/>
      <c r="AK35" s="447"/>
      <c r="AL35" s="447"/>
      <c r="AM35" s="401"/>
      <c r="AN35" s="489"/>
      <c r="AO35" s="489"/>
      <c r="AP35" s="489"/>
      <c r="AQ35" s="489"/>
      <c r="AR35" s="489"/>
      <c r="AS35" s="539">
        <v>0</v>
      </c>
    </row>
    <row s="8300"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448</v>
      </c>
      <c r="AD36" s="447"/>
      <c r="AE36" s="447"/>
      <c r="AF36" s="447"/>
      <c r="AG36" s="447"/>
      <c r="AH36" s="447"/>
      <c r="AI36" s="447"/>
      <c r="AJ36" s="447"/>
      <c r="AK36" s="399" t="s">
        <v>448</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324</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325</v>
      </c>
      <c r="AS38" s="1276">
        <v>14</v>
      </c>
    </row>
    <row customHeight="1" ht="14.699999999999998">
      <c r="Q39" s="497"/>
      <c r="R39" s="497"/>
      <c r="S39" s="2394" t="s">
        <v>88</v>
      </c>
      <c r="T39" s="2330" t="s">
        <v>449</v>
      </c>
      <c r="U39" s="422"/>
      <c r="V39" s="2395" t="s">
        <v>450</v>
      </c>
      <c r="W39" s="2396"/>
      <c r="X39" s="2396"/>
      <c r="Y39" s="2396"/>
      <c r="Z39" s="2396"/>
      <c r="AA39" s="2396"/>
      <c r="AB39" s="2397"/>
      <c r="AC39" s="2398" t="s">
        <v>451</v>
      </c>
      <c r="AD39" s="2395" t="s">
        <v>450</v>
      </c>
      <c r="AE39" s="2396"/>
      <c r="AF39" s="2396"/>
      <c r="AG39" s="2396"/>
      <c r="AH39" s="2396"/>
      <c r="AI39" s="2396"/>
      <c r="AJ39" s="2397"/>
      <c r="AK39" s="2398" t="s">
        <v>452</v>
      </c>
      <c r="AL39" s="2401" t="s">
        <v>453</v>
      </c>
      <c r="AM39" s="2248"/>
      <c r="AS39" s="1276">
        <v>14</v>
      </c>
    </row>
    <row customHeight="1" ht="35.699999999999996">
      <c r="Q40" s="497"/>
      <c r="R40" s="497"/>
      <c r="S40" s="2394"/>
      <c r="T40" s="2330"/>
      <c r="U40" s="1152"/>
      <c r="V40" s="2381" t="s">
        <v>454</v>
      </c>
      <c r="W40" s="2404"/>
      <c r="X40" s="2383" t="s">
        <v>456</v>
      </c>
      <c r="Y40" s="2384"/>
      <c r="Z40" s="2383" t="s">
        <v>457</v>
      </c>
      <c r="AA40" s="2390"/>
      <c r="AB40" s="2384"/>
      <c r="AC40" s="2399"/>
      <c r="AD40" s="2381" t="s">
        <v>472</v>
      </c>
      <c r="AE40" s="2404"/>
      <c r="AF40" s="2383" t="s">
        <v>456</v>
      </c>
      <c r="AG40" s="2384"/>
      <c r="AH40" s="2383" t="s">
        <v>457</v>
      </c>
      <c r="AI40" s="2390"/>
      <c r="AJ40" s="2384"/>
      <c r="AK40" s="2399"/>
      <c r="AL40" s="2402"/>
      <c r="AM40" s="2248"/>
      <c r="AS40" s="1276">
        <v>34</v>
      </c>
    </row>
    <row customHeight="1" ht="35.699999999999996">
      <c r="A41" s="1491"/>
      <c r="B41" s="1491" t="s">
        <v>148</v>
      </c>
      <c r="C41" s="1491" t="s">
        <v>149</v>
      </c>
      <c r="D41" s="1491" t="s">
        <v>150</v>
      </c>
      <c r="E41" s="1485" t="s">
        <v>458</v>
      </c>
      <c r="F41" s="1485" t="s">
        <v>459</v>
      </c>
      <c r="G41" s="1485" t="s">
        <v>460</v>
      </c>
      <c r="H41" s="1485" t="s">
        <v>461</v>
      </c>
      <c r="I41" s="1485" t="s">
        <v>462</v>
      </c>
      <c r="J41" s="1485" t="s">
        <v>463</v>
      </c>
      <c r="K41" s="1485" t="s">
        <v>464</v>
      </c>
      <c r="L41" s="1485" t="s">
        <v>439</v>
      </c>
      <c r="Q41" s="497"/>
      <c r="R41" s="497"/>
      <c r="S41" s="2394"/>
      <c r="T41" s="2330"/>
      <c r="U41" s="423"/>
      <c r="V41" s="2382"/>
      <c r="W41" s="2405"/>
      <c r="X41" s="1343" t="s">
        <v>465</v>
      </c>
      <c r="Y41" s="1343" t="s">
        <v>466</v>
      </c>
      <c r="Z41" s="1459" t="s">
        <v>467</v>
      </c>
      <c r="AA41" s="2391" t="s">
        <v>468</v>
      </c>
      <c r="AB41" s="2392"/>
      <c r="AC41" s="2400"/>
      <c r="AD41" s="2382"/>
      <c r="AE41" s="2405"/>
      <c r="AF41" s="1343" t="s">
        <v>465</v>
      </c>
      <c r="AG41" s="1343" t="s">
        <v>466</v>
      </c>
      <c r="AH41" s="1459" t="s">
        <v>467</v>
      </c>
      <c r="AI41" s="2391" t="s">
        <v>468</v>
      </c>
      <c r="AJ41" s="2392"/>
      <c r="AK41" s="2400"/>
      <c r="AL41" s="2403"/>
      <c r="AM41" s="2248"/>
      <c r="AS41" s="1276">
        <v>34</v>
      </c>
    </row>
    <row s="681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123</v>
      </c>
      <c r="T42" s="1376" t="s">
        <v>103</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212</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136</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212</v>
      </c>
      <c r="B44" s="1484" t="s">
        <v>213</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421</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422</v>
      </c>
      <c r="AO44" s="621"/>
      <c r="AP44" s="621" t="str">
        <f>IF(T44="","",T44)</f>
        <v>Территория действия тарифа</v>
      </c>
      <c r="AQ44" s="621"/>
      <c r="AR44" s="621"/>
      <c r="AS44" s="1276">
        <v>21</v>
      </c>
    </row>
    <row customHeight="1" ht="24">
      <c r="A45" s="1484" t="s">
        <v>212</v>
      </c>
      <c r="B45" s="1484" t="s">
        <v>213</v>
      </c>
      <c r="C45" s="1484" t="s">
        <v>214</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423</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424</v>
      </c>
      <c r="AO45" s="621"/>
      <c r="AP45" s="621" t="str">
        <f>IF(T45="","",T45)</f>
        <v>Наименование системы теплоснабжения </v>
      </c>
      <c r="AQ45" s="621"/>
      <c r="AR45" s="621"/>
      <c r="AS45" s="1276">
        <v>23</v>
      </c>
    </row>
    <row customHeight="1" ht="22.049999999999997">
      <c r="A46" s="1484" t="s">
        <v>212</v>
      </c>
      <c r="B46" s="1484" t="s">
        <v>213</v>
      </c>
      <c r="C46" s="1484" t="s">
        <v>214</v>
      </c>
      <c r="D46" s="1484" t="s">
        <v>215</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425</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426</v>
      </c>
      <c r="AO46" s="621"/>
      <c r="AP46" s="621" t="str">
        <f>IF(T46="","",T46)</f>
        <v>Источник тепловой энергии  </v>
      </c>
      <c r="AQ46" s="621"/>
      <c r="AR46" s="621"/>
      <c r="AS46" s="1276">
        <v>21</v>
      </c>
    </row>
    <row s="7217" customFormat="1" customHeight="1" ht="0">
      <c r="A47" s="1464" t="s">
        <v>212</v>
      </c>
      <c r="B47" s="1464" t="s">
        <v>213</v>
      </c>
      <c r="C47" s="1464" t="s">
        <v>214</v>
      </c>
      <c r="D47" s="1464" t="s">
        <v>215</v>
      </c>
      <c r="E47" s="2380"/>
      <c r="F47" s="2380"/>
      <c r="G47" s="2380"/>
      <c r="H47" s="2380"/>
      <c r="I47" s="2377" t="str">
        <f>S46&amp;".1"</f>
        <v>....1</v>
      </c>
      <c r="J47" s="1464"/>
      <c r="K47" s="1464"/>
      <c r="L47" s="1467" t="s">
        <v>427</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212</v>
      </c>
      <c r="B48" s="1484" t="s">
        <v>213</v>
      </c>
      <c r="C48" s="1484" t="s">
        <v>214</v>
      </c>
      <c r="D48" s="1484" t="s">
        <v>215</v>
      </c>
      <c r="E48" s="2380"/>
      <c r="F48" s="2380"/>
      <c r="G48" s="2380"/>
      <c r="H48" s="2380"/>
      <c r="I48" s="2407"/>
      <c r="J48" s="2377" t="str">
        <f>S46&amp;".1"</f>
        <v>....1</v>
      </c>
      <c r="K48" s="1484"/>
      <c r="L48" s="1485" t="s">
        <v>430</v>
      </c>
      <c r="P48" s="2378"/>
      <c r="Q48" s="2378">
        <v>1</v>
      </c>
      <c r="R48" s="478"/>
      <c r="S48" s="1457" t="str">
        <f>$J48</f>
        <v>....1</v>
      </c>
      <c r="T48" s="407" t="s">
        <v>431</v>
      </c>
      <c r="U48" s="421"/>
      <c r="V48" s="2366"/>
      <c r="W48" s="2367"/>
      <c r="X48" s="2367"/>
      <c r="Y48" s="2367"/>
      <c r="Z48" s="2367"/>
      <c r="AA48" s="2367"/>
      <c r="AB48" s="2367"/>
      <c r="AC48" s="2368"/>
      <c r="AD48" s="2366"/>
      <c r="AE48" s="2367"/>
      <c r="AF48" s="2367"/>
      <c r="AG48" s="2367"/>
      <c r="AH48" s="2367"/>
      <c r="AI48" s="2367"/>
      <c r="AJ48" s="2367"/>
      <c r="AK48" s="2367"/>
      <c r="AL48" s="2368"/>
      <c r="AM48" s="1379" t="s">
        <v>432</v>
      </c>
      <c r="AO48" s="621"/>
      <c r="AP48" s="621" t="str">
        <f>IF(T48="","",T48)</f>
        <v>Группа потребителей</v>
      </c>
      <c r="AQ48" s="621"/>
      <c r="AR48" s="621"/>
      <c r="AS48" s="1276">
        <v>21</v>
      </c>
    </row>
    <row customHeight="1" ht="22.049999999999997">
      <c r="A49" s="1484" t="s">
        <v>212</v>
      </c>
      <c r="B49" s="1484" t="s">
        <v>213</v>
      </c>
      <c r="C49" s="1484" t="s">
        <v>214</v>
      </c>
      <c r="D49" s="1484" t="s">
        <v>215</v>
      </c>
      <c r="E49" s="2380"/>
      <c r="F49" s="2380"/>
      <c r="G49" s="2380"/>
      <c r="H49" s="2380"/>
      <c r="I49" s="2407"/>
      <c r="J49" s="2407"/>
      <c r="K49" s="2377" t="str">
        <f>J48&amp;".1"</f>
        <v>....1.1</v>
      </c>
      <c r="L49" s="1485" t="s">
        <v>433</v>
      </c>
      <c r="P49" s="2378"/>
      <c r="Q49" s="2378"/>
      <c r="R49" s="478">
        <v>1</v>
      </c>
      <c r="S49" s="1457" t="str">
        <f>$K49</f>
        <v>....1.1</v>
      </c>
      <c r="T49" s="1468"/>
      <c r="U49" s="421"/>
      <c r="V49" s="872"/>
      <c r="W49" s="446"/>
      <c r="X49" s="872"/>
      <c r="Y49" s="1378"/>
      <c r="Z49" s="2386"/>
      <c r="AA49" s="2228" t="s">
        <v>66</v>
      </c>
      <c r="AB49" s="2386"/>
      <c r="AC49" s="2228" t="s">
        <v>66</v>
      </c>
      <c r="AD49" s="872"/>
      <c r="AE49" s="446"/>
      <c r="AF49" s="872"/>
      <c r="AG49" s="1378"/>
      <c r="AH49" s="2386"/>
      <c r="AI49" s="2228" t="s">
        <v>66</v>
      </c>
      <c r="AJ49" s="2408"/>
      <c r="AK49" s="2228" t="s">
        <v>66</v>
      </c>
      <c r="AL49" s="1469"/>
      <c r="AM49" s="2374" t="s">
        <v>473</v>
      </c>
      <c r="AN49" s="632">
        <f>STRCHECKDATE(V50:AL50)</f>
      </c>
      <c r="AO49" s="621"/>
      <c r="AP49" s="621" t="str">
        <f>IF(T49="","",T49)</f>
        <v/>
      </c>
      <c r="AQ49" s="621"/>
      <c r="AR49" s="621"/>
      <c r="AS49" s="1276">
        <v>21</v>
      </c>
    </row>
    <row customHeight="1" ht="0">
      <c r="A50" s="1484" t="s">
        <v>212</v>
      </c>
      <c r="B50" s="1484" t="s">
        <v>213</v>
      </c>
      <c r="C50" s="1484" t="s">
        <v>214</v>
      </c>
      <c r="D50" s="1484" t="s">
        <v>215</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0</v>
      </c>
    </row>
    <row customHeight="1" ht="11.549999999999999">
      <c r="A51" s="1484" t="s">
        <v>212</v>
      </c>
      <c r="B51" s="1484" t="s">
        <v>213</v>
      </c>
      <c r="C51" s="1484" t="s">
        <v>214</v>
      </c>
      <c r="D51" s="1484" t="s">
        <v>215</v>
      </c>
      <c r="E51" s="2380"/>
      <c r="F51" s="2380"/>
      <c r="G51" s="2380"/>
      <c r="H51" s="2380"/>
      <c r="I51" s="2407"/>
      <c r="J51" s="2377"/>
      <c r="K51" s="1484"/>
      <c r="L51" s="1485"/>
      <c r="P51" s="2378"/>
      <c r="Q51" s="2378"/>
      <c r="R51" s="477"/>
      <c r="S51" s="1399"/>
      <c r="T51" s="408" t="s">
        <v>435</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212</v>
      </c>
      <c r="B52" s="1484" t="s">
        <v>213</v>
      </c>
      <c r="C52" s="1484" t="s">
        <v>214</v>
      </c>
      <c r="D52" s="1484" t="s">
        <v>215</v>
      </c>
      <c r="E52" s="2380"/>
      <c r="F52" s="2380"/>
      <c r="G52" s="2380"/>
      <c r="H52" s="2380"/>
      <c r="I52" s="2377"/>
      <c r="J52" s="1484"/>
      <c r="K52" s="1484"/>
      <c r="L52" s="1485"/>
      <c r="P52" s="2378"/>
      <c r="Q52" s="1452"/>
      <c r="R52" s="477"/>
      <c r="S52" s="1399"/>
      <c r="T52" s="486" t="s">
        <v>436</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212</v>
      </c>
      <c r="B53" s="1484" t="s">
        <v>213</v>
      </c>
      <c r="C53" s="1484" t="s">
        <v>214</v>
      </c>
      <c r="D53" s="1484" t="s">
        <v>215</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7217" customFormat="1" customHeight="1" ht="0">
      <c r="A54" s="1464" t="s">
        <v>212</v>
      </c>
      <c r="B54" s="1464" t="s">
        <v>213</v>
      </c>
      <c r="C54" s="1464" t="s">
        <v>214</v>
      </c>
      <c r="D54" s="1435"/>
      <c r="E54" s="2380"/>
      <c r="F54" s="2380"/>
      <c r="G54" s="2379"/>
      <c r="H54" s="1435"/>
      <c r="I54" s="1435"/>
      <c r="J54" s="1435"/>
      <c r="K54" s="1435"/>
      <c r="L54" s="1460"/>
      <c r="M54" s="1436"/>
      <c r="N54" s="1436"/>
      <c r="P54" s="1437"/>
      <c r="Q54" s="1438"/>
      <c r="R54" s="1437"/>
      <c r="S54" s="1443"/>
      <c r="T54" s="1446" t="s">
        <v>175</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7217" customFormat="1" customHeight="1" ht="0">
      <c r="A55" s="1464" t="s">
        <v>212</v>
      </c>
      <c r="B55" s="1464" t="s">
        <v>213</v>
      </c>
      <c r="C55" s="1435"/>
      <c r="D55" s="1435"/>
      <c r="E55" s="2380"/>
      <c r="F55" s="2379"/>
      <c r="G55" s="1435"/>
      <c r="H55" s="1435"/>
      <c r="I55" s="1435"/>
      <c r="J55" s="1435"/>
      <c r="K55" s="1435"/>
      <c r="L55" s="1460"/>
      <c r="M55" s="1442"/>
      <c r="N55" s="1442"/>
      <c r="P55" s="1437"/>
      <c r="Q55" s="1438"/>
      <c r="R55" s="1437"/>
      <c r="S55" s="1443"/>
      <c r="T55" s="1446" t="s">
        <v>176</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7217" customFormat="1" customHeight="1" ht="0">
      <c r="A56" s="1464" t="s">
        <v>212</v>
      </c>
      <c r="B56" s="1464"/>
      <c r="C56" s="1464"/>
      <c r="D56" s="1464"/>
      <c r="E56" s="2379"/>
      <c r="F56" s="1464"/>
      <c r="G56" s="1464"/>
      <c r="H56" s="1464"/>
      <c r="I56" s="1464"/>
      <c r="J56" s="1464"/>
      <c r="K56" s="1464"/>
      <c r="L56" s="1467"/>
      <c r="M56" s="1442"/>
      <c r="N56" s="1442"/>
      <c r="O56" s="639"/>
      <c r="P56" s="501"/>
      <c r="Q56" s="1465"/>
      <c r="R56" s="501"/>
      <c r="S56" s="1443"/>
      <c r="T56" s="1446" t="s">
        <v>177</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7217"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183</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14</v>
      </c>
    </row>
    <row customHeight="1" ht="14.699999999999998">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14</v>
      </c>
    </row>
    <row customHeight="1" ht="14.699999999999998">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14</v>
      </c>
    </row>
    <row customHeight="1" ht="14.699999999999998">
      <c r="O62" s="658"/>
      <c r="AS62" s="1276">
        <v>14</v>
      </c>
    </row>
    <row customHeight="1" ht="14.699999999999998">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14</v>
      </c>
    </row>
    <row customHeight="1" ht="14.699999999999998">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14</v>
      </c>
    </row>
    <row customHeight="1" ht="14.699999999999998">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14</v>
      </c>
    </row>
    <row customHeight="1" ht="22.5" hidden="1">
      <c r="A66" s="1281" t="s">
        <v>82</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0E08-620B-6CD3-885A-0.85CE5C0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7720" width="10.57421875" hidden="1"/>
    <col min="2" max="2" style="7720" width="11.00390625" hidden="1" customWidth="1"/>
    <col min="3" max="3" style="7720" width="10.57421875" hidden="1"/>
    <col min="4" max="4" style="7720" width="11.8515625" hidden="1" customWidth="1"/>
    <col min="5" max="5" style="7720" width="10.00390625" hidden="1" customWidth="1"/>
    <col min="6" max="6" style="7720" width="8.7109375" hidden="1" customWidth="1"/>
    <col min="7" max="7" style="7720" width="7.57421875" hidden="1" customWidth="1"/>
    <col min="8" max="8" style="7720" width="11.421875" hidden="1" customWidth="1"/>
    <col min="9" max="9" style="7720" width="12.00390625" hidden="1" customWidth="1"/>
    <col min="10" max="10" style="7720" width="9.8515625" hidden="1" customWidth="1"/>
    <col min="11" max="12" style="7720" width="11.421875" hidden="1" customWidth="1"/>
    <col min="13" max="13" style="8408" width="19.140625" hidden="1" customWidth="1"/>
    <col min="14" max="15" style="8429" width="12.28125" hidden="1" customWidth="1"/>
    <col min="16" max="16" style="8429" width="23.421875" hidden="1" customWidth="1"/>
    <col min="17" max="17" style="8429" width="3.7109375" hidden="1" customWidth="1"/>
    <col min="18" max="20" style="7739" width="3.00390625" customWidth="1"/>
    <col min="21" max="21" style="8401" width="12.00390625" customWidth="1"/>
    <col min="22" max="22" style="7720" width="31.00390625" customWidth="1"/>
    <col min="23" max="23" style="7720" width="0.140625" customWidth="1"/>
    <col min="24" max="28" style="7720" width="21.7109375" hidden="1" customWidth="1"/>
    <col min="29" max="29" style="7720" width="11.7109375" hidden="1" customWidth="1"/>
    <col min="30" max="30" style="7720" width="3.7109375" hidden="1" customWidth="1"/>
    <col min="31" max="31" style="7720" width="11.7109375" hidden="1" customWidth="1"/>
    <col min="32" max="32" style="7720" width="8.57421875" hidden="1" customWidth="1"/>
    <col min="33" max="33" style="7720" width="21.7109375" customWidth="1"/>
    <col min="34" max="37" style="7720" width="21.00390625" customWidth="1"/>
    <col min="38" max="38" style="7720" width="11.00390625" customWidth="1"/>
    <col min="39" max="39" style="7720" width="3.7109375" customWidth="1"/>
    <col min="40" max="40" style="7720" width="11.00390625" customWidth="1"/>
    <col min="41" max="41" style="7720" width="8.57421875" hidden="1" customWidth="1"/>
    <col min="42" max="42" style="7720" width="4.00390625" customWidth="1"/>
    <col min="43" max="43" style="7720" width="115.00390625" customWidth="1"/>
    <col min="44" max="48" style="7217" width="10.00390625" customWidth="1"/>
    <col min="49" max="49" style="7720"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136</v>
      </c>
      <c r="W2" s="421"/>
      <c r="X2" s="2363"/>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5"/>
      <c r="AQ2" s="1379" t="s">
        <v>420</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421</v>
      </c>
      <c r="W3" s="421"/>
      <c r="X3" s="2363"/>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5"/>
      <c r="AQ3" s="1379" t="s">
        <v>422</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423</v>
      </c>
      <c r="W4" s="421"/>
      <c r="X4" s="2363"/>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5"/>
      <c r="AQ4" s="1379" t="s">
        <v>424</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425</v>
      </c>
      <c r="W5" s="421"/>
      <c r="X5" s="2363"/>
      <c r="Y5" s="2364"/>
      <c r="Z5" s="2364"/>
      <c r="AA5" s="2364"/>
      <c r="AB5" s="2364"/>
      <c r="AC5" s="2364"/>
      <c r="AD5" s="2364"/>
      <c r="AE5" s="2364"/>
      <c r="AF5" s="2365"/>
      <c r="AG5" s="2363">
        <f>INDEX(PT_DIFFERENTIATION_IST_TE,MATCH(D5,PT_DIFFERENTIATION_IST_TE_ID,0))</f>
      </c>
      <c r="AH5" s="2364"/>
      <c r="AI5" s="2364"/>
      <c r="AJ5" s="2364"/>
      <c r="AK5" s="2364"/>
      <c r="AL5" s="2364"/>
      <c r="AM5" s="2364"/>
      <c r="AN5" s="2364"/>
      <c r="AO5" s="2364"/>
      <c r="AP5" s="2365"/>
      <c r="AQ5" s="1379" t="s">
        <v>426</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48">
        <f>U5&amp;".1"</f>
      </c>
      <c r="J6" s="1388"/>
      <c r="K6" s="1388"/>
      <c r="L6" s="1388"/>
      <c r="M6" s="1431" t="s">
        <v>427</v>
      </c>
      <c r="N6" s="630"/>
      <c r="Q6" s="2378">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48">
        <f>I6&amp;".1"</f>
      </c>
      <c r="K7" s="1388"/>
      <c r="L7" s="1388"/>
      <c r="M7" s="1431" t="s">
        <v>430</v>
      </c>
      <c r="N7" s="630"/>
      <c r="O7" s="448"/>
      <c r="Q7" s="2378"/>
      <c r="R7" s="2378">
        <v>1</v>
      </c>
      <c r="S7" s="639"/>
      <c r="T7" s="478"/>
      <c r="U7" s="1457">
        <f>$J7</f>
      </c>
      <c r="V7" s="407" t="s">
        <v>431</v>
      </c>
      <c r="W7" s="421"/>
      <c r="X7" s="2366"/>
      <c r="Y7" s="2367"/>
      <c r="Z7" s="2367"/>
      <c r="AA7" s="2367"/>
      <c r="AB7" s="2367"/>
      <c r="AC7" s="2356"/>
      <c r="AD7" s="2356"/>
      <c r="AE7" s="2356"/>
      <c r="AF7" s="2429"/>
      <c r="AG7" s="2366"/>
      <c r="AH7" s="2367"/>
      <c r="AI7" s="2367"/>
      <c r="AJ7" s="2367"/>
      <c r="AK7" s="2367"/>
      <c r="AL7" s="2367"/>
      <c r="AM7" s="2367"/>
      <c r="AN7" s="2367"/>
      <c r="AO7" s="2367"/>
      <c r="AP7" s="2368"/>
      <c r="AQ7" s="1379" t="s">
        <v>432</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48">
        <f>J7&amp;".1"</f>
      </c>
      <c r="L8" s="260"/>
      <c r="M8" s="1431" t="s">
        <v>433</v>
      </c>
      <c r="N8" s="630"/>
      <c r="O8" s="448"/>
      <c r="P8" s="448"/>
      <c r="Q8" s="2378"/>
      <c r="R8" s="2378"/>
      <c r="S8" s="2378">
        <v>1</v>
      </c>
      <c r="T8" s="478"/>
      <c r="U8" s="1457">
        <f>$K8</f>
      </c>
      <c r="V8" s="1468"/>
      <c r="W8" s="421"/>
      <c r="X8" s="872"/>
      <c r="Y8" s="872"/>
      <c r="Z8" s="872"/>
      <c r="AA8" s="872"/>
      <c r="AB8" s="1526"/>
      <c r="AC8" s="2386"/>
      <c r="AD8" s="2228" t="s">
        <v>66</v>
      </c>
      <c r="AE8" s="2386"/>
      <c r="AF8" s="2228" t="s">
        <v>66</v>
      </c>
      <c r="AG8" s="1528"/>
      <c r="AH8" s="872"/>
      <c r="AI8" s="872"/>
      <c r="AJ8" s="872"/>
      <c r="AK8" s="1378"/>
      <c r="AL8" s="2386"/>
      <c r="AM8" s="2228" t="s">
        <v>66</v>
      </c>
      <c r="AN8" s="2386"/>
      <c r="AO8" s="2228" t="s">
        <v>66</v>
      </c>
      <c r="AP8" s="446"/>
      <c r="AQ8" s="1428" t="s">
        <v>474</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48">
        <f>K8&amp;".1"</f>
      </c>
      <c r="M9" s="1431"/>
      <c r="N9" s="630"/>
      <c r="O9" s="448"/>
      <c r="P9" s="448"/>
      <c r="Q9" s="2378"/>
      <c r="R9" s="2378"/>
      <c r="S9" s="2378"/>
      <c r="T9" s="478"/>
      <c r="U9" s="1457">
        <f>$L9</f>
      </c>
      <c r="V9" s="1512"/>
      <c r="W9" s="421"/>
      <c r="X9" s="446"/>
      <c r="Y9" s="872"/>
      <c r="Z9" s="872"/>
      <c r="AA9" s="872"/>
      <c r="AB9" s="1526"/>
      <c r="AC9" s="2430"/>
      <c r="AD9" s="2228"/>
      <c r="AE9" s="2430"/>
      <c r="AF9" s="2228"/>
      <c r="AG9" s="1528"/>
      <c r="AH9" s="872"/>
      <c r="AI9" s="872"/>
      <c r="AJ9" s="872"/>
      <c r="AK9" s="1378"/>
      <c r="AL9" s="2430"/>
      <c r="AM9" s="2228"/>
      <c r="AN9" s="2430"/>
      <c r="AO9" s="2228"/>
      <c r="AP9" s="446"/>
      <c r="AQ9" s="2374" t="s">
        <v>475</v>
      </c>
      <c r="AS9" s="621"/>
      <c r="AT9" s="621"/>
      <c r="AU9" s="621"/>
      <c r="AV9" s="621"/>
      <c r="AW9" s="1276">
        <v>0</v>
      </c>
    </row>
    <row customHeight="1" ht="14.25" hidden="1">
      <c r="A10" s="1388"/>
      <c r="B10" s="1388"/>
      <c r="C10" s="1388"/>
      <c r="D10" s="1388"/>
      <c r="E10" s="2411"/>
      <c r="F10" s="2411"/>
      <c r="G10" s="2411"/>
      <c r="H10" s="2411"/>
      <c r="I10" s="2222"/>
      <c r="J10" s="2222"/>
      <c r="K10" s="2222"/>
      <c r="L10" s="2248"/>
      <c r="M10" s="1431"/>
      <c r="N10" s="630"/>
      <c r="O10" s="448"/>
      <c r="P10" s="448"/>
      <c r="Q10" s="2378"/>
      <c r="R10" s="2378"/>
      <c r="S10" s="2378"/>
      <c r="T10" s="478"/>
      <c r="U10" s="1463"/>
      <c r="V10" s="421"/>
      <c r="W10" s="421"/>
      <c r="X10" s="446"/>
      <c r="Y10" s="446"/>
      <c r="Z10" s="446"/>
      <c r="AA10" s="446"/>
      <c r="AB10" s="1527" t="str">
        <f>AC8&amp;"-"&amp;AE8</f>
        <v>-</v>
      </c>
      <c r="AC10" s="2430"/>
      <c r="AD10" s="2228"/>
      <c r="AE10" s="2430"/>
      <c r="AF10" s="2228"/>
      <c r="AG10" s="1503"/>
      <c r="AH10" s="446"/>
      <c r="AI10" s="446"/>
      <c r="AJ10" s="446"/>
      <c r="AK10" s="449" t="str">
        <f>AL8&amp;"-"&amp;AN8</f>
        <v>-</v>
      </c>
      <c r="AL10" s="2430"/>
      <c r="AM10" s="2228"/>
      <c r="AN10" s="2430"/>
      <c r="AO10" s="2228"/>
      <c r="AP10" s="446"/>
      <c r="AQ10" s="2375"/>
      <c r="AS10" s="621"/>
      <c r="AT10" s="621" t="str">
        <f>IF(V10="","",V10)</f>
        <v/>
      </c>
      <c r="AU10" s="621"/>
      <c r="AV10" s="621"/>
      <c r="AW10" s="1276">
        <v>0</v>
      </c>
    </row>
    <row customHeight="1" ht="11.25" hidden="1">
      <c r="A11" s="1388"/>
      <c r="B11" s="1388"/>
      <c r="C11" s="1388"/>
      <c r="D11" s="1388"/>
      <c r="E11" s="2411"/>
      <c r="F11" s="2411"/>
      <c r="G11" s="2411"/>
      <c r="H11" s="2411"/>
      <c r="I11" s="2222"/>
      <c r="J11" s="2222"/>
      <c r="K11" s="2248"/>
      <c r="L11" s="1388"/>
      <c r="M11" s="1431"/>
      <c r="N11" s="630"/>
      <c r="O11" s="448"/>
      <c r="P11" s="448"/>
      <c r="Q11" s="2378"/>
      <c r="R11" s="2378"/>
      <c r="S11" s="2378"/>
      <c r="T11" s="478"/>
      <c r="U11" s="1399"/>
      <c r="V11" s="409" t="s">
        <v>476</v>
      </c>
      <c r="W11" s="1513"/>
      <c r="X11" s="1514"/>
      <c r="Y11" s="1514"/>
      <c r="Z11" s="1514"/>
      <c r="AA11" s="1514"/>
      <c r="AB11" s="1515"/>
      <c r="AC11" s="2430"/>
      <c r="AD11" s="2228"/>
      <c r="AE11" s="2430"/>
      <c r="AF11" s="2228"/>
      <c r="AG11" s="1514"/>
      <c r="AH11" s="1514"/>
      <c r="AI11" s="1514"/>
      <c r="AJ11" s="1514"/>
      <c r="AK11" s="1515"/>
      <c r="AL11" s="2430"/>
      <c r="AM11" s="2228"/>
      <c r="AN11" s="2430"/>
      <c r="AO11" s="2228"/>
      <c r="AP11" s="1516"/>
      <c r="AQ11" s="2375"/>
      <c r="AS11" s="621"/>
      <c r="AT11" s="621"/>
      <c r="AU11" s="621"/>
      <c r="AV11" s="621"/>
      <c r="AW11" s="1276">
        <v>0</v>
      </c>
    </row>
    <row customHeight="1" ht="15" hidden="1">
      <c r="A12" s="1388"/>
      <c r="B12" s="1388"/>
      <c r="C12" s="1388"/>
      <c r="D12" s="1388"/>
      <c r="E12" s="2411"/>
      <c r="F12" s="2411"/>
      <c r="G12" s="2411"/>
      <c r="H12" s="2411"/>
      <c r="I12" s="2222"/>
      <c r="J12" s="2248"/>
      <c r="K12" s="1388"/>
      <c r="L12" s="1388"/>
      <c r="M12" s="1431"/>
      <c r="N12" s="630"/>
      <c r="O12" s="448"/>
      <c r="Q12" s="2378"/>
      <c r="R12" s="2378"/>
      <c r="S12" s="1452"/>
      <c r="T12" s="477"/>
      <c r="U12" s="1399"/>
      <c r="V12" s="408" t="s">
        <v>435</v>
      </c>
      <c r="W12" s="488"/>
      <c r="X12" s="488"/>
      <c r="Y12" s="488"/>
      <c r="Z12" s="488"/>
      <c r="AA12" s="488"/>
      <c r="AB12" s="488"/>
      <c r="AC12" s="1529"/>
      <c r="AD12" s="1529"/>
      <c r="AE12" s="1529"/>
      <c r="AF12" s="1529"/>
      <c r="AG12" s="488"/>
      <c r="AH12" s="488"/>
      <c r="AI12" s="488"/>
      <c r="AJ12" s="488"/>
      <c r="AK12" s="488"/>
      <c r="AL12" s="488"/>
      <c r="AM12" s="488"/>
      <c r="AN12" s="488"/>
      <c r="AO12" s="488"/>
      <c r="AP12" s="445"/>
      <c r="AQ12" s="2376"/>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48"/>
      <c r="J13" s="1388"/>
      <c r="K13" s="1388"/>
      <c r="L13" s="1388"/>
      <c r="M13" s="1431"/>
      <c r="N13" s="630"/>
      <c r="Q13" s="2378"/>
      <c r="R13" s="1452"/>
      <c r="S13" s="1452"/>
      <c r="T13" s="477"/>
      <c r="U13" s="1399"/>
      <c r="V13" s="486" t="s">
        <v>436</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7217"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175</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7217"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176</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7217"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177</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88"/>
      <c r="AM19" s="2389" t="s">
        <v>66</v>
      </c>
      <c r="AN19" s="2388"/>
      <c r="AO19" s="2389" t="s">
        <v>66</v>
      </c>
      <c r="AW19" s="1276">
        <v>0</v>
      </c>
    </row>
    <row customHeight="1" ht="14.25" hidden="1">
      <c r="AG20" s="1481"/>
      <c r="AH20" s="1481"/>
      <c r="AI20" s="1481"/>
      <c r="AJ20" s="1481"/>
      <c r="AK20" s="1482"/>
      <c r="AL20" s="2388"/>
      <c r="AM20" s="2389"/>
      <c r="AN20" s="2388"/>
      <c r="AO20" s="2389"/>
      <c r="AW20" s="1276">
        <v>0</v>
      </c>
    </row>
    <row customHeight="1" ht="14.25" hidden="1">
      <c r="AG21" s="1481"/>
      <c r="AH21" s="1481"/>
      <c r="AI21" s="1481"/>
      <c r="AJ21" s="1481"/>
      <c r="AK21" s="1482"/>
      <c r="AL21" s="2388"/>
      <c r="AM21" s="2389"/>
      <c r="AN21" s="2388"/>
      <c r="AO21" s="2389"/>
      <c r="AW21" s="1276">
        <v>0</v>
      </c>
    </row>
    <row customHeight="1" ht="14.25" hidden="1">
      <c r="AG22" s="1481"/>
      <c r="AH22" s="1481"/>
      <c r="AI22" s="1481"/>
      <c r="AJ22" s="1481"/>
      <c r="AK22" s="449" t="str">
        <f>AL19&amp;"-"&amp;AN19</f>
        <v>-</v>
      </c>
      <c r="AL22" s="2389"/>
      <c r="AM22" s="2389"/>
      <c r="AN22" s="2389"/>
      <c r="AO22" s="2389"/>
      <c r="AW22" s="1276">
        <v>0</v>
      </c>
    </row>
    <row customHeight="1" ht="14.25" hidden="1">
      <c r="AO23" s="448"/>
      <c r="AW23" s="1276">
        <v>0</v>
      </c>
    </row>
    <row s="7669" customFormat="1" customHeight="1" ht="22.5" hidden="1">
      <c r="A24" s="1276"/>
      <c r="B24" s="1276"/>
      <c r="C24" s="1276"/>
      <c r="D24" s="1276"/>
      <c r="E24" s="1276"/>
      <c r="F24" s="1276"/>
      <c r="G24" s="1276"/>
      <c r="H24" s="1276"/>
      <c r="I24" s="1276"/>
      <c r="J24" s="1276"/>
      <c r="K24" s="1276"/>
      <c r="L24" s="1276"/>
      <c r="M24" s="1448"/>
      <c r="N24" s="1449"/>
      <c r="O24" s="1449"/>
      <c r="P24" s="1466" t="s">
        <v>438</v>
      </c>
      <c r="Q24" s="1483"/>
      <c r="R24" s="1492"/>
      <c r="S24" s="1492"/>
      <c r="T24" s="1492"/>
      <c r="U24" s="850"/>
      <c r="AC24" s="1488"/>
      <c r="AE24" s="1488"/>
      <c r="AF24" s="1487"/>
      <c r="AL24" s="1488"/>
      <c r="AN24" s="1488"/>
      <c r="AO24" s="1487"/>
      <c r="AR24" s="632"/>
      <c r="AS24" s="632"/>
      <c r="AT24" s="632"/>
      <c r="AU24" s="632"/>
      <c r="AV24" s="632"/>
      <c r="AW24" s="1281">
        <v>0</v>
      </c>
    </row>
    <row s="7669"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669" customFormat="1" customHeight="1" ht="14.25" hidden="1">
      <c r="A26" s="1276"/>
      <c r="B26" s="1276"/>
      <c r="C26" s="1276"/>
      <c r="D26" s="1276"/>
      <c r="E26" s="1276"/>
      <c r="F26" s="1276"/>
      <c r="G26" s="1276"/>
      <c r="H26" s="1276"/>
      <c r="I26" s="1276"/>
      <c r="J26" s="1276"/>
      <c r="K26" s="1276"/>
      <c r="L26" s="1276"/>
      <c r="M26" s="1448"/>
      <c r="N26" s="1449"/>
      <c r="O26" s="1449"/>
      <c r="P26" s="1431" t="s">
        <v>439</v>
      </c>
      <c r="Q26" s="1483"/>
      <c r="R26" s="1492"/>
      <c r="S26" s="1492"/>
      <c r="T26" s="1492"/>
      <c r="U26" s="850"/>
      <c r="V26" s="1281" t="s">
        <v>440</v>
      </c>
      <c r="AD26" s="307" t="s">
        <v>441</v>
      </c>
      <c r="AF26" s="307" t="s">
        <v>442</v>
      </c>
      <c r="AG26" s="1281" t="s">
        <v>440</v>
      </c>
      <c r="AM26" s="307" t="s">
        <v>443</v>
      </c>
      <c r="AO26" s="307" t="s">
        <v>442</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9"/>
      <c r="W30" s="2369"/>
      <c r="X30" s="2369"/>
      <c r="Y30" s="2369"/>
      <c r="Z30" s="2369"/>
      <c r="AA30" s="2369"/>
      <c r="AB30" s="2369"/>
      <c r="AC30" s="2369"/>
      <c r="AD30" s="2369"/>
      <c r="AE30" s="2369"/>
      <c r="AF30" s="2369"/>
      <c r="AG30" s="2369"/>
      <c r="AH30" s="2369"/>
      <c r="AI30" s="2369"/>
      <c r="AJ30" s="2369"/>
      <c r="AK30" s="2369"/>
      <c r="AL30" s="2369"/>
      <c r="AM30" s="2369"/>
      <c r="AN30" s="2369"/>
      <c r="AO30" s="1364"/>
      <c r="AW30" s="1276">
        <v>54</v>
      </c>
    </row>
    <row customHeight="1" ht="14.699999999999998">
      <c r="R31" s="497"/>
      <c r="S31" s="497"/>
      <c r="T31" s="497"/>
      <c r="U31" s="2370" t="str">
        <f>IF(org=0,"Не определено",org)</f>
        <v>ПАО "ТГК-1" филиал "Невский"</v>
      </c>
      <c r="V31" s="2370"/>
      <c r="W31" s="2370"/>
      <c r="X31" s="2370"/>
      <c r="Y31" s="2370"/>
      <c r="Z31" s="2370"/>
      <c r="AA31" s="2370"/>
      <c r="AB31" s="2370"/>
      <c r="AC31" s="2370"/>
      <c r="AD31" s="2370"/>
      <c r="AE31" s="2370"/>
      <c r="AF31" s="2370"/>
      <c r="AG31" s="2370"/>
      <c r="AH31" s="2370"/>
      <c r="AI31" s="2370"/>
      <c r="AJ31" s="2370"/>
      <c r="AK31" s="2370"/>
      <c r="AL31" s="2370"/>
      <c r="AM31" s="2370"/>
      <c r="AN31" s="2370"/>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8300" customFormat="1" customHeight="1" ht="25.5" hidden="1">
      <c r="A33" s="1369"/>
      <c r="B33" s="1369"/>
      <c r="C33" s="1369"/>
      <c r="D33" s="1369"/>
      <c r="E33" s="1369"/>
      <c r="F33" s="1369"/>
      <c r="G33" s="1369"/>
      <c r="H33" s="1369"/>
      <c r="I33" s="1369"/>
      <c r="J33" s="1369"/>
      <c r="K33" s="1369"/>
      <c r="L33" s="1369"/>
      <c r="M33" s="1501"/>
      <c r="N33" s="1369"/>
      <c r="O33" s="1369"/>
      <c r="P33" s="1369"/>
      <c r="U33" s="2371" t="s">
        <v>42</v>
      </c>
      <c r="V33" s="2371"/>
      <c r="W33" s="1493"/>
      <c r="X33" s="2372" t="str">
        <f>IF(TITLE_NAME_OR_PR_CHANGE="",IF(TITLE_NAME_OR_PR="","",TITLE_NAME_OR_PR),TITLE_NAME_OR_PR_CHANGE)</f>
        <v/>
      </c>
      <c r="Y33" s="2372"/>
      <c r="Z33" s="2372"/>
      <c r="AA33" s="2372"/>
      <c r="AB33" s="2372"/>
      <c r="AC33" s="2372"/>
      <c r="AD33" s="2372"/>
      <c r="AE33" s="2372"/>
      <c r="AF33" s="447"/>
      <c r="AG33" s="2372" t="str">
        <f>IF(TITLE_NAME_OR_PR_CHANGE="",IF(TITLE_NAME_OR_PR="","",TITLE_NAME_OR_PR),TITLE_NAME_OR_PR_CHANGE)</f>
        <v/>
      </c>
      <c r="AH33" s="2372"/>
      <c r="AI33" s="2372"/>
      <c r="AJ33" s="2372"/>
      <c r="AK33" s="2372"/>
      <c r="AL33" s="2372"/>
      <c r="AM33" s="2372"/>
      <c r="AN33" s="2372"/>
      <c r="AO33" s="447"/>
      <c r="AP33" s="447"/>
      <c r="AQ33" s="401"/>
      <c r="AR33" s="489"/>
      <c r="AS33" s="489"/>
      <c r="AT33" s="489"/>
      <c r="AU33" s="489"/>
      <c r="AV33" s="489"/>
      <c r="AW33" s="539">
        <v>0</v>
      </c>
    </row>
    <row s="8300" customFormat="1" customHeight="1" ht="18.75" hidden="1">
      <c r="A34" s="1369"/>
      <c r="B34" s="1369"/>
      <c r="C34" s="1369"/>
      <c r="D34" s="1369"/>
      <c r="E34" s="1369"/>
      <c r="F34" s="1369"/>
      <c r="G34" s="1369"/>
      <c r="H34" s="1369"/>
      <c r="I34" s="1369"/>
      <c r="J34" s="1369"/>
      <c r="K34" s="1369"/>
      <c r="L34" s="1369"/>
      <c r="M34" s="1501"/>
      <c r="N34" s="1369"/>
      <c r="O34" s="1369"/>
      <c r="P34" s="1369"/>
      <c r="U34" s="2371" t="s">
        <v>444</v>
      </c>
      <c r="V34" s="2371"/>
      <c r="W34" s="1493"/>
      <c r="X34" s="2385" t="str">
        <f>IF(TITLE_DATE_PR_CHANGE="",IF(TITLE_DATE_PR="","",TITLE_DATE_PR),TITLE_DATE_PR_CHANGE)</f>
        <v>45777</v>
      </c>
      <c r="Y34" s="2385"/>
      <c r="Z34" s="2385"/>
      <c r="AA34" s="2385"/>
      <c r="AB34" s="2385"/>
      <c r="AC34" s="2385"/>
      <c r="AD34" s="2385"/>
      <c r="AE34" s="2385"/>
      <c r="AF34" s="447"/>
      <c r="AG34" s="2385" t="str">
        <f>IF(TITLE_DATE_PR_CHANGE="",IF(TITLE_DATE_PR="","",TITLE_DATE_PR),TITLE_DATE_PR_CHANGE)</f>
        <v>45777</v>
      </c>
      <c r="AH34" s="2385"/>
      <c r="AI34" s="2385"/>
      <c r="AJ34" s="2385"/>
      <c r="AK34" s="2385"/>
      <c r="AL34" s="2385"/>
      <c r="AM34" s="2385"/>
      <c r="AN34" s="2385"/>
      <c r="AO34" s="447"/>
      <c r="AP34" s="447"/>
      <c r="AQ34" s="401"/>
      <c r="AR34" s="489"/>
      <c r="AS34" s="489"/>
      <c r="AT34" s="489"/>
      <c r="AU34" s="489"/>
      <c r="AV34" s="489"/>
      <c r="AW34" s="539">
        <v>0</v>
      </c>
    </row>
    <row s="8300" customFormat="1" customHeight="1" ht="18.75" hidden="1">
      <c r="A35" s="1369"/>
      <c r="B35" s="1369"/>
      <c r="C35" s="1369"/>
      <c r="D35" s="1369"/>
      <c r="E35" s="1369"/>
      <c r="F35" s="1369"/>
      <c r="G35" s="1369"/>
      <c r="H35" s="1369"/>
      <c r="I35" s="1369"/>
      <c r="J35" s="1369"/>
      <c r="K35" s="1369"/>
      <c r="L35" s="1369"/>
      <c r="M35" s="1501"/>
      <c r="N35" s="1369"/>
      <c r="O35" s="1369"/>
      <c r="P35" s="1369"/>
      <c r="U35" s="2371" t="s">
        <v>445</v>
      </c>
      <c r="V35" s="2371"/>
      <c r="W35" s="1493"/>
      <c r="X35" s="2372" t="str">
        <f>IF(TITLE_NUMBER_PR_CHANGE="",IF(TITLE_NUMBER_PR="","",TITLE_NUMBER_PR),TITLE_NUMBER_PR_CHANGE)</f>
        <v>33-01/80</v>
      </c>
      <c r="Y35" s="2372"/>
      <c r="Z35" s="2372"/>
      <c r="AA35" s="2372"/>
      <c r="AB35" s="2372"/>
      <c r="AC35" s="2372"/>
      <c r="AD35" s="2372"/>
      <c r="AE35" s="2372"/>
      <c r="AF35" s="447"/>
      <c r="AG35" s="2372" t="str">
        <f>IF(TITLE_NUMBER_PR_CHANGE="",IF(TITLE_NUMBER_PR="","",TITLE_NUMBER_PR),TITLE_NUMBER_PR_CHANGE)</f>
        <v>33-01/80</v>
      </c>
      <c r="AH35" s="2372"/>
      <c r="AI35" s="2372"/>
      <c r="AJ35" s="2372"/>
      <c r="AK35" s="2372"/>
      <c r="AL35" s="2372"/>
      <c r="AM35" s="2372"/>
      <c r="AN35" s="2372"/>
      <c r="AO35" s="447"/>
      <c r="AP35" s="447"/>
      <c r="AQ35" s="401"/>
      <c r="AR35" s="489"/>
      <c r="AS35" s="489"/>
      <c r="AT35" s="489"/>
      <c r="AU35" s="489"/>
      <c r="AV35" s="489"/>
      <c r="AW35" s="539">
        <v>0</v>
      </c>
    </row>
    <row s="8300" customFormat="1" customHeight="1" ht="18.75" hidden="1">
      <c r="A36" s="1369"/>
      <c r="B36" s="1369"/>
      <c r="C36" s="1369"/>
      <c r="D36" s="1369"/>
      <c r="E36" s="1369"/>
      <c r="F36" s="1369"/>
      <c r="G36" s="1369"/>
      <c r="H36" s="1369"/>
      <c r="I36" s="1369"/>
      <c r="J36" s="1369"/>
      <c r="K36" s="1369"/>
      <c r="L36" s="1369"/>
      <c r="M36" s="1501"/>
      <c r="N36" s="1369"/>
      <c r="O36" s="1369"/>
      <c r="P36" s="1369"/>
      <c r="U36" s="2371" t="s">
        <v>43</v>
      </c>
      <c r="V36" s="2371"/>
      <c r="W36" s="1493"/>
      <c r="X36" s="2372" t="str">
        <f>IF(TITLE_IST_PUB_CHANGE="",IF(TITLE_IST_PUB="","",TITLE_IST_PUB),TITLE_IST_PUB_CHANGE)</f>
        <v/>
      </c>
      <c r="Y36" s="2372"/>
      <c r="Z36" s="2372"/>
      <c r="AA36" s="2372"/>
      <c r="AB36" s="2372"/>
      <c r="AC36" s="2372"/>
      <c r="AD36" s="2372"/>
      <c r="AE36" s="2372"/>
      <c r="AF36" s="447"/>
      <c r="AG36" s="2372" t="str">
        <f>IF(TITLE_IST_PUB_CHANGE="",IF(TITLE_IST_PUB="","",TITLE_IST_PUB),TITLE_IST_PUB_CHANGE)</f>
        <v/>
      </c>
      <c r="AH36" s="2372"/>
      <c r="AI36" s="2372"/>
      <c r="AJ36" s="2372"/>
      <c r="AK36" s="2372"/>
      <c r="AL36" s="2372"/>
      <c r="AM36" s="2372"/>
      <c r="AN36" s="2372"/>
      <c r="AO36" s="447"/>
      <c r="AP36" s="447"/>
      <c r="AQ36" s="401"/>
      <c r="AR36" s="489"/>
      <c r="AS36" s="489"/>
      <c r="AT36" s="489"/>
      <c r="AU36" s="489"/>
      <c r="AV36" s="489"/>
      <c r="AW36" s="539">
        <v>0</v>
      </c>
    </row>
    <row customHeight="1" ht="14.25">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8300" customFormat="1" customHeight="1" ht="18.75">
      <c r="A38" s="1369"/>
      <c r="B38" s="1369"/>
      <c r="C38" s="1369"/>
      <c r="D38" s="1369"/>
      <c r="E38" s="1369"/>
      <c r="F38" s="1369"/>
      <c r="G38" s="1369"/>
      <c r="H38" s="1369"/>
      <c r="I38" s="1369"/>
      <c r="J38" s="1369"/>
      <c r="K38" s="1369"/>
      <c r="L38" s="1369"/>
      <c r="M38" s="1501"/>
      <c r="N38" s="1369"/>
      <c r="O38" s="1369"/>
      <c r="P38" s="1369"/>
      <c r="U38" s="2371" t="s">
        <v>446</v>
      </c>
      <c r="V38" s="2371"/>
      <c r="W38" s="1493"/>
      <c r="X38" s="2385" t="str">
        <f>IF(TITLE_DATE_PR_CHANGE="",IF(TITLE_DATE_PR="","",TITLE_DATE_PR),TITLE_DATE_PR_CHANGE)</f>
        <v>45777</v>
      </c>
      <c r="Y38" s="2385"/>
      <c r="Z38" s="2385"/>
      <c r="AA38" s="2385"/>
      <c r="AB38" s="2385"/>
      <c r="AC38" s="2385"/>
      <c r="AD38" s="2385"/>
      <c r="AE38" s="2385"/>
      <c r="AF38" s="447"/>
      <c r="AG38" s="2385" t="str">
        <f>IF(TITLE_DATE_PR_CHANGE="",IF(TITLE_DATE_PR="","",TITLE_DATE_PR),TITLE_DATE_PR_CHANGE)</f>
        <v>45777</v>
      </c>
      <c r="AH38" s="2385"/>
      <c r="AI38" s="2385"/>
      <c r="AJ38" s="2385"/>
      <c r="AK38" s="2385"/>
      <c r="AL38" s="2385"/>
      <c r="AM38" s="2385"/>
      <c r="AN38" s="2385"/>
      <c r="AO38" s="447"/>
      <c r="AP38" s="447"/>
      <c r="AQ38" s="401"/>
      <c r="AR38" s="489"/>
      <c r="AS38" s="489"/>
      <c r="AT38" s="489"/>
      <c r="AU38" s="489"/>
      <c r="AV38" s="489"/>
      <c r="AW38" s="539">
        <v>0</v>
      </c>
    </row>
    <row s="8300" customFormat="1" customHeight="1" ht="18.75">
      <c r="A39" s="1369"/>
      <c r="B39" s="1369"/>
      <c r="C39" s="1369"/>
      <c r="D39" s="1369"/>
      <c r="E39" s="1369"/>
      <c r="F39" s="1369"/>
      <c r="G39" s="1369"/>
      <c r="H39" s="1369"/>
      <c r="I39" s="1369"/>
      <c r="J39" s="1369"/>
      <c r="K39" s="1369"/>
      <c r="L39" s="1369"/>
      <c r="M39" s="1501"/>
      <c r="N39" s="1369"/>
      <c r="O39" s="1369"/>
      <c r="P39" s="1369"/>
      <c r="U39" s="2371" t="s">
        <v>447</v>
      </c>
      <c r="V39" s="2371"/>
      <c r="W39" s="1493"/>
      <c r="X39" s="2372" t="str">
        <f>IF(TITLE_NUMBER_PR_CHANGE="",IF(TITLE_NUMBER_PR="","",TITLE_NUMBER_PR),TITLE_NUMBER_PR_CHANGE)</f>
        <v>33-01/80</v>
      </c>
      <c r="Y39" s="2372"/>
      <c r="Z39" s="2372"/>
      <c r="AA39" s="2372"/>
      <c r="AB39" s="2372"/>
      <c r="AC39" s="2372"/>
      <c r="AD39" s="2372"/>
      <c r="AE39" s="2372"/>
      <c r="AF39" s="447"/>
      <c r="AG39" s="2372" t="str">
        <f>IF(TITLE_NUMBER_PR_CHANGE="",IF(TITLE_NUMBER_PR="","",TITLE_NUMBER_PR),TITLE_NUMBER_PR_CHANGE)</f>
        <v>33-01/80</v>
      </c>
      <c r="AH39" s="2372"/>
      <c r="AI39" s="2372"/>
      <c r="AJ39" s="2372"/>
      <c r="AK39" s="2372"/>
      <c r="AL39" s="2372"/>
      <c r="AM39" s="2372"/>
      <c r="AN39" s="2372"/>
      <c r="AO39" s="447"/>
      <c r="AP39" s="447"/>
      <c r="AQ39" s="401"/>
      <c r="AR39" s="489"/>
      <c r="AS39" s="489"/>
      <c r="AT39" s="489"/>
      <c r="AU39" s="489"/>
      <c r="AV39" s="489"/>
      <c r="AW39" s="539">
        <v>0</v>
      </c>
    </row>
    <row s="8300"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448</v>
      </c>
      <c r="AG40" s="447"/>
      <c r="AH40" s="447"/>
      <c r="AI40" s="447"/>
      <c r="AJ40" s="447"/>
      <c r="AK40" s="447"/>
      <c r="AL40" s="447"/>
      <c r="AM40" s="447"/>
      <c r="AN40" s="447"/>
      <c r="AO40" s="399" t="s">
        <v>448</v>
      </c>
      <c r="AR40" s="489"/>
      <c r="AS40" s="489"/>
      <c r="AT40" s="489"/>
      <c r="AU40" s="489"/>
      <c r="AV40" s="489"/>
      <c r="AW40" s="539">
        <v>0</v>
      </c>
    </row>
    <row customHeight="1" ht="14.699999999999998">
      <c r="R41" s="497"/>
      <c r="S41" s="497"/>
      <c r="T41" s="497"/>
      <c r="U41" s="1396"/>
      <c r="V41" s="484"/>
      <c r="W41" s="1365"/>
      <c r="X41" s="2373"/>
      <c r="Y41" s="2373"/>
      <c r="Z41" s="2373"/>
      <c r="AA41" s="2373"/>
      <c r="AB41" s="2373"/>
      <c r="AC41" s="2373"/>
      <c r="AD41" s="2373"/>
      <c r="AE41" s="2373"/>
      <c r="AF41" s="2373"/>
      <c r="AG41" s="2373"/>
      <c r="AH41" s="2373"/>
      <c r="AI41" s="2373"/>
      <c r="AJ41" s="2373"/>
      <c r="AK41" s="2373"/>
      <c r="AL41" s="2373"/>
      <c r="AM41" s="2373"/>
      <c r="AN41" s="2373"/>
      <c r="AO41" s="2373"/>
      <c r="AW41" s="1276">
        <v>14</v>
      </c>
    </row>
    <row customHeight="1" ht="14.699999999999998">
      <c r="R42" s="497"/>
      <c r="S42" s="497"/>
      <c r="T42" s="497"/>
      <c r="U42" s="2248" t="s">
        <v>324</v>
      </c>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t="s">
        <v>325</v>
      </c>
      <c r="AW42" s="1276">
        <v>14</v>
      </c>
    </row>
    <row customHeight="1" ht="14.699999999999998">
      <c r="R43" s="497"/>
      <c r="S43" s="497"/>
      <c r="T43" s="497"/>
      <c r="U43" s="2394" t="s">
        <v>88</v>
      </c>
      <c r="V43" s="2330" t="s">
        <v>449</v>
      </c>
      <c r="W43" s="422"/>
      <c r="X43" s="2395" t="s">
        <v>450</v>
      </c>
      <c r="Y43" s="2412"/>
      <c r="Z43" s="2412"/>
      <c r="AA43" s="2412"/>
      <c r="AB43" s="2412"/>
      <c r="AC43" s="2396"/>
      <c r="AD43" s="2396"/>
      <c r="AE43" s="2397"/>
      <c r="AF43" s="2398" t="s">
        <v>451</v>
      </c>
      <c r="AG43" s="2395" t="s">
        <v>450</v>
      </c>
      <c r="AH43" s="2412"/>
      <c r="AI43" s="2412"/>
      <c r="AJ43" s="2412"/>
      <c r="AK43" s="2412"/>
      <c r="AL43" s="2396"/>
      <c r="AM43" s="2396"/>
      <c r="AN43" s="2397"/>
      <c r="AO43" s="2398" t="s">
        <v>452</v>
      </c>
      <c r="AP43" s="2401" t="s">
        <v>453</v>
      </c>
      <c r="AQ43" s="2248"/>
      <c r="AW43" s="1276">
        <v>14</v>
      </c>
    </row>
    <row customHeight="1" ht="35.699999999999996">
      <c r="R44" s="497"/>
      <c r="S44" s="497"/>
      <c r="T44" s="497"/>
      <c r="U44" s="2394"/>
      <c r="V44" s="2330"/>
      <c r="W44" s="1152"/>
      <c r="X44" s="2415" t="s">
        <v>477</v>
      </c>
      <c r="Y44" s="2433" t="s">
        <v>478</v>
      </c>
      <c r="Z44" s="2433"/>
      <c r="AA44" s="2433"/>
      <c r="AB44" s="2433"/>
      <c r="AC44" s="2415" t="s">
        <v>457</v>
      </c>
      <c r="AD44" s="2732"/>
      <c r="AE44" s="2435"/>
      <c r="AF44" s="2399"/>
      <c r="AG44" s="2415" t="s">
        <v>477</v>
      </c>
      <c r="AH44" s="2433" t="s">
        <v>478</v>
      </c>
      <c r="AI44" s="2433"/>
      <c r="AJ44" s="2433"/>
      <c r="AK44" s="2433"/>
      <c r="AL44" s="2415" t="s">
        <v>457</v>
      </c>
      <c r="AM44" s="2732"/>
      <c r="AN44" s="2435"/>
      <c r="AO44" s="2399"/>
      <c r="AP44" s="2402"/>
      <c r="AQ44" s="2248"/>
      <c r="AW44" s="1276">
        <v>34</v>
      </c>
    </row>
    <row customHeight="1" ht="14.699999999999998">
      <c r="R45" s="497"/>
      <c r="S45" s="497"/>
      <c r="T45" s="497"/>
      <c r="U45" s="2394"/>
      <c r="V45" s="2330"/>
      <c r="W45" s="1152"/>
      <c r="X45" s="2446"/>
      <c r="Y45" s="2438" t="s">
        <v>479</v>
      </c>
      <c r="Z45" s="2391" t="s">
        <v>480</v>
      </c>
      <c r="AA45" s="2441"/>
      <c r="AB45" s="2392"/>
      <c r="AC45" s="2416"/>
      <c r="AD45" s="2733"/>
      <c r="AE45" s="2437"/>
      <c r="AF45" s="2399"/>
      <c r="AG45" s="2446"/>
      <c r="AH45" s="2438" t="s">
        <v>479</v>
      </c>
      <c r="AI45" s="2391" t="s">
        <v>480</v>
      </c>
      <c r="AJ45" s="2441"/>
      <c r="AK45" s="2392"/>
      <c r="AL45" s="2416"/>
      <c r="AM45" s="2733"/>
      <c r="AN45" s="2437"/>
      <c r="AO45" s="2399"/>
      <c r="AP45" s="2402"/>
      <c r="AQ45" s="2248"/>
      <c r="AW45" s="1276">
        <v>14</v>
      </c>
    </row>
    <row customHeight="1" ht="27.299999999999997">
      <c r="R46" s="497"/>
      <c r="S46" s="497"/>
      <c r="T46" s="497"/>
      <c r="U46" s="2394"/>
      <c r="V46" s="2330"/>
      <c r="W46" s="1152"/>
      <c r="X46" s="2446"/>
      <c r="Y46" s="2439"/>
      <c r="Z46" s="2438" t="s">
        <v>481</v>
      </c>
      <c r="AA46" s="2391" t="s">
        <v>482</v>
      </c>
      <c r="AB46" s="2392"/>
      <c r="AC46" s="2438" t="s">
        <v>467</v>
      </c>
      <c r="AD46" s="2442" t="s">
        <v>468</v>
      </c>
      <c r="AE46" s="2443"/>
      <c r="AF46" s="2399"/>
      <c r="AG46" s="2446"/>
      <c r="AH46" s="2439"/>
      <c r="AI46" s="2438" t="s">
        <v>481</v>
      </c>
      <c r="AJ46" s="2391" t="s">
        <v>482</v>
      </c>
      <c r="AK46" s="2392"/>
      <c r="AL46" s="2438" t="s">
        <v>467</v>
      </c>
      <c r="AM46" s="2442" t="s">
        <v>468</v>
      </c>
      <c r="AN46" s="2443"/>
      <c r="AO46" s="2399"/>
      <c r="AP46" s="2402"/>
      <c r="AQ46" s="2248"/>
      <c r="AW46" s="1276">
        <v>26</v>
      </c>
    </row>
    <row customHeight="1" ht="65.25">
      <c r="A47" s="1380"/>
      <c r="B47" s="1380" t="s">
        <v>148</v>
      </c>
      <c r="C47" s="1380" t="s">
        <v>149</v>
      </c>
      <c r="D47" s="1380" t="s">
        <v>150</v>
      </c>
      <c r="E47" s="1431" t="s">
        <v>458</v>
      </c>
      <c r="F47" s="1431" t="s">
        <v>459</v>
      </c>
      <c r="G47" s="1431" t="s">
        <v>460</v>
      </c>
      <c r="H47" s="1431" t="s">
        <v>461</v>
      </c>
      <c r="I47" s="1431" t="s">
        <v>462</v>
      </c>
      <c r="J47" s="1431" t="s">
        <v>463</v>
      </c>
      <c r="K47" s="1431" t="s">
        <v>464</v>
      </c>
      <c r="L47" s="1431" t="s">
        <v>483</v>
      </c>
      <c r="M47" s="1431" t="s">
        <v>439</v>
      </c>
      <c r="R47" s="497"/>
      <c r="S47" s="497"/>
      <c r="T47" s="497"/>
      <c r="U47" s="2394"/>
      <c r="V47" s="2330"/>
      <c r="W47" s="423"/>
      <c r="X47" s="2416"/>
      <c r="Y47" s="2440"/>
      <c r="Z47" s="2440"/>
      <c r="AA47" s="1343" t="s">
        <v>484</v>
      </c>
      <c r="AB47" s="1343" t="s">
        <v>485</v>
      </c>
      <c r="AC47" s="2440"/>
      <c r="AD47" s="2444"/>
      <c r="AE47" s="2445"/>
      <c r="AF47" s="2400"/>
      <c r="AG47" s="2416"/>
      <c r="AH47" s="2440"/>
      <c r="AI47" s="2440"/>
      <c r="AJ47" s="1343" t="s">
        <v>484</v>
      </c>
      <c r="AK47" s="1343" t="s">
        <v>485</v>
      </c>
      <c r="AL47" s="2440"/>
      <c r="AM47" s="2444"/>
      <c r="AN47" s="2445"/>
      <c r="AO47" s="2400"/>
      <c r="AP47" s="2403"/>
      <c r="AQ47" s="2248"/>
      <c r="AW47" s="1276">
        <v>62</v>
      </c>
    </row>
    <row s="6812"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123</v>
      </c>
      <c r="V48" s="1376" t="s">
        <v>103</v>
      </c>
      <c r="W48" s="1366" t="str">
        <f>OFFSET(W48,0,-1)</f>
        <v>2</v>
      </c>
      <c r="X48" s="1456">
        <f>OFFSET(X48,0,-1)+1</f>
        <v>3</v>
      </c>
      <c r="Y48" s="1462"/>
      <c r="Z48" s="1462"/>
      <c r="AA48" s="1462">
        <f>OFFSET(AA48,0,-1)+1</f>
        <v>1</v>
      </c>
      <c r="AB48" s="1462">
        <f>OFFSET(AB48,0,-1)+1</f>
        <v>2</v>
      </c>
      <c r="AC48" s="1456">
        <f>OFFSET(AC48,0,-1)+1</f>
        <v>3</v>
      </c>
      <c r="AD48" s="2393">
        <f>OFFSET(AD48,0,-1)+1</f>
        <v>4</v>
      </c>
      <c r="AE48" s="2393"/>
      <c r="AF48" s="1456">
        <f>OFFSET(AF48,0,-2)+1</f>
        <v>5</v>
      </c>
      <c r="AG48" s="1456">
        <f>OFFSET(AG48,0,-1)+1</f>
        <v>6</v>
      </c>
      <c r="AH48" s="1456"/>
      <c r="AI48" s="1456"/>
      <c r="AJ48" s="1456">
        <f>OFFSET(AJ48,0,-1)+1</f>
        <v>1</v>
      </c>
      <c r="AK48" s="1456">
        <f>OFFSET(AK48,0,-1)+1</f>
        <v>2</v>
      </c>
      <c r="AL48" s="1456">
        <f>OFFSET(AL48,0,-1)+1</f>
        <v>3</v>
      </c>
      <c r="AM48" s="2393">
        <f>OFFSET(AM48,0,-1)+1</f>
        <v>4</v>
      </c>
      <c r="AN48" s="2393"/>
      <c r="AO48" s="1456">
        <f>OFFSET(AO48,0,-2)+1</f>
        <v>5</v>
      </c>
      <c r="AP48" s="1366">
        <f>OFFSET(AP48,0,-1)</f>
        <v>5</v>
      </c>
      <c r="AQ48" s="1456">
        <f>OFFSET(AQ48,0,-1)+1</f>
        <v>6</v>
      </c>
      <c r="AR48" s="632"/>
      <c r="AS48" s="632"/>
      <c r="AT48" s="632"/>
      <c r="AU48" s="632"/>
      <c r="AV48" s="632"/>
      <c r="AW48" s="617">
        <v>0</v>
      </c>
    </row>
    <row customHeight="1" ht="22.049999999999997">
      <c r="A49" s="1388" t="s">
        <v>200</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136</v>
      </c>
      <c r="W49" s="421"/>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200</v>
      </c>
      <c r="B50" s="1388" t="s">
        <v>201</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421</v>
      </c>
      <c r="W50" s="421"/>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379" t="s">
        <v>422</v>
      </c>
      <c r="AS50" s="621"/>
      <c r="AT50" s="621" t="str">
        <f>IF(V50="","",V50)</f>
        <v>Территория действия тарифа</v>
      </c>
      <c r="AU50" s="621"/>
      <c r="AV50" s="621"/>
      <c r="AW50" s="1276">
        <v>21</v>
      </c>
    </row>
    <row customHeight="1" ht="24">
      <c r="A51" s="1388" t="s">
        <v>200</v>
      </c>
      <c r="B51" s="1388" t="s">
        <v>201</v>
      </c>
      <c r="C51" s="1388" t="s">
        <v>202</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423</v>
      </c>
      <c r="W51" s="421"/>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379" t="s">
        <v>424</v>
      </c>
      <c r="AS51" s="621"/>
      <c r="AT51" s="621" t="str">
        <f>IF(V51="","",V51)</f>
        <v>Наименование системы теплоснабжения </v>
      </c>
      <c r="AU51" s="621"/>
      <c r="AV51" s="621"/>
      <c r="AW51" s="1276">
        <v>23</v>
      </c>
    </row>
    <row customHeight="1" ht="22.049999999999997">
      <c r="A52" s="1388" t="s">
        <v>200</v>
      </c>
      <c r="B52" s="1388" t="s">
        <v>201</v>
      </c>
      <c r="C52" s="1388" t="s">
        <v>202</v>
      </c>
      <c r="D52" s="1388" t="s">
        <v>203</v>
      </c>
      <c r="E52" s="2411"/>
      <c r="F52" s="2411"/>
      <c r="G52" s="2411"/>
      <c r="H52" s="2431">
        <v>1</v>
      </c>
      <c r="I52" s="1388"/>
      <c r="J52" s="1388"/>
      <c r="K52" s="1388"/>
      <c r="L52" s="1388"/>
      <c r="M52" s="1431"/>
      <c r="N52" s="809"/>
      <c r="O52" s="809"/>
      <c r="P52" s="809"/>
      <c r="Q52" s="475"/>
      <c r="R52" s="473"/>
      <c r="S52" s="630"/>
      <c r="T52" s="474"/>
      <c r="U52" s="1457" t="str">
        <f>INDEX(PT_DIFFERENTIATION_NUM_IST_TE,MATCH(D52,PT_DIFFERENTIATION_IST_TE_ID,0))</f>
        <v>...</v>
      </c>
      <c r="V52" s="431" t="s">
        <v>425</v>
      </c>
      <c r="W52" s="421"/>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379" t="s">
        <v>426</v>
      </c>
      <c r="AS52" s="621"/>
      <c r="AT52" s="621" t="str">
        <f>IF(V52="","",V52)</f>
        <v>Источник тепловой энергии  </v>
      </c>
      <c r="AU52" s="621"/>
      <c r="AV52" s="621"/>
      <c r="AW52" s="1276">
        <v>21</v>
      </c>
    </row>
    <row s="7217" customFormat="1" customHeight="1" ht="0">
      <c r="A53" s="1496" t="s">
        <v>200</v>
      </c>
      <c r="B53" s="1496" t="s">
        <v>201</v>
      </c>
      <c r="C53" s="1496" t="s">
        <v>202</v>
      </c>
      <c r="D53" s="1496" t="s">
        <v>203</v>
      </c>
      <c r="E53" s="2411"/>
      <c r="F53" s="2411"/>
      <c r="G53" s="2411"/>
      <c r="H53" s="2432"/>
      <c r="I53" s="2248" t="str">
        <f>U52&amp;".1"</f>
        <v>....1</v>
      </c>
      <c r="J53" s="1496"/>
      <c r="K53" s="1496"/>
      <c r="L53" s="1496"/>
      <c r="M53" s="1502" t="s">
        <v>427</v>
      </c>
      <c r="N53" s="1367"/>
      <c r="O53" s="1367"/>
      <c r="P53" s="1367"/>
      <c r="Q53" s="2378">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200</v>
      </c>
      <c r="B54" s="1388" t="s">
        <v>201</v>
      </c>
      <c r="C54" s="1388" t="s">
        <v>202</v>
      </c>
      <c r="D54" s="1388" t="s">
        <v>203</v>
      </c>
      <c r="E54" s="2411"/>
      <c r="F54" s="2411"/>
      <c r="G54" s="2411"/>
      <c r="H54" s="2432"/>
      <c r="I54" s="2222"/>
      <c r="J54" s="2248" t="str">
        <f>I53&amp;".1"</f>
        <v>....1.1</v>
      </c>
      <c r="K54" s="1388"/>
      <c r="L54" s="1388"/>
      <c r="M54" s="1431" t="s">
        <v>430</v>
      </c>
      <c r="Q54" s="2378"/>
      <c r="R54" s="2378">
        <v>1</v>
      </c>
      <c r="S54" s="639"/>
      <c r="T54" s="478"/>
      <c r="U54" s="1457" t="str">
        <f>$J54</f>
        <v>....1.1</v>
      </c>
      <c r="V54" s="407" t="s">
        <v>431</v>
      </c>
      <c r="W54" s="421"/>
      <c r="X54" s="2366"/>
      <c r="Y54" s="2367"/>
      <c r="Z54" s="2367"/>
      <c r="AA54" s="2367"/>
      <c r="AB54" s="2367"/>
      <c r="AC54" s="2356"/>
      <c r="AD54" s="2356"/>
      <c r="AE54" s="2356"/>
      <c r="AF54" s="2429"/>
      <c r="AG54" s="2366"/>
      <c r="AH54" s="2367"/>
      <c r="AI54" s="2367"/>
      <c r="AJ54" s="2367"/>
      <c r="AK54" s="2367"/>
      <c r="AL54" s="2367"/>
      <c r="AM54" s="2367"/>
      <c r="AN54" s="2367"/>
      <c r="AO54" s="2367"/>
      <c r="AP54" s="2368"/>
      <c r="AQ54" s="1379" t="s">
        <v>432</v>
      </c>
      <c r="AS54" s="621"/>
      <c r="AT54" s="621" t="str">
        <f>IF(V54="","",V54)</f>
        <v>Группа потребителей</v>
      </c>
      <c r="AU54" s="621"/>
      <c r="AV54" s="621"/>
      <c r="AW54" s="1276">
        <v>21</v>
      </c>
    </row>
    <row customHeight="1" ht="22.049999999999997">
      <c r="A55" s="1388" t="s">
        <v>200</v>
      </c>
      <c r="B55" s="1388" t="s">
        <v>201</v>
      </c>
      <c r="C55" s="1388" t="s">
        <v>202</v>
      </c>
      <c r="D55" s="1388" t="s">
        <v>203</v>
      </c>
      <c r="E55" s="2411"/>
      <c r="F55" s="2411"/>
      <c r="G55" s="2411"/>
      <c r="H55" s="2432"/>
      <c r="I55" s="2222"/>
      <c r="J55" s="2222"/>
      <c r="K55" s="2248" t="str">
        <f>J54&amp;".1"</f>
        <v>....1.1.1</v>
      </c>
      <c r="L55" s="260"/>
      <c r="M55" s="1431" t="s">
        <v>433</v>
      </c>
      <c r="Q55" s="2378"/>
      <c r="R55" s="2378"/>
      <c r="S55" s="639">
        <v>1</v>
      </c>
      <c r="T55" s="478"/>
      <c r="U55" s="1457" t="str">
        <f>$K55</f>
        <v>....1.1.1</v>
      </c>
      <c r="V55" s="1468"/>
      <c r="W55" s="421"/>
      <c r="X55" s="872"/>
      <c r="Y55" s="872"/>
      <c r="Z55" s="872"/>
      <c r="AA55" s="872"/>
      <c r="AB55" s="1526"/>
      <c r="AC55" s="2386"/>
      <c r="AD55" s="2228" t="s">
        <v>66</v>
      </c>
      <c r="AE55" s="2386"/>
      <c r="AF55" s="2228" t="s">
        <v>66</v>
      </c>
      <c r="AG55" s="1528"/>
      <c r="AH55" s="872"/>
      <c r="AI55" s="872"/>
      <c r="AJ55" s="872"/>
      <c r="AK55" s="1378"/>
      <c r="AL55" s="2386"/>
      <c r="AM55" s="2228" t="s">
        <v>66</v>
      </c>
      <c r="AN55" s="2386"/>
      <c r="AO55" s="2228" t="s">
        <v>66</v>
      </c>
      <c r="AP55" s="1469"/>
      <c r="AQ55" s="1428" t="s">
        <v>474</v>
      </c>
      <c r="AR55" s="632">
        <f>STRCHECKDATE(X57:AP57)</f>
      </c>
      <c r="AS55" s="621"/>
      <c r="AT55" s="621" t="str">
        <f>IF(V55="","",V55)</f>
        <v/>
      </c>
      <c r="AU55" s="621"/>
      <c r="AV55" s="621"/>
      <c r="AW55" s="1276">
        <v>21</v>
      </c>
    </row>
    <row customHeight="1" ht="11.549999999999999">
      <c r="A56" s="1388" t="s">
        <v>200</v>
      </c>
      <c r="B56" s="1388" t="s">
        <v>201</v>
      </c>
      <c r="C56" s="1388" t="s">
        <v>202</v>
      </c>
      <c r="D56" s="1388" t="s">
        <v>203</v>
      </c>
      <c r="E56" s="2411"/>
      <c r="F56" s="2411"/>
      <c r="G56" s="2411"/>
      <c r="H56" s="2432"/>
      <c r="I56" s="2222"/>
      <c r="J56" s="2222"/>
      <c r="K56" s="2222"/>
      <c r="L56" s="2248" t="str">
        <f>K55&amp;".1"</f>
        <v>....1.1.1.1</v>
      </c>
      <c r="M56" s="1431"/>
      <c r="Q56" s="2378"/>
      <c r="R56" s="2378"/>
      <c r="S56" s="639">
        <v>1</v>
      </c>
      <c r="T56" s="478"/>
      <c r="U56" s="1457" t="str">
        <f>$L56</f>
        <v>....1.1.1.1</v>
      </c>
      <c r="V56" s="1512"/>
      <c r="W56" s="421"/>
      <c r="X56" s="446"/>
      <c r="Y56" s="872"/>
      <c r="Z56" s="872"/>
      <c r="AA56" s="872"/>
      <c r="AB56" s="1526"/>
      <c r="AC56" s="2430"/>
      <c r="AD56" s="2228"/>
      <c r="AE56" s="2430"/>
      <c r="AF56" s="2228"/>
      <c r="AG56" s="1528"/>
      <c r="AH56" s="872"/>
      <c r="AI56" s="872"/>
      <c r="AJ56" s="872"/>
      <c r="AK56" s="1378"/>
      <c r="AL56" s="2430"/>
      <c r="AM56" s="2228"/>
      <c r="AN56" s="2430"/>
      <c r="AO56" s="2228"/>
      <c r="AP56" s="1469"/>
      <c r="AQ56" s="2374" t="s">
        <v>475</v>
      </c>
      <c r="AR56" s="632">
        <f>STRCHECKDATE(X58:AP58)</f>
      </c>
      <c r="AS56" s="621"/>
      <c r="AT56" s="621" t="str">
        <f>IF(V56="","",V56)</f>
        <v/>
      </c>
      <c r="AU56" s="621"/>
      <c r="AV56" s="621"/>
      <c r="AW56" s="1276">
        <v>11</v>
      </c>
    </row>
    <row customHeight="1" ht="0">
      <c r="A57" s="1388" t="s">
        <v>200</v>
      </c>
      <c r="B57" s="1388" t="s">
        <v>201</v>
      </c>
      <c r="C57" s="1388" t="s">
        <v>202</v>
      </c>
      <c r="D57" s="1388" t="s">
        <v>203</v>
      </c>
      <c r="E57" s="2411"/>
      <c r="F57" s="2411"/>
      <c r="G57" s="2411"/>
      <c r="H57" s="2432"/>
      <c r="I57" s="2222"/>
      <c r="J57" s="2222"/>
      <c r="K57" s="2222"/>
      <c r="L57" s="2248"/>
      <c r="M57" s="1431"/>
      <c r="Q57" s="2378"/>
      <c r="R57" s="2378"/>
      <c r="S57" s="639"/>
      <c r="T57" s="478"/>
      <c r="U57" s="1463"/>
      <c r="V57" s="421"/>
      <c r="W57" s="421"/>
      <c r="X57" s="446"/>
      <c r="Y57" s="446"/>
      <c r="Z57" s="446"/>
      <c r="AA57" s="446"/>
      <c r="AB57" s="1527" t="str">
        <f>AC55&amp;"-"&amp;AE55</f>
        <v>-</v>
      </c>
      <c r="AC57" s="2430"/>
      <c r="AD57" s="2228"/>
      <c r="AE57" s="2430"/>
      <c r="AF57" s="2228"/>
      <c r="AG57" s="1503"/>
      <c r="AH57" s="446"/>
      <c r="AI57" s="446"/>
      <c r="AJ57" s="446"/>
      <c r="AK57" s="449" t="str">
        <f>AL55&amp;"-"&amp;AN55</f>
        <v>-</v>
      </c>
      <c r="AL57" s="2430"/>
      <c r="AM57" s="2228"/>
      <c r="AN57" s="2430"/>
      <c r="AO57" s="2228"/>
      <c r="AP57" s="1470"/>
      <c r="AQ57" s="2375"/>
      <c r="AS57" s="621"/>
      <c r="AT57" s="621" t="str">
        <f>IF(V57="","",V57)</f>
        <v/>
      </c>
      <c r="AU57" s="621"/>
      <c r="AV57" s="621"/>
      <c r="AW57" s="1276">
        <v>0</v>
      </c>
    </row>
    <row customHeight="1" ht="11.549999999999999">
      <c r="A58" s="1388" t="s">
        <v>200</v>
      </c>
      <c r="B58" s="1388" t="s">
        <v>201</v>
      </c>
      <c r="C58" s="1388" t="s">
        <v>202</v>
      </c>
      <c r="D58" s="1388" t="s">
        <v>203</v>
      </c>
      <c r="E58" s="2411"/>
      <c r="F58" s="2411"/>
      <c r="G58" s="2411"/>
      <c r="H58" s="2432"/>
      <c r="I58" s="2222"/>
      <c r="J58" s="2222"/>
      <c r="K58" s="2248"/>
      <c r="L58" s="1388"/>
      <c r="M58" s="1431"/>
      <c r="Q58" s="2378"/>
      <c r="R58" s="2378"/>
      <c r="S58" s="1452"/>
      <c r="T58" s="477"/>
      <c r="U58" s="1399"/>
      <c r="V58" s="409" t="s">
        <v>476</v>
      </c>
      <c r="W58" s="488"/>
      <c r="X58" s="488"/>
      <c r="Y58" s="488"/>
      <c r="Z58" s="488"/>
      <c r="AA58" s="488"/>
      <c r="AB58" s="488"/>
      <c r="AC58" s="2430"/>
      <c r="AD58" s="2228"/>
      <c r="AE58" s="2430"/>
      <c r="AF58" s="2228"/>
      <c r="AG58" s="488"/>
      <c r="AH58" s="488"/>
      <c r="AI58" s="488"/>
      <c r="AJ58" s="488"/>
      <c r="AK58" s="488"/>
      <c r="AL58" s="2430"/>
      <c r="AM58" s="2228"/>
      <c r="AN58" s="2430"/>
      <c r="AO58" s="2228"/>
      <c r="AP58" s="445"/>
      <c r="AQ58" s="2375"/>
      <c r="AS58" s="621"/>
      <c r="AT58" s="621" t="str">
        <f>IF(V58="","",V58)</f>
        <v>Добавить наименование поставщика</v>
      </c>
      <c r="AU58" s="621"/>
      <c r="AV58" s="621"/>
      <c r="AW58" s="1276">
        <v>11</v>
      </c>
    </row>
    <row customHeight="1" ht="11.549999999999999">
      <c r="A59" s="1388" t="s">
        <v>200</v>
      </c>
      <c r="B59" s="1388" t="s">
        <v>201</v>
      </c>
      <c r="C59" s="1388" t="s">
        <v>202</v>
      </c>
      <c r="D59" s="1388" t="s">
        <v>203</v>
      </c>
      <c r="E59" s="2411"/>
      <c r="F59" s="2411"/>
      <c r="G59" s="2411"/>
      <c r="H59" s="2432"/>
      <c r="I59" s="2222"/>
      <c r="J59" s="2248"/>
      <c r="K59" s="1388"/>
      <c r="L59" s="1388"/>
      <c r="M59" s="1431"/>
      <c r="Q59" s="2378"/>
      <c r="R59" s="2378"/>
      <c r="S59" s="1452"/>
      <c r="T59" s="477"/>
      <c r="U59" s="1399"/>
      <c r="V59" s="408" t="s">
        <v>435</v>
      </c>
      <c r="W59" s="488"/>
      <c r="X59" s="488"/>
      <c r="Y59" s="488"/>
      <c r="Z59" s="488"/>
      <c r="AA59" s="488"/>
      <c r="AB59" s="488"/>
      <c r="AC59" s="1529"/>
      <c r="AD59" s="1529"/>
      <c r="AE59" s="1529"/>
      <c r="AF59" s="1529"/>
      <c r="AG59" s="488"/>
      <c r="AH59" s="488"/>
      <c r="AI59" s="488"/>
      <c r="AJ59" s="488"/>
      <c r="AK59" s="488"/>
      <c r="AL59" s="488"/>
      <c r="AM59" s="488"/>
      <c r="AN59" s="488"/>
      <c r="AO59" s="488"/>
      <c r="AP59" s="445"/>
      <c r="AQ59" s="2376"/>
      <c r="AS59" s="621"/>
      <c r="AT59" s="621" t="str">
        <f>IF(V59="","",V59)</f>
        <v>Добавить вид теплоносителя (параметры теплоносителя)</v>
      </c>
      <c r="AU59" s="621"/>
      <c r="AV59" s="621"/>
      <c r="AW59" s="1276">
        <v>11</v>
      </c>
    </row>
    <row customHeight="1" ht="11.549999999999999">
      <c r="A60" s="1388" t="s">
        <v>200</v>
      </c>
      <c r="B60" s="1388" t="s">
        <v>201</v>
      </c>
      <c r="C60" s="1388" t="s">
        <v>202</v>
      </c>
      <c r="D60" s="1388" t="s">
        <v>203</v>
      </c>
      <c r="E60" s="2411"/>
      <c r="F60" s="2411"/>
      <c r="G60" s="2411"/>
      <c r="H60" s="2432"/>
      <c r="I60" s="2248"/>
      <c r="J60" s="1388"/>
      <c r="K60" s="1388"/>
      <c r="L60" s="1388"/>
      <c r="M60" s="1431"/>
      <c r="Q60" s="2378"/>
      <c r="R60" s="1452"/>
      <c r="S60" s="1452"/>
      <c r="T60" s="477"/>
      <c r="U60" s="1399"/>
      <c r="V60" s="486" t="s">
        <v>436</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200</v>
      </c>
      <c r="B61" s="1388" t="s">
        <v>201</v>
      </c>
      <c r="C61" s="1388" t="s">
        <v>202</v>
      </c>
      <c r="D61" s="1388" t="s">
        <v>203</v>
      </c>
      <c r="E61" s="2411"/>
      <c r="F61" s="2411"/>
      <c r="G61" s="2411"/>
      <c r="H61" s="2431"/>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7217" customFormat="1" customHeight="1" ht="0">
      <c r="A62" s="1496" t="s">
        <v>200</v>
      </c>
      <c r="B62" s="1496" t="s">
        <v>201</v>
      </c>
      <c r="C62" s="1496" t="s">
        <v>202</v>
      </c>
      <c r="D62" s="1495"/>
      <c r="E62" s="2411"/>
      <c r="F62" s="2411"/>
      <c r="G62" s="2410"/>
      <c r="H62" s="1495"/>
      <c r="I62" s="1495"/>
      <c r="J62" s="1495"/>
      <c r="K62" s="1495"/>
      <c r="L62" s="1495"/>
      <c r="M62" s="1498"/>
      <c r="N62" s="1499"/>
      <c r="O62" s="1499"/>
      <c r="P62" s="472"/>
      <c r="Q62" s="1437"/>
      <c r="R62" s="1438"/>
      <c r="S62" s="1437"/>
      <c r="T62" s="1437"/>
      <c r="U62" s="1443"/>
      <c r="V62" s="1446" t="s">
        <v>175</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7217" customFormat="1" customHeight="1" ht="0">
      <c r="A63" s="1496" t="s">
        <v>200</v>
      </c>
      <c r="B63" s="1496" t="s">
        <v>201</v>
      </c>
      <c r="C63" s="1495"/>
      <c r="D63" s="1495"/>
      <c r="E63" s="2411"/>
      <c r="F63" s="2410"/>
      <c r="G63" s="1495"/>
      <c r="H63" s="1495"/>
      <c r="I63" s="1495"/>
      <c r="J63" s="1495"/>
      <c r="K63" s="1495"/>
      <c r="L63" s="1495"/>
      <c r="M63" s="1498"/>
      <c r="N63" s="1500"/>
      <c r="O63" s="1500"/>
      <c r="P63" s="472"/>
      <c r="Q63" s="1437"/>
      <c r="R63" s="1438"/>
      <c r="S63" s="1437"/>
      <c r="T63" s="1437"/>
      <c r="U63" s="1443"/>
      <c r="V63" s="1446" t="s">
        <v>176</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7217" customFormat="1" customHeight="1" ht="0">
      <c r="A64" s="1496" t="s">
        <v>200</v>
      </c>
      <c r="B64" s="1496"/>
      <c r="C64" s="1496"/>
      <c r="D64" s="1496"/>
      <c r="E64" s="2410"/>
      <c r="F64" s="1496"/>
      <c r="G64" s="1496"/>
      <c r="H64" s="1496"/>
      <c r="I64" s="1496"/>
      <c r="J64" s="1496"/>
      <c r="K64" s="1496"/>
      <c r="L64" s="1496"/>
      <c r="M64" s="1502"/>
      <c r="N64" s="1500"/>
      <c r="O64" s="1500"/>
      <c r="P64" s="472"/>
      <c r="Q64" s="501"/>
      <c r="R64" s="1465"/>
      <c r="S64" s="501"/>
      <c r="T64" s="501"/>
      <c r="U64" s="1443"/>
      <c r="V64" s="1446" t="s">
        <v>177</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7217"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183</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276">
        <v>34</v>
      </c>
    </row>
    <row customHeight="1" ht="21">
      <c r="P68" s="630"/>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276">
        <v>20</v>
      </c>
    </row>
    <row customHeight="1" ht="14.699999999999998">
      <c r="P69" s="630"/>
      <c r="AW69" s="1276">
        <v>14</v>
      </c>
    </row>
    <row customHeight="1" ht="28.5">
      <c r="P70" s="630"/>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276">
        <v>27</v>
      </c>
    </row>
    <row customHeight="1" ht="18.75">
      <c r="P71" s="630"/>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276">
        <v>18</v>
      </c>
    </row>
    <row customHeight="1" ht="22.5" hidden="1">
      <c r="A72" s="1276" t="s">
        <v>82</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DF12-80CF-F502-F6E3-0.241D369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6894" width="3.00390625" customWidth="1"/>
    <col min="17" max="17" style="6960" width="3.00390625" customWidth="1"/>
    <col min="18" max="18" style="7739" width="3.00390625" customWidth="1"/>
    <col min="19" max="19" style="8401" width="12.00390625" customWidth="1"/>
    <col min="20" max="20" style="7720" width="31.00390625" customWidth="1"/>
    <col min="21" max="21" style="7720" width="0.140625" customWidth="1"/>
    <col min="22" max="23" style="7720" width="21.7109375" hidden="1" customWidth="1"/>
    <col min="24" max="24" style="7720" width="11.7109375" hidden="1" customWidth="1"/>
    <col min="25" max="25" style="7720" width="3.7109375" hidden="1" customWidth="1"/>
    <col min="26" max="26" style="7720" width="11.7109375" hidden="1" customWidth="1"/>
    <col min="27" max="27" style="7720" width="8.57421875" hidden="1" customWidth="1"/>
    <col min="28" max="28" style="7720" width="5.421875" customWidth="1"/>
    <col min="29" max="30" style="7720" width="3.00390625" customWidth="1"/>
    <col min="31" max="31" style="7720" width="24.00390625" customWidth="1"/>
    <col min="32" max="32" style="7720" width="3.7109375" customWidth="1"/>
    <col min="33" max="34" style="7720" width="3.00390625" customWidth="1"/>
    <col min="35" max="35" style="7720" width="24.00390625" customWidth="1"/>
    <col min="36" max="36" style="7720" width="3.7109375" customWidth="1"/>
    <col min="37" max="38" style="7720" width="3.00390625" customWidth="1"/>
    <col min="39" max="39" style="7720" width="18.00390625" customWidth="1"/>
    <col min="40" max="41" style="7720" width="21.00390625" customWidth="1"/>
    <col min="42" max="42" style="7720" width="11.00390625" customWidth="1"/>
    <col min="43" max="43" style="7720" width="3.7109375" customWidth="1"/>
    <col min="44" max="44" style="7720" width="11.00390625" customWidth="1"/>
    <col min="45" max="45" style="7720" width="8.57421875" hidden="1" customWidth="1"/>
    <col min="46" max="46" style="7720" width="4.00390625" customWidth="1"/>
    <col min="47" max="47" style="7720" width="115.00390625" customWidth="1"/>
    <col min="48" max="52" style="7217" width="10.00390625" customWidth="1"/>
    <col min="53" max="53" style="7720" width="10.57421875" hidden="1"/>
  </cols>
  <sheetData>
    <row customHeight="1" ht="22.5" hidden="1">
      <c r="W1" s="448"/>
      <c r="X1" s="448"/>
      <c r="AO1" s="448"/>
      <c r="AP1" s="448"/>
      <c r="BA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457">
        <f>INDEX(PT_DIFFERENTIATION_NUM_NTAR,MATCH(A2,PT_DIFFERENTIATION_NTAR_ID,0))</f>
      </c>
      <c r="T2" s="419" t="s">
        <v>136</v>
      </c>
      <c r="U2" s="421"/>
      <c r="V2" s="2364"/>
      <c r="W2" s="2364"/>
      <c r="X2" s="2364"/>
      <c r="Y2" s="2364"/>
      <c r="Z2" s="2364"/>
      <c r="AA2" s="2365"/>
      <c r="AB2" s="2363">
        <f>INDEX(PT_DIFFERENTIATION_NTAR,MATCH(A2,PT_DIFFERENTIATION_NTAR_ID,0))</f>
      </c>
      <c r="AC2" s="2364"/>
      <c r="AD2" s="2364"/>
      <c r="AE2" s="2364"/>
      <c r="AF2" s="2364"/>
      <c r="AG2" s="2364"/>
      <c r="AH2" s="2364"/>
      <c r="AI2" s="2364"/>
      <c r="AJ2" s="2364"/>
      <c r="AK2" s="2364"/>
      <c r="AL2" s="2364"/>
      <c r="AM2" s="2364"/>
      <c r="AN2" s="2364"/>
      <c r="AO2" s="2364"/>
      <c r="AP2" s="2364"/>
      <c r="AQ2" s="2364"/>
      <c r="AR2" s="2364"/>
      <c r="AS2" s="2364"/>
      <c r="AT2" s="2365"/>
      <c r="AU2" s="1379" t="s">
        <v>420</v>
      </c>
      <c r="AW2" s="621"/>
      <c r="AX2" s="621" t="str">
        <f>IF(T2="","",T2)</f>
        <v>Наименование тарифа</v>
      </c>
      <c r="AY2" s="621"/>
      <c r="AZ2" s="621"/>
      <c r="BA2" s="1276">
        <v>0</v>
      </c>
    </row>
    <row customHeight="1" ht="21" hidden="1">
      <c r="A3" s="1484"/>
      <c r="B3" s="1484"/>
      <c r="C3" s="1484"/>
      <c r="D3" s="1484"/>
      <c r="E3" s="2380"/>
      <c r="F3" s="2379">
        <v>1</v>
      </c>
      <c r="G3" s="1484"/>
      <c r="H3" s="1484"/>
      <c r="I3" s="1484"/>
      <c r="J3" s="1484"/>
      <c r="K3" s="1484"/>
      <c r="L3" s="1485"/>
      <c r="M3" s="1486"/>
      <c r="N3" s="1486"/>
      <c r="O3" s="1486"/>
      <c r="P3" s="1531"/>
      <c r="Q3" s="1532"/>
      <c r="R3" s="474"/>
      <c r="S3" s="1457">
        <f>INDEX(PT_DIFFERENTIATION_NUM_TER,MATCH(B3,PT_DIFFERENTIATION_TER_ID,0))</f>
      </c>
      <c r="T3" s="429" t="s">
        <v>421</v>
      </c>
      <c r="U3" s="421"/>
      <c r="V3" s="2364"/>
      <c r="W3" s="2364"/>
      <c r="X3" s="2364"/>
      <c r="Y3" s="2364"/>
      <c r="Z3" s="2364"/>
      <c r="AA3" s="2365"/>
      <c r="AB3" s="2363">
        <f>INDEX(PT_DIFFERENTIATION_TER,MATCH(B3,PT_DIFFERENTIATION_TER_ID,0))</f>
      </c>
      <c r="AC3" s="2364"/>
      <c r="AD3" s="2364"/>
      <c r="AE3" s="2364"/>
      <c r="AF3" s="2364"/>
      <c r="AG3" s="2364"/>
      <c r="AH3" s="2364"/>
      <c r="AI3" s="2364"/>
      <c r="AJ3" s="2364"/>
      <c r="AK3" s="2364"/>
      <c r="AL3" s="2364"/>
      <c r="AM3" s="2364"/>
      <c r="AN3" s="2364"/>
      <c r="AO3" s="2364"/>
      <c r="AP3" s="2364"/>
      <c r="AQ3" s="2364"/>
      <c r="AR3" s="2364"/>
      <c r="AS3" s="2364"/>
      <c r="AT3" s="2365"/>
      <c r="AU3" s="1379" t="s">
        <v>422</v>
      </c>
      <c r="AW3" s="621"/>
      <c r="AX3" s="621" t="str">
        <f>IF(T3="","",T3)</f>
        <v>Территория действия тарифа</v>
      </c>
      <c r="AY3" s="621"/>
      <c r="AZ3" s="621"/>
      <c r="BA3" s="1276">
        <v>0</v>
      </c>
    </row>
    <row customHeight="1" ht="22.5" hidden="1">
      <c r="A4" s="1484"/>
      <c r="B4" s="1484"/>
      <c r="C4" s="1484"/>
      <c r="D4" s="1484"/>
      <c r="E4" s="2380"/>
      <c r="F4" s="2380"/>
      <c r="G4" s="2379">
        <v>1</v>
      </c>
      <c r="H4" s="1484"/>
      <c r="I4" s="1484"/>
      <c r="J4" s="1484"/>
      <c r="K4" s="1484"/>
      <c r="L4" s="1485"/>
      <c r="M4" s="1486"/>
      <c r="N4" s="1486"/>
      <c r="O4" s="1486"/>
      <c r="P4" s="1533"/>
      <c r="Q4" s="1532"/>
      <c r="R4" s="474"/>
      <c r="S4" s="1457">
        <f>INDEX(PT_DIFFERENTIATION_NUM_CS,MATCH(C4,PT_DIFFERENTIATION_CS_ID,0))</f>
      </c>
      <c r="T4" s="430" t="s">
        <v>423</v>
      </c>
      <c r="U4" s="421"/>
      <c r="V4" s="2364"/>
      <c r="W4" s="2364"/>
      <c r="X4" s="2364"/>
      <c r="Y4" s="2364"/>
      <c r="Z4" s="2364"/>
      <c r="AA4" s="2365"/>
      <c r="AB4" s="2363">
        <f>INDEX(PT_DIFFERENTIATION_CS,MATCH(C4,PT_DIFFERENTIATION_CS_ID,0))</f>
      </c>
      <c r="AC4" s="2364"/>
      <c r="AD4" s="2364"/>
      <c r="AE4" s="2364"/>
      <c r="AF4" s="2364"/>
      <c r="AG4" s="2364"/>
      <c r="AH4" s="2364"/>
      <c r="AI4" s="2364"/>
      <c r="AJ4" s="2364"/>
      <c r="AK4" s="2364"/>
      <c r="AL4" s="2364"/>
      <c r="AM4" s="2364"/>
      <c r="AN4" s="2364"/>
      <c r="AO4" s="2364"/>
      <c r="AP4" s="2364"/>
      <c r="AQ4" s="2364"/>
      <c r="AR4" s="2364"/>
      <c r="AS4" s="2364"/>
      <c r="AT4" s="2365"/>
      <c r="AU4" s="1379" t="s">
        <v>424</v>
      </c>
      <c r="AW4" s="621"/>
      <c r="AX4" s="621" t="str">
        <f>IF(T4="","",T4)</f>
        <v>Наименование системы теплоснабжения </v>
      </c>
      <c r="AY4" s="621"/>
      <c r="AZ4" s="621"/>
      <c r="BA4" s="1276">
        <v>0</v>
      </c>
    </row>
    <row customHeight="1" ht="21" hidden="1">
      <c r="A5" s="1484"/>
      <c r="B5" s="1484"/>
      <c r="C5" s="1484"/>
      <c r="D5" s="1484"/>
      <c r="E5" s="2380"/>
      <c r="F5" s="2380"/>
      <c r="G5" s="2380"/>
      <c r="H5" s="2379">
        <v>1</v>
      </c>
      <c r="I5" s="1484"/>
      <c r="J5" s="1484"/>
      <c r="K5" s="1484"/>
      <c r="L5" s="1485"/>
      <c r="M5" s="1486"/>
      <c r="N5" s="1486"/>
      <c r="O5" s="1486"/>
      <c r="P5" s="1533"/>
      <c r="Q5" s="1532"/>
      <c r="R5" s="474"/>
      <c r="S5" s="1457">
        <f>INDEX(PT_DIFFERENTIATION_NUM_IST_TE,MATCH(D5,PT_DIFFERENTIATION_IST_TE_ID,0))</f>
      </c>
      <c r="T5" s="431" t="s">
        <v>425</v>
      </c>
      <c r="U5" s="421"/>
      <c r="V5" s="2364"/>
      <c r="W5" s="2364"/>
      <c r="X5" s="2364"/>
      <c r="Y5" s="2364"/>
      <c r="Z5" s="2364"/>
      <c r="AA5" s="2365"/>
      <c r="AB5" s="2363">
        <f>INDEX(PT_DIFFERENTIATION_IST_TE,MATCH(D5,PT_DIFFERENTIATION_IST_TE_ID,0))</f>
      </c>
      <c r="AC5" s="2364"/>
      <c r="AD5" s="2364"/>
      <c r="AE5" s="2364"/>
      <c r="AF5" s="2364"/>
      <c r="AG5" s="2364"/>
      <c r="AH5" s="2364"/>
      <c r="AI5" s="2364"/>
      <c r="AJ5" s="2364"/>
      <c r="AK5" s="2364"/>
      <c r="AL5" s="2364"/>
      <c r="AM5" s="2364"/>
      <c r="AN5" s="2364"/>
      <c r="AO5" s="2364"/>
      <c r="AP5" s="2364"/>
      <c r="AQ5" s="2364"/>
      <c r="AR5" s="2364"/>
      <c r="AS5" s="2364"/>
      <c r="AT5" s="2365"/>
      <c r="AU5" s="1379" t="s">
        <v>426</v>
      </c>
      <c r="AW5" s="621"/>
      <c r="AX5" s="621" t="str">
        <f>IF(T5="","",T5)</f>
        <v>Источник тепловой энергии  </v>
      </c>
      <c r="AY5" s="621"/>
      <c r="AZ5" s="621"/>
      <c r="BA5" s="1276">
        <v>0</v>
      </c>
    </row>
    <row s="7217" customFormat="1" customHeight="1" ht="0.75" hidden="1">
      <c r="A6" s="1464"/>
      <c r="B6" s="1464"/>
      <c r="C6" s="1464"/>
      <c r="D6" s="1464"/>
      <c r="E6" s="2380"/>
      <c r="F6" s="2380"/>
      <c r="G6" s="2380"/>
      <c r="H6" s="2380"/>
      <c r="I6" s="2377">
        <f>S5&amp;".1"</f>
      </c>
      <c r="J6" s="1464"/>
      <c r="K6" s="1464"/>
      <c r="L6" s="1467" t="s">
        <v>427</v>
      </c>
      <c r="M6" s="631"/>
      <c r="N6" s="631"/>
      <c r="O6" s="631"/>
      <c r="P6" s="2378">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7217" customFormat="1" customHeight="1" ht="0.75" hidden="1">
      <c r="A7" s="1464"/>
      <c r="B7" s="1464"/>
      <c r="C7" s="1464"/>
      <c r="D7" s="1464"/>
      <c r="E7" s="2380"/>
      <c r="F7" s="2380"/>
      <c r="G7" s="2380"/>
      <c r="H7" s="2380"/>
      <c r="I7" s="2407"/>
      <c r="J7" s="2377">
        <f>S5&amp;".1"</f>
      </c>
      <c r="K7" s="1464"/>
      <c r="L7" s="1467"/>
      <c r="M7" s="631"/>
      <c r="N7" s="631"/>
      <c r="O7" s="631"/>
      <c r="P7" s="2378"/>
      <c r="Q7" s="2378">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80"/>
      <c r="F8" s="2380"/>
      <c r="G8" s="2380"/>
      <c r="H8" s="2380"/>
      <c r="I8" s="2407"/>
      <c r="J8" s="2407"/>
      <c r="K8" s="2377">
        <f>S5&amp;".1"</f>
      </c>
      <c r="L8" s="1485"/>
      <c r="P8" s="2378"/>
      <c r="Q8" s="2378"/>
      <c r="R8" s="2468">
        <v>1</v>
      </c>
      <c r="S8" s="2462">
        <f>$K8</f>
      </c>
      <c r="T8" s="2465"/>
      <c r="U8" s="421"/>
      <c r="V8" s="872"/>
      <c r="W8" s="1378"/>
      <c r="X8" s="2386"/>
      <c r="Y8" s="2228" t="s">
        <v>66</v>
      </c>
      <c r="Z8" s="2386"/>
      <c r="AA8" s="2228" t="s">
        <v>66</v>
      </c>
      <c r="AB8" s="2228" t="s">
        <v>19</v>
      </c>
      <c r="AC8" s="2447"/>
      <c r="AD8" s="2326">
        <v>1</v>
      </c>
      <c r="AE8" s="2448"/>
      <c r="AF8" s="2228" t="s">
        <v>19</v>
      </c>
      <c r="AG8" s="2447"/>
      <c r="AH8" s="2326">
        <v>1</v>
      </c>
      <c r="AI8" s="2448"/>
      <c r="AJ8" s="2228" t="s">
        <v>19</v>
      </c>
      <c r="AK8" s="432"/>
      <c r="AL8" s="1458">
        <v>1</v>
      </c>
      <c r="AM8" s="1519"/>
      <c r="AN8" s="872"/>
      <c r="AO8" s="1378"/>
      <c r="AP8" s="1855"/>
      <c r="AQ8" s="1580" t="s">
        <v>66</v>
      </c>
      <c r="AR8" s="1855"/>
      <c r="AS8" s="1580" t="s">
        <v>66</v>
      </c>
      <c r="AT8" s="1469"/>
      <c r="AU8" s="2374" t="s">
        <v>486</v>
      </c>
      <c r="AV8" s="632">
        <f>STRCHECKDATE(V11:AT11)</f>
      </c>
      <c r="AW8" s="621"/>
      <c r="AX8" s="621" t="str">
        <f>IF(T8="","",T8)</f>
        <v/>
      </c>
      <c r="AY8" s="621"/>
      <c r="AZ8" s="621"/>
      <c r="BA8" s="1276">
        <v>0</v>
      </c>
    </row>
    <row customHeight="1" ht="11.25" hidden="1">
      <c r="A9" s="1484"/>
      <c r="B9" s="1484"/>
      <c r="C9" s="1484"/>
      <c r="D9" s="1484"/>
      <c r="E9" s="2380"/>
      <c r="F9" s="2380"/>
      <c r="G9" s="2380"/>
      <c r="H9" s="2380"/>
      <c r="I9" s="2407"/>
      <c r="J9" s="2407"/>
      <c r="K9" s="2377"/>
      <c r="L9" s="1485"/>
      <c r="P9" s="2378"/>
      <c r="Q9" s="2378"/>
      <c r="R9" s="2468"/>
      <c r="S9" s="2463"/>
      <c r="T9" s="2466"/>
      <c r="U9" s="421"/>
      <c r="V9" s="1514"/>
      <c r="W9" s="1518"/>
      <c r="X9" s="2386"/>
      <c r="Y9" s="2228"/>
      <c r="Z9" s="2386"/>
      <c r="AA9" s="2228"/>
      <c r="AB9" s="2228"/>
      <c r="AC9" s="2447"/>
      <c r="AD9" s="2326"/>
      <c r="AE9" s="2448"/>
      <c r="AF9" s="2228"/>
      <c r="AG9" s="2447"/>
      <c r="AH9" s="2326"/>
      <c r="AI9" s="2448"/>
      <c r="AJ9" s="2228"/>
      <c r="AK9" s="437"/>
      <c r="AL9" s="537"/>
      <c r="AM9" s="536" t="s">
        <v>487</v>
      </c>
      <c r="AN9" s="1514"/>
      <c r="AO9" s="1617"/>
      <c r="AP9" s="1514"/>
      <c r="AQ9" s="1514"/>
      <c r="AR9" s="1514"/>
      <c r="AS9" s="1514"/>
      <c r="AT9" s="1511"/>
      <c r="AU9" s="2375"/>
      <c r="AW9" s="621"/>
      <c r="AX9" s="621"/>
      <c r="AY9" s="621"/>
      <c r="AZ9" s="621"/>
      <c r="BA9" s="1276">
        <v>0</v>
      </c>
    </row>
    <row customHeight="1" ht="11.25" hidden="1">
      <c r="A10" s="1484"/>
      <c r="B10" s="1484"/>
      <c r="C10" s="1484"/>
      <c r="D10" s="1484"/>
      <c r="E10" s="2380"/>
      <c r="F10" s="2380"/>
      <c r="G10" s="2380"/>
      <c r="H10" s="2380"/>
      <c r="I10" s="2407"/>
      <c r="J10" s="2407"/>
      <c r="K10" s="2377"/>
      <c r="L10" s="1485"/>
      <c r="P10" s="2378"/>
      <c r="Q10" s="2378"/>
      <c r="R10" s="2468"/>
      <c r="S10" s="2463"/>
      <c r="T10" s="2466"/>
      <c r="U10" s="421"/>
      <c r="V10" s="1514"/>
      <c r="W10" s="1518"/>
      <c r="X10" s="2386"/>
      <c r="Y10" s="2228"/>
      <c r="Z10" s="2386"/>
      <c r="AA10" s="2228"/>
      <c r="AB10" s="2228"/>
      <c r="AC10" s="2447"/>
      <c r="AD10" s="2326"/>
      <c r="AE10" s="2448"/>
      <c r="AF10" s="2228"/>
      <c r="AG10" s="415"/>
      <c r="AH10" s="536"/>
      <c r="AI10" s="536" t="s">
        <v>488</v>
      </c>
      <c r="AJ10" s="1514"/>
      <c r="AK10" s="1514"/>
      <c r="AL10" s="1514"/>
      <c r="AM10" s="1514"/>
      <c r="AN10" s="1514"/>
      <c r="AO10" s="1617"/>
      <c r="AP10" s="1514"/>
      <c r="AQ10" s="1514"/>
      <c r="AR10" s="1514"/>
      <c r="AS10" s="1514"/>
      <c r="AT10" s="1511"/>
      <c r="AU10" s="2375"/>
      <c r="AW10" s="621"/>
      <c r="AX10" s="621"/>
      <c r="AY10" s="621"/>
      <c r="AZ10" s="621"/>
      <c r="BA10" s="1276">
        <v>0</v>
      </c>
    </row>
    <row customHeight="1" ht="11.25" hidden="1">
      <c r="A11" s="1484"/>
      <c r="B11" s="1484"/>
      <c r="C11" s="1484"/>
      <c r="D11" s="1484"/>
      <c r="E11" s="2380"/>
      <c r="F11" s="2380"/>
      <c r="G11" s="2380"/>
      <c r="H11" s="2380"/>
      <c r="I11" s="2407"/>
      <c r="J11" s="2407"/>
      <c r="K11" s="2377"/>
      <c r="L11" s="1485"/>
      <c r="P11" s="2378"/>
      <c r="Q11" s="2378"/>
      <c r="R11" s="2468"/>
      <c r="S11" s="2464"/>
      <c r="T11" s="2467"/>
      <c r="U11" s="421"/>
      <c r="V11" s="1514"/>
      <c r="W11" s="1517" t="str">
        <f>X8&amp;"-"&amp;Z8</f>
        <v>-</v>
      </c>
      <c r="X11" s="2387"/>
      <c r="Y11" s="2228"/>
      <c r="Z11" s="2387"/>
      <c r="AA11" s="2228"/>
      <c r="AB11" s="2228"/>
      <c r="AC11" s="433"/>
      <c r="AD11" s="435"/>
      <c r="AE11" s="536" t="s">
        <v>489</v>
      </c>
      <c r="AF11" s="1514"/>
      <c r="AG11" s="1514"/>
      <c r="AH11" s="1514"/>
      <c r="AI11" s="1514"/>
      <c r="AJ11" s="1514"/>
      <c r="AK11" s="1514"/>
      <c r="AL11" s="1514"/>
      <c r="AM11" s="1514"/>
      <c r="AN11" s="1514"/>
      <c r="AO11" s="1515" t="str">
        <f>AP8&amp;"-"&amp;AR8</f>
        <v>-</v>
      </c>
      <c r="AP11" s="1514"/>
      <c r="AQ11" s="1514"/>
      <c r="AR11" s="1514"/>
      <c r="AS11" s="1514"/>
      <c r="AT11" s="1470"/>
      <c r="AU11" s="2375"/>
      <c r="AW11" s="621"/>
      <c r="AX11" s="621" t="str">
        <f>IF(T11="","",T11)</f>
        <v/>
      </c>
      <c r="AY11" s="621"/>
      <c r="AZ11" s="621"/>
      <c r="BA11" s="1276">
        <v>0</v>
      </c>
    </row>
    <row customHeight="1" ht="11.25" hidden="1">
      <c r="A12" s="1484"/>
      <c r="B12" s="1484"/>
      <c r="C12" s="1484"/>
      <c r="D12" s="1484"/>
      <c r="E12" s="2380"/>
      <c r="F12" s="2380"/>
      <c r="G12" s="2380"/>
      <c r="H12" s="2380"/>
      <c r="I12" s="2407"/>
      <c r="J12" s="2377"/>
      <c r="K12" s="1484"/>
      <c r="L12" s="1485"/>
      <c r="P12" s="2378"/>
      <c r="Q12" s="2378"/>
      <c r="R12" s="477"/>
      <c r="S12" s="1399"/>
      <c r="T12" s="408" t="s">
        <v>490</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76"/>
      <c r="AW12" s="621"/>
      <c r="AX12" s="621" t="str">
        <f>IF(T12="","",T12)</f>
        <v>Добавить строку</v>
      </c>
      <c r="AY12" s="621"/>
      <c r="AZ12" s="621"/>
      <c r="BA12" s="1276">
        <v>0</v>
      </c>
    </row>
    <row s="7217" customFormat="1" customHeight="1" ht="0.75" hidden="1">
      <c r="A13" s="1464"/>
      <c r="B13" s="1464"/>
      <c r="C13" s="1464"/>
      <c r="D13" s="1464"/>
      <c r="E13" s="2380"/>
      <c r="F13" s="2380"/>
      <c r="G13" s="2380"/>
      <c r="H13" s="2380"/>
      <c r="I13" s="2377"/>
      <c r="J13" s="1464"/>
      <c r="K13" s="1464"/>
      <c r="L13" s="1467"/>
      <c r="M13" s="631"/>
      <c r="N13" s="631"/>
      <c r="O13" s="631"/>
      <c r="P13" s="2378"/>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7217" customFormat="1" customHeight="1" ht="0.75" hidden="1">
      <c r="A14" s="1464"/>
      <c r="B14" s="1464"/>
      <c r="C14" s="1464"/>
      <c r="D14" s="1464"/>
      <c r="E14" s="2380"/>
      <c r="F14" s="2380"/>
      <c r="G14" s="2380"/>
      <c r="H14" s="2379"/>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7217" customFormat="1" customHeight="1" ht="0.75" hidden="1">
      <c r="A15" s="1464"/>
      <c r="B15" s="1464"/>
      <c r="C15" s="1464"/>
      <c r="D15" s="1435"/>
      <c r="E15" s="2380"/>
      <c r="F15" s="2380"/>
      <c r="G15" s="2379"/>
      <c r="H15" s="1435"/>
      <c r="I15" s="1435"/>
      <c r="J15" s="1435"/>
      <c r="K15" s="1435"/>
      <c r="L15" s="1460"/>
      <c r="M15" s="1436"/>
      <c r="N15" s="1436"/>
      <c r="P15" s="1437"/>
      <c r="Q15" s="1438"/>
      <c r="R15" s="1437"/>
      <c r="S15" s="1443"/>
      <c r="T15" s="1446" t="s">
        <v>175</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7217" customFormat="1" customHeight="1" ht="0.75" hidden="1">
      <c r="A16" s="1464"/>
      <c r="B16" s="1464"/>
      <c r="C16" s="1435"/>
      <c r="D16" s="1435"/>
      <c r="E16" s="2380"/>
      <c r="F16" s="2379"/>
      <c r="G16" s="1435"/>
      <c r="H16" s="1435"/>
      <c r="I16" s="1435"/>
      <c r="J16" s="1435"/>
      <c r="K16" s="1435"/>
      <c r="L16" s="1460"/>
      <c r="M16" s="1442"/>
      <c r="N16" s="1442"/>
      <c r="P16" s="1437"/>
      <c r="Q16" s="1438"/>
      <c r="R16" s="1437"/>
      <c r="S16" s="1443"/>
      <c r="T16" s="1446" t="s">
        <v>176</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7217" customFormat="1" customHeight="1" ht="0.75" hidden="1">
      <c r="A17" s="1464"/>
      <c r="B17" s="1464"/>
      <c r="C17" s="1464"/>
      <c r="D17" s="1464"/>
      <c r="E17" s="2379"/>
      <c r="F17" s="1464"/>
      <c r="G17" s="1464"/>
      <c r="H17" s="1464"/>
      <c r="I17" s="1464"/>
      <c r="J17" s="1464"/>
      <c r="K17" s="1464"/>
      <c r="L17" s="1467"/>
      <c r="M17" s="1442"/>
      <c r="N17" s="1442"/>
      <c r="O17" s="639"/>
      <c r="P17" s="501"/>
      <c r="Q17" s="1465"/>
      <c r="R17" s="501"/>
      <c r="S17" s="1443"/>
      <c r="T17" s="1446" t="s">
        <v>177</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66</v>
      </c>
      <c r="AR19" s="1857"/>
      <c r="AS19" s="1581" t="s">
        <v>66</v>
      </c>
      <c r="BA19" s="1276">
        <v>0</v>
      </c>
    </row>
    <row customHeight="1" ht="14.25" hidden="1">
      <c r="AV20" s="617"/>
      <c r="AW20" s="617"/>
      <c r="AX20" s="617"/>
      <c r="AY20" s="617"/>
      <c r="AZ20" s="617"/>
      <c r="BA20" s="1276">
        <v>0</v>
      </c>
    </row>
    <row customHeight="1" ht="14.25" hidden="1">
      <c r="O21" s="1488" t="s">
        <v>438</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935" customFormat="1" customHeight="1" ht="14.25" hidden="1">
      <c r="M23" s="1629"/>
      <c r="N23" s="1629"/>
      <c r="O23" s="1630" t="s">
        <v>439</v>
      </c>
      <c r="P23" s="1629"/>
      <c r="Q23" s="1631"/>
      <c r="R23" s="1631"/>
      <c r="Y23" s="1628" t="s">
        <v>441</v>
      </c>
      <c r="AA23" s="1628" t="s">
        <v>442</v>
      </c>
      <c r="AB23" s="1628" t="s">
        <v>491</v>
      </c>
      <c r="AE23" s="1628" t="s">
        <v>492</v>
      </c>
      <c r="AF23" s="1628" t="s">
        <v>491</v>
      </c>
      <c r="AI23" s="1628" t="s">
        <v>493</v>
      </c>
      <c r="AJ23" s="1628" t="s">
        <v>491</v>
      </c>
      <c r="AM23" s="1628" t="s">
        <v>494</v>
      </c>
      <c r="AQ23" s="1628" t="s">
        <v>441</v>
      </c>
      <c r="AS23" s="1628" t="s">
        <v>442</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1364"/>
      <c r="BA27" s="1276">
        <v>26</v>
      </c>
    </row>
    <row customHeight="1" ht="14.699999999999998">
      <c r="Q28" s="412"/>
      <c r="R28" s="497"/>
      <c r="S28" s="2370" t="str">
        <f>IF(org=0,"Не определено",org)</f>
        <v>ПАО "ТГК-1" филиал "Невский"</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8300" customFormat="1" customHeight="1" ht="25.5" hidden="1">
      <c r="A30" s="1489"/>
      <c r="B30" s="1489"/>
      <c r="C30" s="1489"/>
      <c r="D30" s="1489"/>
      <c r="E30" s="1489"/>
      <c r="F30" s="1489"/>
      <c r="G30" s="1489"/>
      <c r="H30" s="1489"/>
      <c r="I30" s="1489"/>
      <c r="J30" s="1489"/>
      <c r="K30" s="1489"/>
      <c r="L30" s="1490"/>
      <c r="M30" s="1489"/>
      <c r="N30" s="1489"/>
      <c r="O30" s="1489"/>
      <c r="P30" s="1489"/>
      <c r="Q30" s="1489"/>
      <c r="S30" s="2371" t="s">
        <v>42</v>
      </c>
      <c r="T30" s="2371"/>
      <c r="U30" s="1493"/>
      <c r="V30" s="2372" t="str">
        <f>IF(TITLE_NAME_OR_PR_CHANGE="",IF(TITLE_NAME_OR_PR="","",TITLE_NAME_OR_PR),TITLE_NAME_OR_PR_CHANGE)</f>
        <v/>
      </c>
      <c r="W30" s="2372"/>
      <c r="X30" s="2372"/>
      <c r="Y30" s="2372"/>
      <c r="Z30" s="2372"/>
      <c r="AA30" s="447"/>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447"/>
      <c r="AT30" s="447"/>
      <c r="AU30" s="401"/>
      <c r="AV30" s="489"/>
      <c r="AW30" s="489"/>
      <c r="AX30" s="489"/>
      <c r="AY30" s="489"/>
      <c r="AZ30" s="489"/>
      <c r="BA30" s="539">
        <v>0</v>
      </c>
    </row>
    <row s="8300" customFormat="1" customHeight="1" ht="18.75" hidden="1">
      <c r="A31" s="1489"/>
      <c r="B31" s="1489"/>
      <c r="C31" s="1489"/>
      <c r="D31" s="1489"/>
      <c r="E31" s="1489"/>
      <c r="F31" s="1489"/>
      <c r="G31" s="1489"/>
      <c r="H31" s="1489"/>
      <c r="I31" s="1489"/>
      <c r="J31" s="1489"/>
      <c r="K31" s="1489"/>
      <c r="L31" s="1490"/>
      <c r="M31" s="1489"/>
      <c r="N31" s="1489"/>
      <c r="O31" s="1489"/>
      <c r="P31" s="1489"/>
      <c r="Q31" s="1489"/>
      <c r="S31" s="2371" t="s">
        <v>444</v>
      </c>
      <c r="T31" s="2371"/>
      <c r="U31" s="1493"/>
      <c r="V31" s="2385" t="str">
        <f>IF(TITLE_DATE_PR_CHANGE="",IF(TITLE_DATE_PR="","",TITLE_DATE_PR),TITLE_DATE_PR_CHANGE)</f>
        <v>45777</v>
      </c>
      <c r="W31" s="2385"/>
      <c r="X31" s="2385"/>
      <c r="Y31" s="2385"/>
      <c r="Z31" s="2385"/>
      <c r="AA31" s="447"/>
      <c r="AB31" s="2385" t="str">
        <f>IF(TITLE_DATE_PR_CHANGE="",IF(TITLE_DATE_PR="","",TITLE_DATE_PR),TITLE_DATE_PR_CHANGE)</f>
        <v>45777</v>
      </c>
      <c r="AC31" s="2385"/>
      <c r="AD31" s="2385"/>
      <c r="AE31" s="2385"/>
      <c r="AF31" s="2385"/>
      <c r="AG31" s="2385"/>
      <c r="AH31" s="2385"/>
      <c r="AI31" s="2385"/>
      <c r="AJ31" s="2385"/>
      <c r="AK31" s="2385"/>
      <c r="AL31" s="2385"/>
      <c r="AM31" s="2385"/>
      <c r="AN31" s="2385"/>
      <c r="AO31" s="2385"/>
      <c r="AP31" s="2385"/>
      <c r="AQ31" s="2385"/>
      <c r="AR31" s="2385"/>
      <c r="AS31" s="447"/>
      <c r="AT31" s="447"/>
      <c r="AU31" s="401"/>
      <c r="AV31" s="489"/>
      <c r="AW31" s="489"/>
      <c r="AX31" s="489"/>
      <c r="AY31" s="489"/>
      <c r="AZ31" s="489"/>
      <c r="BA31" s="539">
        <v>0</v>
      </c>
    </row>
    <row s="8300"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445</v>
      </c>
      <c r="T32" s="2371"/>
      <c r="U32" s="1493"/>
      <c r="V32" s="2372" t="str">
        <f>IF(TITLE_NUMBER_PR_CHANGE="",IF(TITLE_NUMBER_PR="","",TITLE_NUMBER_PR),TITLE_NUMBER_PR_CHANGE)</f>
        <v>33-01/80</v>
      </c>
      <c r="W32" s="2372"/>
      <c r="X32" s="2372"/>
      <c r="Y32" s="2372"/>
      <c r="Z32" s="2372"/>
      <c r="AA32" s="447"/>
      <c r="AB32" s="2372" t="str">
        <f>IF(TITLE_NUMBER_PR_CHANGE="",IF(TITLE_NUMBER_PR="","",TITLE_NUMBER_PR),TITLE_NUMBER_PR_CHANGE)</f>
        <v>33-01/80</v>
      </c>
      <c r="AC32" s="2372"/>
      <c r="AD32" s="2372"/>
      <c r="AE32" s="2372"/>
      <c r="AF32" s="2372"/>
      <c r="AG32" s="2372"/>
      <c r="AH32" s="2372"/>
      <c r="AI32" s="2372"/>
      <c r="AJ32" s="2372"/>
      <c r="AK32" s="2372"/>
      <c r="AL32" s="2372"/>
      <c r="AM32" s="2372"/>
      <c r="AN32" s="2372"/>
      <c r="AO32" s="2372"/>
      <c r="AP32" s="2372"/>
      <c r="AQ32" s="2372"/>
      <c r="AR32" s="2372"/>
      <c r="AS32" s="447"/>
      <c r="AT32" s="447"/>
      <c r="AU32" s="401"/>
      <c r="AV32" s="489"/>
      <c r="AW32" s="489"/>
      <c r="AX32" s="489"/>
      <c r="AY32" s="489"/>
      <c r="AZ32" s="489"/>
      <c r="BA32" s="539">
        <v>0</v>
      </c>
    </row>
    <row s="8300"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43</v>
      </c>
      <c r="T33" s="2371"/>
      <c r="U33" s="1493"/>
      <c r="V33" s="2372" t="str">
        <f>IF(TITLE_IST_PUB_CHANGE="",IF(TITLE_IST_PUB="","",TITLE_IST_PUB),TITLE_IST_PUB_CHANGE)</f>
        <v/>
      </c>
      <c r="W33" s="2372"/>
      <c r="X33" s="2372"/>
      <c r="Y33" s="2372"/>
      <c r="Z33" s="2372"/>
      <c r="AA33" s="447"/>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447"/>
      <c r="AT33" s="447"/>
      <c r="AU33" s="401"/>
      <c r="AV33" s="489"/>
      <c r="AW33" s="489"/>
      <c r="AX33" s="489"/>
      <c r="AY33" s="489"/>
      <c r="AZ33" s="489"/>
      <c r="BA33" s="539">
        <v>0</v>
      </c>
    </row>
    <row customHeight="1" ht="14.25">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8300" customFormat="1" customHeight="1" ht="18.75">
      <c r="A35" s="1489"/>
      <c r="B35" s="1489"/>
      <c r="C35" s="1489"/>
      <c r="D35" s="1489"/>
      <c r="E35" s="1489"/>
      <c r="F35" s="1489"/>
      <c r="G35" s="1489"/>
      <c r="H35" s="1489"/>
      <c r="I35" s="1489"/>
      <c r="J35" s="1489"/>
      <c r="K35" s="1489"/>
      <c r="L35" s="1490"/>
      <c r="M35" s="1489"/>
      <c r="N35" s="1489"/>
      <c r="O35" s="1489"/>
      <c r="P35" s="1489"/>
      <c r="Q35" s="1489"/>
      <c r="S35" s="2371" t="s">
        <v>444</v>
      </c>
      <c r="T35" s="2371"/>
      <c r="U35" s="1493"/>
      <c r="V35" s="2385" t="str">
        <f>IF(TITLE_DATE_PR_CHANGE="",IF(TITLE_DATE_PR="","",TITLE_DATE_PR),TITLE_DATE_PR_CHANGE)</f>
        <v>45777</v>
      </c>
      <c r="W35" s="2385"/>
      <c r="X35" s="2385"/>
      <c r="Y35" s="2385"/>
      <c r="Z35" s="2385"/>
      <c r="AA35" s="447"/>
      <c r="AB35" s="2385" t="str">
        <f>IF(TITLE_DATE_PR_CHANGE="",IF(TITLE_DATE_PR="","",TITLE_DATE_PR),TITLE_DATE_PR_CHANGE)</f>
        <v>45777</v>
      </c>
      <c r="AC35" s="2385"/>
      <c r="AD35" s="2385"/>
      <c r="AE35" s="2385"/>
      <c r="AF35" s="2385"/>
      <c r="AG35" s="2385"/>
      <c r="AH35" s="2385"/>
      <c r="AI35" s="2385"/>
      <c r="AJ35" s="2385"/>
      <c r="AK35" s="2385"/>
      <c r="AL35" s="2385"/>
      <c r="AM35" s="2385"/>
      <c r="AN35" s="2385"/>
      <c r="AO35" s="2385"/>
      <c r="AP35" s="2385"/>
      <c r="AQ35" s="2385"/>
      <c r="AR35" s="2385"/>
      <c r="AS35" s="447"/>
      <c r="AT35" s="447"/>
      <c r="AU35" s="401"/>
      <c r="AV35" s="489"/>
      <c r="AW35" s="489"/>
      <c r="AX35" s="489"/>
      <c r="AY35" s="489"/>
      <c r="AZ35" s="489"/>
      <c r="BA35" s="539">
        <v>0</v>
      </c>
    </row>
    <row s="8300" customFormat="1" customHeight="1" ht="18">
      <c r="A36" s="1489"/>
      <c r="B36" s="1489"/>
      <c r="C36" s="1489"/>
      <c r="D36" s="1489"/>
      <c r="E36" s="1489"/>
      <c r="F36" s="1489"/>
      <c r="G36" s="1489"/>
      <c r="H36" s="1489"/>
      <c r="I36" s="1489"/>
      <c r="J36" s="1489"/>
      <c r="K36" s="1489"/>
      <c r="L36" s="1490"/>
      <c r="M36" s="1489"/>
      <c r="N36" s="1489"/>
      <c r="O36" s="1489"/>
      <c r="P36" s="1489"/>
      <c r="Q36" s="1489"/>
      <c r="S36" s="2371" t="s">
        <v>445</v>
      </c>
      <c r="T36" s="2371"/>
      <c r="U36" s="1493"/>
      <c r="V36" s="2372" t="str">
        <f>IF(TITLE_NUMBER_PR_CHANGE="",IF(TITLE_NUMBER_PR="","",TITLE_NUMBER_PR),TITLE_NUMBER_PR_CHANGE)</f>
        <v>33-01/80</v>
      </c>
      <c r="W36" s="2372"/>
      <c r="X36" s="2372"/>
      <c r="Y36" s="2372"/>
      <c r="Z36" s="2372"/>
      <c r="AA36" s="447"/>
      <c r="AB36" s="2372" t="str">
        <f>IF(TITLE_NUMBER_PR_CHANGE="",IF(TITLE_NUMBER_PR="","",TITLE_NUMBER_PR),TITLE_NUMBER_PR_CHANGE)</f>
        <v>33-01/80</v>
      </c>
      <c r="AC36" s="2372"/>
      <c r="AD36" s="2372"/>
      <c r="AE36" s="2372"/>
      <c r="AF36" s="2372"/>
      <c r="AG36" s="2372"/>
      <c r="AH36" s="2372"/>
      <c r="AI36" s="2372"/>
      <c r="AJ36" s="2372"/>
      <c r="AK36" s="2372"/>
      <c r="AL36" s="2372"/>
      <c r="AM36" s="2372"/>
      <c r="AN36" s="2372"/>
      <c r="AO36" s="2372"/>
      <c r="AP36" s="2372"/>
      <c r="AQ36" s="2372"/>
      <c r="AR36" s="2372"/>
      <c r="AS36" s="447"/>
      <c r="AT36" s="447"/>
      <c r="AU36" s="401"/>
      <c r="AV36" s="489"/>
      <c r="AW36" s="489"/>
      <c r="AX36" s="489"/>
      <c r="AY36" s="489"/>
      <c r="AZ36" s="489"/>
      <c r="BA36" s="539">
        <v>0</v>
      </c>
    </row>
    <row s="8300"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448</v>
      </c>
      <c r="AB37" s="447"/>
      <c r="AC37" s="447"/>
      <c r="AD37" s="447"/>
      <c r="AE37" s="447"/>
      <c r="AF37" s="447"/>
      <c r="AG37" s="447"/>
      <c r="AH37" s="447"/>
      <c r="AI37" s="447"/>
      <c r="AJ37" s="447"/>
      <c r="AK37" s="447"/>
      <c r="AL37" s="447"/>
      <c r="AM37" s="447"/>
      <c r="AN37" s="447"/>
      <c r="AO37" s="447"/>
      <c r="AP37" s="447"/>
      <c r="AQ37" s="447"/>
      <c r="AR37" s="447"/>
      <c r="AS37" s="399" t="s">
        <v>448</v>
      </c>
      <c r="AV37" s="489"/>
      <c r="AW37" s="489"/>
      <c r="AX37" s="489"/>
      <c r="AY37" s="489"/>
      <c r="AZ37" s="489"/>
      <c r="BA37" s="539">
        <v>1</v>
      </c>
    </row>
    <row customHeight="1" ht="14.699999999999998">
      <c r="Q38" s="412"/>
      <c r="R38" s="497"/>
      <c r="S38" s="1396"/>
      <c r="T38" s="484"/>
      <c r="U38" s="1365"/>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276">
        <v>14</v>
      </c>
    </row>
    <row customHeight="1" ht="14.699999999999998">
      <c r="Q39" s="412"/>
      <c r="R39" s="497"/>
      <c r="S39" s="2248" t="s">
        <v>324</v>
      </c>
      <c r="T39" s="2248"/>
      <c r="U39" s="2248"/>
      <c r="V39" s="2248"/>
      <c r="W39" s="2248"/>
      <c r="X39" s="2248"/>
      <c r="Y39" s="2248"/>
      <c r="Z39" s="2248"/>
      <c r="AA39" s="2248"/>
      <c r="AB39" s="2296"/>
      <c r="AC39" s="2296"/>
      <c r="AD39" s="2296"/>
      <c r="AE39" s="2296"/>
      <c r="AF39" s="2248"/>
      <c r="AG39" s="2248"/>
      <c r="AH39" s="2248"/>
      <c r="AI39" s="2248"/>
      <c r="AJ39" s="2248"/>
      <c r="AK39" s="2248"/>
      <c r="AL39" s="2248"/>
      <c r="AM39" s="2248"/>
      <c r="AN39" s="2248"/>
      <c r="AO39" s="2248"/>
      <c r="AP39" s="2248"/>
      <c r="AQ39" s="2248"/>
      <c r="AR39" s="2248"/>
      <c r="AS39" s="2248"/>
      <c r="AT39" s="2248"/>
      <c r="AU39" s="2248" t="s">
        <v>325</v>
      </c>
      <c r="BA39" s="1276">
        <v>14</v>
      </c>
    </row>
    <row customHeight="1" ht="14.699999999999998">
      <c r="Q40" s="412"/>
      <c r="R40" s="497"/>
      <c r="S40" s="2394" t="s">
        <v>88</v>
      </c>
      <c r="T40" s="2330" t="s">
        <v>495</v>
      </c>
      <c r="U40" s="422"/>
      <c r="V40" s="2396"/>
      <c r="W40" s="2396"/>
      <c r="X40" s="2396"/>
      <c r="Y40" s="2396"/>
      <c r="Z40" s="2397"/>
      <c r="AA40" s="2457" t="s">
        <v>451</v>
      </c>
      <c r="AB40" s="2449" t="s">
        <v>496</v>
      </c>
      <c r="AC40" s="2412"/>
      <c r="AD40" s="2412"/>
      <c r="AE40" s="2450"/>
      <c r="AF40" s="2412" t="s">
        <v>497</v>
      </c>
      <c r="AG40" s="2412"/>
      <c r="AH40" s="2412"/>
      <c r="AI40" s="2450"/>
      <c r="AJ40" s="2449" t="s">
        <v>498</v>
      </c>
      <c r="AK40" s="2412"/>
      <c r="AL40" s="2412"/>
      <c r="AM40" s="2450"/>
      <c r="AN40" s="2449" t="s">
        <v>450</v>
      </c>
      <c r="AO40" s="2412"/>
      <c r="AP40" s="2396"/>
      <c r="AQ40" s="2396"/>
      <c r="AR40" s="2397"/>
      <c r="AS40" s="2398" t="s">
        <v>451</v>
      </c>
      <c r="AT40" s="2401" t="s">
        <v>453</v>
      </c>
      <c r="AU40" s="2248"/>
      <c r="BA40" s="1276">
        <v>14</v>
      </c>
    </row>
    <row customHeight="1" ht="35.699999999999996">
      <c r="Q41" s="412"/>
      <c r="R41" s="497"/>
      <c r="S41" s="2394"/>
      <c r="T41" s="2330"/>
      <c r="U41" s="1152"/>
      <c r="V41" s="2248" t="s">
        <v>499</v>
      </c>
      <c r="W41" s="2248"/>
      <c r="X41" s="2415" t="s">
        <v>457</v>
      </c>
      <c r="Y41" s="2434"/>
      <c r="Z41" s="2435"/>
      <c r="AA41" s="2458"/>
      <c r="AB41" s="2451"/>
      <c r="AC41" s="2452"/>
      <c r="AD41" s="2452"/>
      <c r="AE41" s="2453"/>
      <c r="AF41" s="2452"/>
      <c r="AG41" s="2452"/>
      <c r="AH41" s="2452"/>
      <c r="AI41" s="2453"/>
      <c r="AJ41" s="2451"/>
      <c r="AK41" s="2452"/>
      <c r="AL41" s="2452"/>
      <c r="AM41" s="2452"/>
      <c r="AN41" s="2248" t="s">
        <v>499</v>
      </c>
      <c r="AO41" s="2248"/>
      <c r="AP41" s="2434" t="s">
        <v>457</v>
      </c>
      <c r="AQ41" s="2434"/>
      <c r="AR41" s="2435"/>
      <c r="AS41" s="2399"/>
      <c r="AT41" s="2402"/>
      <c r="AU41" s="2248"/>
      <c r="BA41" s="1276">
        <v>34</v>
      </c>
    </row>
    <row customHeight="1" ht="14.699999999999998">
      <c r="Q42" s="412"/>
      <c r="R42" s="497"/>
      <c r="S42" s="2394"/>
      <c r="T42" s="2330"/>
      <c r="U42" s="1152"/>
      <c r="V42" s="2461" t="str">
        <f>IF($AN$42&lt;&gt;"",$AN$42,"")</f>
        <v/>
      </c>
      <c r="W42" s="2461"/>
      <c r="X42" s="2416"/>
      <c r="Y42" s="2436"/>
      <c r="Z42" s="2437"/>
      <c r="AA42" s="2458"/>
      <c r="AB42" s="2451"/>
      <c r="AC42" s="2452"/>
      <c r="AD42" s="2452"/>
      <c r="AE42" s="2453"/>
      <c r="AF42" s="2452"/>
      <c r="AG42" s="2452"/>
      <c r="AH42" s="2452"/>
      <c r="AI42" s="2453"/>
      <c r="AJ42" s="2451"/>
      <c r="AK42" s="2452"/>
      <c r="AL42" s="2452"/>
      <c r="AM42" s="2452"/>
      <c r="AN42" s="2460"/>
      <c r="AO42" s="2460"/>
      <c r="AP42" s="2436"/>
      <c r="AQ42" s="2436"/>
      <c r="AR42" s="2437"/>
      <c r="AS42" s="2399"/>
      <c r="AT42" s="2402"/>
      <c r="AU42" s="2248"/>
      <c r="BA42" s="1276">
        <v>14</v>
      </c>
    </row>
    <row customHeight="1" ht="14.699999999999998">
      <c r="A43" s="1491"/>
      <c r="B43" s="1491" t="s">
        <v>148</v>
      </c>
      <c r="C43" s="1491" t="s">
        <v>149</v>
      </c>
      <c r="D43" s="1491" t="s">
        <v>150</v>
      </c>
      <c r="E43" s="1485" t="s">
        <v>458</v>
      </c>
      <c r="F43" s="1485" t="s">
        <v>459</v>
      </c>
      <c r="G43" s="1485" t="s">
        <v>460</v>
      </c>
      <c r="H43" s="1485" t="s">
        <v>461</v>
      </c>
      <c r="I43" s="1485" t="s">
        <v>462</v>
      </c>
      <c r="J43" s="1485" t="s">
        <v>463</v>
      </c>
      <c r="K43" s="1485" t="s">
        <v>464</v>
      </c>
      <c r="L43" s="1485" t="s">
        <v>439</v>
      </c>
      <c r="Q43" s="412"/>
      <c r="R43" s="497"/>
      <c r="S43" s="2394"/>
      <c r="T43" s="2330"/>
      <c r="U43" s="423"/>
      <c r="V43" s="1451" t="s">
        <v>500</v>
      </c>
      <c r="W43" s="1451" t="s">
        <v>501</v>
      </c>
      <c r="X43" s="1459" t="s">
        <v>467</v>
      </c>
      <c r="Y43" s="2391" t="s">
        <v>468</v>
      </c>
      <c r="Z43" s="2392"/>
      <c r="AA43" s="2459"/>
      <c r="AB43" s="2454"/>
      <c r="AC43" s="2455"/>
      <c r="AD43" s="2455"/>
      <c r="AE43" s="2456"/>
      <c r="AF43" s="2455"/>
      <c r="AG43" s="2455"/>
      <c r="AH43" s="2455"/>
      <c r="AI43" s="2456"/>
      <c r="AJ43" s="2454"/>
      <c r="AK43" s="2455"/>
      <c r="AL43" s="2455"/>
      <c r="AM43" s="2456"/>
      <c r="AN43" s="1981" t="s">
        <v>500</v>
      </c>
      <c r="AO43" s="1981" t="s">
        <v>501</v>
      </c>
      <c r="AP43" s="1459" t="s">
        <v>467</v>
      </c>
      <c r="AQ43" s="2391" t="s">
        <v>468</v>
      </c>
      <c r="AR43" s="2392"/>
      <c r="AS43" s="2400"/>
      <c r="AT43" s="2403"/>
      <c r="AU43" s="2248"/>
      <c r="BA43" s="1276">
        <v>14</v>
      </c>
    </row>
    <row s="6812"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123</v>
      </c>
      <c r="T44" s="1376" t="s">
        <v>103</v>
      </c>
      <c r="U44" s="1366" t="str">
        <f>OFFSET(U44,0,-1)</f>
        <v>2</v>
      </c>
      <c r="V44" s="1456">
        <f>OFFSET(V44,0,-1)+1</f>
        <v>3</v>
      </c>
      <c r="W44" s="1456">
        <f>OFFSET(W44,0,-1)+1</f>
        <v>4</v>
      </c>
      <c r="X44" s="1456">
        <f>OFFSET(X44,0,-1)+1</f>
        <v>5</v>
      </c>
      <c r="Y44" s="2393">
        <f>OFFSET(Y44,0,-1)+1</f>
        <v>6</v>
      </c>
      <c r="Z44" s="2393"/>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3">
        <f>OFFSET(AQ44,0,-1)+1</f>
        <v>4</v>
      </c>
      <c r="AR44" s="2393"/>
      <c r="AS44" s="1456">
        <f>OFFSET(AS44,0,-2)+1</f>
        <v>5</v>
      </c>
      <c r="AT44" s="1366">
        <f>OFFSET(AT44,0,-1)</f>
        <v>5</v>
      </c>
      <c r="AU44" s="1456">
        <f>OFFSET(AU44,0,-1)+1</f>
        <v>6</v>
      </c>
      <c r="AV44" s="632"/>
      <c r="AW44" s="632"/>
      <c r="AX44" s="632"/>
      <c r="AY44" s="632"/>
      <c r="AZ44" s="632"/>
      <c r="BA44" s="617">
        <v>0</v>
      </c>
    </row>
    <row customHeight="1" ht="107.25">
      <c r="A45" s="1484" t="s">
        <v>224</v>
      </c>
      <c r="B45" s="1484"/>
      <c r="C45" s="1484"/>
      <c r="D45" s="1484"/>
      <c r="E45" s="2379">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136</v>
      </c>
      <c r="U45" s="421"/>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224</v>
      </c>
      <c r="B46" s="1484" t="s">
        <v>225</v>
      </c>
      <c r="C46" s="1484"/>
      <c r="D46" s="1484"/>
      <c r="E46" s="2380"/>
      <c r="F46" s="2379">
        <v>1</v>
      </c>
      <c r="G46" s="1484"/>
      <c r="H46" s="1484"/>
      <c r="I46" s="1484"/>
      <c r="J46" s="1484"/>
      <c r="K46" s="1484"/>
      <c r="L46" s="1485"/>
      <c r="M46" s="1486"/>
      <c r="N46" s="1486"/>
      <c r="O46" s="1486"/>
      <c r="P46" s="1531"/>
      <c r="Q46" s="1532"/>
      <c r="R46" s="474"/>
      <c r="S46" s="1457" t="str">
        <f>INDEX(PT_DIFFERENTIATION_NUM_TER,MATCH(B46,PT_DIFFERENTIATION_TER_ID,0))</f>
        <v>.</v>
      </c>
      <c r="T46" s="429" t="s">
        <v>421</v>
      </c>
      <c r="U46" s="421"/>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379" t="s">
        <v>422</v>
      </c>
      <c r="AW46" s="621"/>
      <c r="AX46" s="621" t="str">
        <f>IF(T46="","",T46)</f>
        <v>Территория действия тарифа</v>
      </c>
      <c r="AY46" s="621"/>
      <c r="AZ46" s="621"/>
      <c r="BA46" s="1276">
        <v>21</v>
      </c>
    </row>
    <row customHeight="1" ht="24">
      <c r="A47" s="1484" t="s">
        <v>224</v>
      </c>
      <c r="B47" s="1484" t="s">
        <v>225</v>
      </c>
      <c r="C47" s="1484" t="s">
        <v>226</v>
      </c>
      <c r="D47" s="1484"/>
      <c r="E47" s="2380"/>
      <c r="F47" s="2380"/>
      <c r="G47" s="2379">
        <v>1</v>
      </c>
      <c r="H47" s="1484"/>
      <c r="I47" s="1484"/>
      <c r="J47" s="1484"/>
      <c r="K47" s="1484"/>
      <c r="L47" s="1485"/>
      <c r="M47" s="1486"/>
      <c r="N47" s="1486"/>
      <c r="O47" s="1486"/>
      <c r="P47" s="1533"/>
      <c r="Q47" s="1532"/>
      <c r="R47" s="474"/>
      <c r="S47" s="1457" t="str">
        <f>INDEX(PT_DIFFERENTIATION_NUM_CS,MATCH(C47,PT_DIFFERENTIATION_CS_ID,0))</f>
        <v>..</v>
      </c>
      <c r="T47" s="430" t="s">
        <v>423</v>
      </c>
      <c r="U47" s="421"/>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379" t="s">
        <v>424</v>
      </c>
      <c r="AW47" s="621"/>
      <c r="AX47" s="621" t="str">
        <f>IF(T47="","",T47)</f>
        <v>Наименование системы теплоснабжения </v>
      </c>
      <c r="AY47" s="621"/>
      <c r="AZ47" s="621"/>
      <c r="BA47" s="1276">
        <v>23</v>
      </c>
    </row>
    <row customHeight="1" ht="21">
      <c r="A48" s="1484" t="s">
        <v>224</v>
      </c>
      <c r="B48" s="1484" t="s">
        <v>225</v>
      </c>
      <c r="C48" s="1484" t="s">
        <v>226</v>
      </c>
      <c r="D48" s="1484" t="s">
        <v>227</v>
      </c>
      <c r="E48" s="2380"/>
      <c r="F48" s="2380"/>
      <c r="G48" s="2380"/>
      <c r="H48" s="2379">
        <v>1</v>
      </c>
      <c r="I48" s="1484"/>
      <c r="J48" s="1484"/>
      <c r="K48" s="1484"/>
      <c r="L48" s="1485"/>
      <c r="M48" s="1486"/>
      <c r="N48" s="1486"/>
      <c r="O48" s="1486"/>
      <c r="P48" s="1533"/>
      <c r="Q48" s="1532"/>
      <c r="R48" s="474"/>
      <c r="S48" s="1457" t="str">
        <f>INDEX(PT_DIFFERENTIATION_NUM_IST_TE,MATCH(D48,PT_DIFFERENTIATION_IST_TE_ID,0))</f>
        <v>...</v>
      </c>
      <c r="T48" s="431" t="s">
        <v>425</v>
      </c>
      <c r="U48" s="421"/>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379" t="s">
        <v>426</v>
      </c>
      <c r="AW48" s="621"/>
      <c r="AX48" s="621" t="str">
        <f>IF(T48="","",T48)</f>
        <v>Источник тепловой энергии  </v>
      </c>
      <c r="AY48" s="621"/>
      <c r="AZ48" s="621"/>
      <c r="BA48" s="1276">
        <v>20</v>
      </c>
    </row>
    <row s="7217" customFormat="1" customHeight="1" ht="1.05">
      <c r="A49" s="1464" t="s">
        <v>224</v>
      </c>
      <c r="B49" s="1464" t="s">
        <v>225</v>
      </c>
      <c r="C49" s="1464" t="s">
        <v>226</v>
      </c>
      <c r="D49" s="1464" t="s">
        <v>227</v>
      </c>
      <c r="E49" s="2380"/>
      <c r="F49" s="2380"/>
      <c r="G49" s="2380"/>
      <c r="H49" s="2380"/>
      <c r="I49" s="2377" t="str">
        <f>S48&amp;".1"</f>
        <v>....1</v>
      </c>
      <c r="J49" s="1464"/>
      <c r="K49" s="1464"/>
      <c r="L49" s="1467" t="s">
        <v>427</v>
      </c>
      <c r="M49" s="631"/>
      <c r="N49" s="631"/>
      <c r="O49" s="631"/>
      <c r="P49" s="2378">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7217" customFormat="1" customHeight="1" ht="1.05">
      <c r="A50" s="1464" t="s">
        <v>224</v>
      </c>
      <c r="B50" s="1464" t="s">
        <v>225</v>
      </c>
      <c r="C50" s="1464" t="s">
        <v>226</v>
      </c>
      <c r="D50" s="1464" t="s">
        <v>227</v>
      </c>
      <c r="E50" s="2380"/>
      <c r="F50" s="2380"/>
      <c r="G50" s="2380"/>
      <c r="H50" s="2380"/>
      <c r="I50" s="2407"/>
      <c r="J50" s="2377" t="str">
        <f>S48&amp;".1"</f>
        <v>....1</v>
      </c>
      <c r="K50" s="1464"/>
      <c r="L50" s="1467"/>
      <c r="M50" s="631"/>
      <c r="N50" s="631"/>
      <c r="O50" s="631"/>
      <c r="P50" s="2378"/>
      <c r="Q50" s="2378">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224</v>
      </c>
      <c r="B51" s="1484" t="s">
        <v>225</v>
      </c>
      <c r="C51" s="1484" t="s">
        <v>226</v>
      </c>
      <c r="D51" s="1484" t="s">
        <v>227</v>
      </c>
      <c r="E51" s="2380"/>
      <c r="F51" s="2380"/>
      <c r="G51" s="2380"/>
      <c r="H51" s="2380"/>
      <c r="I51" s="2407"/>
      <c r="J51" s="2407"/>
      <c r="K51" s="2377" t="str">
        <f>S48&amp;".1"</f>
        <v>....1</v>
      </c>
      <c r="L51" s="1485"/>
      <c r="P51" s="2378"/>
      <c r="Q51" s="2378"/>
      <c r="R51" s="478">
        <v>1</v>
      </c>
      <c r="S51" s="2462" t="str">
        <f>$K51</f>
        <v>....1</v>
      </c>
      <c r="T51" s="2465"/>
      <c r="U51" s="421"/>
      <c r="V51" s="872"/>
      <c r="W51" s="1378"/>
      <c r="X51" s="1855"/>
      <c r="Y51" s="1580" t="s">
        <v>66</v>
      </c>
      <c r="Z51" s="1855"/>
      <c r="AA51" s="1580" t="s">
        <v>66</v>
      </c>
      <c r="AB51" s="2228" t="s">
        <v>19</v>
      </c>
      <c r="AC51" s="2447"/>
      <c r="AD51" s="2326">
        <v>1</v>
      </c>
      <c r="AE51" s="2469" t="s">
        <v>28</v>
      </c>
      <c r="AF51" s="2228" t="s">
        <v>19</v>
      </c>
      <c r="AG51" s="2447"/>
      <c r="AH51" s="2326">
        <v>1</v>
      </c>
      <c r="AI51" s="2469" t="s">
        <v>28</v>
      </c>
      <c r="AJ51" s="2228" t="s">
        <v>19</v>
      </c>
      <c r="AK51" s="432"/>
      <c r="AL51" s="1458">
        <v>1</v>
      </c>
      <c r="AM51" s="1523"/>
      <c r="AN51" s="872"/>
      <c r="AO51" s="1378"/>
      <c r="AP51" s="1855"/>
      <c r="AQ51" s="1580" t="s">
        <v>66</v>
      </c>
      <c r="AR51" s="1855"/>
      <c r="AS51" s="1580" t="s">
        <v>66</v>
      </c>
      <c r="AT51" s="1469"/>
      <c r="AU51" s="2374" t="s">
        <v>502</v>
      </c>
      <c r="AV51" s="632">
        <f>STRCHECKDATE(V54:AT54)</f>
      </c>
      <c r="AW51" s="621"/>
      <c r="AX51" s="621" t="str">
        <f>IF(T51="","",T51)</f>
        <v/>
      </c>
      <c r="AY51" s="621"/>
      <c r="AZ51" s="621"/>
      <c r="BA51" s="1276">
        <v>21</v>
      </c>
    </row>
    <row customHeight="1" ht="11.549999999999999">
      <c r="A52" s="1484" t="s">
        <v>224</v>
      </c>
      <c r="B52" s="1484"/>
      <c r="C52" s="1484"/>
      <c r="D52" s="1484"/>
      <c r="E52" s="2380"/>
      <c r="F52" s="2380"/>
      <c r="G52" s="2380"/>
      <c r="H52" s="2380"/>
      <c r="I52" s="2407"/>
      <c r="J52" s="2407"/>
      <c r="K52" s="2377"/>
      <c r="L52" s="1485"/>
      <c r="P52" s="2378"/>
      <c r="Q52" s="2378"/>
      <c r="R52" s="478"/>
      <c r="S52" s="2463"/>
      <c r="T52" s="2466"/>
      <c r="U52" s="421"/>
      <c r="V52" s="1514"/>
      <c r="W52" s="1617"/>
      <c r="X52" s="1514"/>
      <c r="Y52" s="1514"/>
      <c r="Z52" s="1514"/>
      <c r="AA52" s="1514"/>
      <c r="AB52" s="2228"/>
      <c r="AC52" s="2447"/>
      <c r="AD52" s="2326"/>
      <c r="AE52" s="2469"/>
      <c r="AF52" s="2228"/>
      <c r="AG52" s="2447"/>
      <c r="AH52" s="2326"/>
      <c r="AI52" s="2469"/>
      <c r="AJ52" s="2228"/>
      <c r="AK52" s="437"/>
      <c r="AL52" s="537"/>
      <c r="AM52" s="536" t="s">
        <v>487</v>
      </c>
      <c r="AN52" s="1514"/>
      <c r="AO52" s="1617"/>
      <c r="AP52" s="1514"/>
      <c r="AQ52" s="1514"/>
      <c r="AR52" s="1514"/>
      <c r="AS52" s="1514"/>
      <c r="AT52" s="1511"/>
      <c r="AU52" s="2375"/>
      <c r="AW52" s="621"/>
      <c r="AX52" s="621"/>
      <c r="AY52" s="621"/>
      <c r="AZ52" s="621"/>
      <c r="BA52" s="1276">
        <v>11</v>
      </c>
    </row>
    <row customHeight="1" ht="11.549999999999999">
      <c r="A53" s="1484" t="s">
        <v>224</v>
      </c>
      <c r="B53" s="1484"/>
      <c r="C53" s="1484"/>
      <c r="D53" s="1484"/>
      <c r="E53" s="2380"/>
      <c r="F53" s="2380"/>
      <c r="G53" s="2380"/>
      <c r="H53" s="2380"/>
      <c r="I53" s="2407"/>
      <c r="J53" s="2407"/>
      <c r="K53" s="2377"/>
      <c r="L53" s="1485"/>
      <c r="P53" s="2378"/>
      <c r="Q53" s="2378"/>
      <c r="R53" s="478"/>
      <c r="S53" s="2463"/>
      <c r="T53" s="2466"/>
      <c r="U53" s="421"/>
      <c r="V53" s="1514"/>
      <c r="W53" s="1617"/>
      <c r="X53" s="1514"/>
      <c r="Y53" s="1514"/>
      <c r="Z53" s="1514"/>
      <c r="AA53" s="1514"/>
      <c r="AB53" s="2228"/>
      <c r="AC53" s="2447"/>
      <c r="AD53" s="2326"/>
      <c r="AE53" s="2469"/>
      <c r="AF53" s="2228"/>
      <c r="AG53" s="415"/>
      <c r="AH53" s="536"/>
      <c r="AI53" s="536" t="s">
        <v>488</v>
      </c>
      <c r="AJ53" s="1514"/>
      <c r="AK53" s="1514"/>
      <c r="AL53" s="1514"/>
      <c r="AM53" s="1514"/>
      <c r="AN53" s="1514"/>
      <c r="AO53" s="1617"/>
      <c r="AP53" s="1514"/>
      <c r="AQ53" s="1514"/>
      <c r="AR53" s="1514"/>
      <c r="AS53" s="1514"/>
      <c r="AT53" s="1511"/>
      <c r="AU53" s="2375"/>
      <c r="AW53" s="621"/>
      <c r="AX53" s="621"/>
      <c r="AY53" s="621"/>
      <c r="AZ53" s="621"/>
      <c r="BA53" s="1276">
        <v>11</v>
      </c>
    </row>
    <row customHeight="1" ht="11.549999999999999">
      <c r="A54" s="1484" t="s">
        <v>224</v>
      </c>
      <c r="B54" s="1484" t="s">
        <v>225</v>
      </c>
      <c r="C54" s="1484" t="s">
        <v>226</v>
      </c>
      <c r="D54" s="1484" t="s">
        <v>227</v>
      </c>
      <c r="E54" s="2380"/>
      <c r="F54" s="2380"/>
      <c r="G54" s="2380"/>
      <c r="H54" s="2380"/>
      <c r="I54" s="2407"/>
      <c r="J54" s="2407"/>
      <c r="K54" s="2377"/>
      <c r="L54" s="1485"/>
      <c r="P54" s="2378"/>
      <c r="Q54" s="2378"/>
      <c r="R54" s="478"/>
      <c r="S54" s="2464"/>
      <c r="T54" s="2467"/>
      <c r="U54" s="421"/>
      <c r="V54" s="1514"/>
      <c r="W54" s="1515" t="str">
        <f>X51&amp;"-"&amp;Z51</f>
        <v>-</v>
      </c>
      <c r="X54" s="1514"/>
      <c r="Y54" s="1514"/>
      <c r="Z54" s="1514"/>
      <c r="AA54" s="1514"/>
      <c r="AB54" s="2228"/>
      <c r="AC54" s="433"/>
      <c r="AD54" s="435"/>
      <c r="AE54" s="536" t="s">
        <v>489</v>
      </c>
      <c r="AF54" s="1514"/>
      <c r="AG54" s="1514"/>
      <c r="AH54" s="1514"/>
      <c r="AI54" s="1514"/>
      <c r="AJ54" s="1514"/>
      <c r="AK54" s="1514"/>
      <c r="AL54" s="1514"/>
      <c r="AM54" s="1514"/>
      <c r="AN54" s="1514"/>
      <c r="AO54" s="1515" t="str">
        <f>AP51&amp;"-"&amp;AR51</f>
        <v>-</v>
      </c>
      <c r="AP54" s="1514"/>
      <c r="AQ54" s="1514"/>
      <c r="AR54" s="1514"/>
      <c r="AS54" s="1514"/>
      <c r="AT54" s="1470"/>
      <c r="AU54" s="2375"/>
      <c r="AW54" s="621"/>
      <c r="AX54" s="621" t="str">
        <f>IF(T54="","",T54)</f>
        <v/>
      </c>
      <c r="AY54" s="621"/>
      <c r="AZ54" s="621"/>
      <c r="BA54" s="1276">
        <v>11</v>
      </c>
    </row>
    <row customHeight="1" ht="11.549999999999999">
      <c r="A55" s="1484" t="s">
        <v>224</v>
      </c>
      <c r="B55" s="1484" t="s">
        <v>225</v>
      </c>
      <c r="C55" s="1484" t="s">
        <v>226</v>
      </c>
      <c r="D55" s="1484" t="s">
        <v>227</v>
      </c>
      <c r="E55" s="2380"/>
      <c r="F55" s="2380"/>
      <c r="G55" s="2380"/>
      <c r="H55" s="2380"/>
      <c r="I55" s="2407"/>
      <c r="J55" s="2377"/>
      <c r="K55" s="1484"/>
      <c r="L55" s="1485"/>
      <c r="P55" s="2378"/>
      <c r="Q55" s="2378"/>
      <c r="R55" s="477"/>
      <c r="S55" s="1399"/>
      <c r="T55" s="408" t="s">
        <v>490</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76"/>
      <c r="AW55" s="621"/>
      <c r="AX55" s="621" t="str">
        <f>IF(T55="","",T55)</f>
        <v>Добавить строку</v>
      </c>
      <c r="AY55" s="621"/>
      <c r="AZ55" s="621"/>
      <c r="BA55" s="1276">
        <v>11</v>
      </c>
    </row>
    <row s="7217" customFormat="1" customHeight="1" ht="1.05">
      <c r="A56" s="1464" t="s">
        <v>224</v>
      </c>
      <c r="B56" s="1464" t="s">
        <v>225</v>
      </c>
      <c r="C56" s="1464" t="s">
        <v>226</v>
      </c>
      <c r="D56" s="1464" t="s">
        <v>227</v>
      </c>
      <c r="E56" s="2380"/>
      <c r="F56" s="2380"/>
      <c r="G56" s="2380"/>
      <c r="H56" s="2380"/>
      <c r="I56" s="2377"/>
      <c r="J56" s="1464"/>
      <c r="K56" s="1464"/>
      <c r="L56" s="1467"/>
      <c r="M56" s="631"/>
      <c r="N56" s="631"/>
      <c r="O56" s="631"/>
      <c r="P56" s="2378"/>
      <c r="Q56" s="1452"/>
      <c r="R56" s="477"/>
      <c r="S56" s="1507"/>
      <c r="T56" s="1508" t="s">
        <v>436</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812" customFormat="1" customHeight="1" ht="1.05">
      <c r="A57" s="1464" t="s">
        <v>224</v>
      </c>
      <c r="B57" s="1464" t="s">
        <v>225</v>
      </c>
      <c r="C57" s="1464" t="s">
        <v>226</v>
      </c>
      <c r="D57" s="1464" t="s">
        <v>227</v>
      </c>
      <c r="E57" s="2380"/>
      <c r="F57" s="2380"/>
      <c r="G57" s="2380"/>
      <c r="H57" s="2379"/>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7217" customFormat="1" customHeight="1" ht="1.05">
      <c r="A58" s="1464" t="s">
        <v>224</v>
      </c>
      <c r="B58" s="1464" t="s">
        <v>225</v>
      </c>
      <c r="C58" s="1464" t="s">
        <v>226</v>
      </c>
      <c r="D58" s="1435"/>
      <c r="E58" s="2380"/>
      <c r="F58" s="2380"/>
      <c r="G58" s="2379"/>
      <c r="H58" s="1435"/>
      <c r="I58" s="1435"/>
      <c r="J58" s="1435"/>
      <c r="K58" s="1435"/>
      <c r="L58" s="1460"/>
      <c r="M58" s="1436"/>
      <c r="N58" s="1436"/>
      <c r="P58" s="1437"/>
      <c r="Q58" s="1438"/>
      <c r="R58" s="1437"/>
      <c r="S58" s="1443"/>
      <c r="T58" s="1446" t="s">
        <v>175</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7217" customFormat="1" customHeight="1" ht="1.05">
      <c r="A59" s="1464" t="s">
        <v>224</v>
      </c>
      <c r="B59" s="1464" t="s">
        <v>225</v>
      </c>
      <c r="C59" s="1435"/>
      <c r="D59" s="1435"/>
      <c r="E59" s="2380"/>
      <c r="F59" s="2379"/>
      <c r="G59" s="1435"/>
      <c r="H59" s="1435"/>
      <c r="I59" s="1435"/>
      <c r="J59" s="1435"/>
      <c r="K59" s="1435"/>
      <c r="L59" s="1460"/>
      <c r="M59" s="1442"/>
      <c r="N59" s="1442"/>
      <c r="P59" s="1437"/>
      <c r="Q59" s="1438"/>
      <c r="R59" s="1437"/>
      <c r="S59" s="1443"/>
      <c r="T59" s="1446" t="s">
        <v>176</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7217" customFormat="1" customHeight="1" ht="1.05">
      <c r="A60" s="1464" t="s">
        <v>224</v>
      </c>
      <c r="B60" s="1464"/>
      <c r="C60" s="1464"/>
      <c r="D60" s="1464"/>
      <c r="E60" s="2380"/>
      <c r="F60" s="1464"/>
      <c r="G60" s="1464"/>
      <c r="H60" s="1464"/>
      <c r="I60" s="1464"/>
      <c r="J60" s="1464"/>
      <c r="K60" s="1464"/>
      <c r="L60" s="1467"/>
      <c r="M60" s="1442"/>
      <c r="N60" s="1442"/>
      <c r="O60" s="639"/>
      <c r="P60" s="501"/>
      <c r="Q60" s="1465"/>
      <c r="R60" s="501"/>
      <c r="S60" s="1443"/>
      <c r="T60" s="1446" t="s">
        <v>177</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7217" customFormat="1" customHeight="1" ht="1.05">
      <c r="A61" s="1464" t="s">
        <v>224</v>
      </c>
      <c r="B61" s="1464"/>
      <c r="C61" s="1464"/>
      <c r="D61" s="1464"/>
      <c r="E61" s="2379"/>
      <c r="F61" s="1464"/>
      <c r="G61" s="1464"/>
      <c r="H61" s="1464"/>
      <c r="I61" s="1464"/>
      <c r="J61" s="1464"/>
      <c r="K61" s="1464"/>
      <c r="L61" s="1467"/>
      <c r="M61" s="1442"/>
      <c r="N61" s="1442"/>
      <c r="O61" s="639"/>
      <c r="P61" s="501"/>
      <c r="Q61" s="1465"/>
      <c r="R61" s="501"/>
      <c r="S61" s="1443"/>
      <c r="T61" s="1446" t="s">
        <v>177</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7217"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183</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276">
        <v>19</v>
      </c>
    </row>
    <row customHeight="1" ht="21">
      <c r="O65" s="658"/>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276">
        <v>19</v>
      </c>
    </row>
    <row customHeight="1" ht="16.8">
      <c r="O68" s="658"/>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276">
        <v>16</v>
      </c>
    </row>
    <row customHeight="1" ht="14.699999999999998">
      <c r="O69" s="658"/>
      <c r="BA69" s="1276">
        <v>14</v>
      </c>
    </row>
    <row customHeight="1" ht="22.5" hidden="1">
      <c r="A70" s="1281" t="s">
        <v>82</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93653-8E7D-6D02-63CE-0.485A99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46">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44"/>
      <c r="Q3" s="473"/>
      <c r="R3" s="474"/>
      <c r="S3" s="1546">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46">
        <f>INDEX(PT_DIFFERENTIATION_NUM_CS,MATCH(C4,PT_DIFFERENTIATION_CS_ID,0))</f>
      </c>
      <c r="T4" s="430" t="s">
        <v>503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504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43"/>
      <c r="R5" s="477"/>
      <c r="S5" s="1546">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546">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46">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45"/>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43"/>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547"/>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42"/>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42"/>
      <c r="M19" s="1483"/>
      <c r="N19" s="1483"/>
      <c r="O19" s="1483"/>
      <c r="P19" s="1483"/>
      <c r="Q19" s="1492"/>
      <c r="R19" s="1492"/>
      <c r="S19" s="850"/>
      <c r="AB19" s="1487"/>
      <c r="AI19" s="1487"/>
      <c r="AL19" s="632"/>
      <c r="AM19" s="632"/>
      <c r="AN19" s="632"/>
      <c r="AO19" s="632"/>
      <c r="AP19" s="632"/>
      <c r="AQ19" s="1281">
        <v>0</v>
      </c>
    </row>
    <row s="7669" customFormat="1" customHeight="1" ht="12" hidden="1">
      <c r="L20" s="1542"/>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473" t="s">
        <v>511</v>
      </c>
      <c r="W38" s="2383" t="s">
        <v>456</v>
      </c>
      <c r="X38" s="2384"/>
      <c r="Y38" s="2383" t="s">
        <v>457</v>
      </c>
      <c r="Z38" s="2390"/>
      <c r="AA38" s="2384"/>
      <c r="AB38" s="2399"/>
      <c r="AC38" s="1473" t="s">
        <v>511</v>
      </c>
      <c r="AD38" s="2383" t="s">
        <v>456</v>
      </c>
      <c r="AE38" s="2384"/>
      <c r="AF38" s="2383" t="s">
        <v>457</v>
      </c>
      <c r="AG38" s="2390"/>
      <c r="AH38" s="2384"/>
      <c r="AI38" s="2399"/>
      <c r="AJ38" s="2402"/>
      <c r="AK38" s="2248"/>
      <c r="AQ38" s="1276">
        <v>34</v>
      </c>
    </row>
    <row customHeight="1" ht="35.699999999999996">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473" t="s">
        <v>514</v>
      </c>
      <c r="W39" s="1343" t="s">
        <v>515</v>
      </c>
      <c r="X39" s="1343" t="s">
        <v>516</v>
      </c>
      <c r="Y39" s="1478" t="s">
        <v>467</v>
      </c>
      <c r="Z39" s="2391" t="s">
        <v>468</v>
      </c>
      <c r="AA39" s="2392"/>
      <c r="AB39" s="2400"/>
      <c r="AC39" s="1473" t="s">
        <v>514</v>
      </c>
      <c r="AD39" s="1343" t="s">
        <v>515</v>
      </c>
      <c r="AE39" s="1343" t="s">
        <v>516</v>
      </c>
      <c r="AF39" s="1478" t="s">
        <v>467</v>
      </c>
      <c r="AG39" s="2391" t="s">
        <v>468</v>
      </c>
      <c r="AH39" s="2392"/>
      <c r="AI39" s="2400"/>
      <c r="AJ39" s="2403"/>
      <c r="AK39" s="2248"/>
      <c r="AQ39" s="1276">
        <v>34</v>
      </c>
    </row>
    <row s="6812"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474">
        <f>OFFSET(V40,0,-1)+1</f>
        <v>3</v>
      </c>
      <c r="W40" s="1474">
        <f>OFFSET(W40,0,-1)+1</f>
        <v>4</v>
      </c>
      <c r="X40" s="1474">
        <f>OFFSET(X40,0,-1)+1</f>
        <v>5</v>
      </c>
      <c r="Y40" s="1474">
        <f>OFFSET(Y40,0,-1)+1</f>
        <v>6</v>
      </c>
      <c r="Z40" s="2393">
        <f>OFFSET(Z40,0,-1)+1</f>
        <v>7</v>
      </c>
      <c r="AA40" s="2393"/>
      <c r="AB40" s="1474">
        <f>OFFSET(AB40,0,-2)+1</f>
        <v>8</v>
      </c>
      <c r="AC40" s="1474">
        <f>OFFSET(AC40,0,-1)+1</f>
        <v>9</v>
      </c>
      <c r="AD40" s="1474">
        <f>OFFSET(AD40,0,-1)+1</f>
        <v>10</v>
      </c>
      <c r="AE40" s="1474">
        <f>OFFSET(AE40,0,-1)+1</f>
        <v>11</v>
      </c>
      <c r="AF40" s="1474">
        <f>OFFSET(AF40,0,-1)+1</f>
        <v>12</v>
      </c>
      <c r="AG40" s="2393">
        <f>OFFSET(AG40,0,-1)+1</f>
        <v>13</v>
      </c>
      <c r="AH40" s="2393"/>
      <c r="AI40" s="1474">
        <f>OFFSET(AI40,0,-2)+1</f>
        <v>14</v>
      </c>
      <c r="AJ40" s="1366">
        <f>OFFSET(AJ40,0,-1)</f>
        <v>14</v>
      </c>
      <c r="AK40" s="1474">
        <f>OFFSET(AK40,0,-1)+1</f>
        <v>15</v>
      </c>
      <c r="AL40" s="632"/>
      <c r="AM40" s="632"/>
      <c r="AN40" s="632"/>
      <c r="AO40" s="632"/>
      <c r="AP40" s="632"/>
      <c r="AQ40" s="617">
        <v>0</v>
      </c>
    </row>
    <row customHeight="1" ht="24">
      <c r="A41" s="1484" t="s">
        <v>250</v>
      </c>
      <c r="B41" s="1484"/>
      <c r="C41" s="1484"/>
      <c r="D41" s="1484"/>
      <c r="E41" s="2379">
        <v>1</v>
      </c>
      <c r="F41" s="1484"/>
      <c r="G41" s="1484"/>
      <c r="H41" s="1484"/>
      <c r="I41" s="1484"/>
      <c r="J41" s="1484"/>
      <c r="K41" s="1484"/>
      <c r="L41" s="1485"/>
      <c r="M41" s="1486"/>
      <c r="N41" s="1486"/>
      <c r="O41" s="1486"/>
      <c r="P41" s="482"/>
      <c r="Q41" s="481"/>
      <c r="R41" s="476"/>
      <c r="S41" s="1479">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250</v>
      </c>
      <c r="B42" s="1484" t="s">
        <v>251</v>
      </c>
      <c r="C42" s="1484"/>
      <c r="D42" s="1484"/>
      <c r="E42" s="2380"/>
      <c r="F42" s="2379">
        <v>1</v>
      </c>
      <c r="G42" s="1484"/>
      <c r="H42" s="1484"/>
      <c r="I42" s="1484"/>
      <c r="J42" s="1484"/>
      <c r="K42" s="1484"/>
      <c r="L42" s="1485"/>
      <c r="M42" s="1486"/>
      <c r="N42" s="1486"/>
      <c r="O42" s="1486"/>
      <c r="P42" s="1477"/>
      <c r="Q42" s="473"/>
      <c r="R42" s="474"/>
      <c r="S42" s="1479"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250</v>
      </c>
      <c r="B43" s="1484" t="s">
        <v>251</v>
      </c>
      <c r="C43" s="1484" t="s">
        <v>252</v>
      </c>
      <c r="D43" s="1484"/>
      <c r="E43" s="2380"/>
      <c r="F43" s="2380"/>
      <c r="G43" s="2379">
        <v>1</v>
      </c>
      <c r="H43" s="1484"/>
      <c r="I43" s="1484"/>
      <c r="J43" s="1484"/>
      <c r="K43" s="1484"/>
      <c r="L43" s="1485"/>
      <c r="M43" s="1486"/>
      <c r="N43" s="1486"/>
      <c r="O43" s="1486"/>
      <c r="P43" s="475"/>
      <c r="Q43" s="473"/>
      <c r="R43" s="474"/>
      <c r="S43" s="1479" t="str">
        <f>INDEX(PT_DIFFERENTIATION_NUM_CS,MATCH(C43,PT_DIFFERENTIATION_CS_ID,0))</f>
        <v>..</v>
      </c>
      <c r="T43" s="430" t="s">
        <v>503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504</v>
      </c>
      <c r="AM43" s="621"/>
      <c r="AN43" s="621" t="str">
        <f>IF(T43="","",T43)</f>
        <v>Наименование централизованной системы холодного водоснабжения</v>
      </c>
      <c r="AO43" s="621"/>
      <c r="AP43" s="621"/>
      <c r="AQ43" s="1276">
        <v>23</v>
      </c>
    </row>
    <row customHeight="1" ht="24">
      <c r="A44" s="1484" t="s">
        <v>250</v>
      </c>
      <c r="B44" s="1484" t="s">
        <v>251</v>
      </c>
      <c r="C44" s="1484" t="s">
        <v>252</v>
      </c>
      <c r="D44" s="1484" t="s">
        <v>517</v>
      </c>
      <c r="E44" s="2380"/>
      <c r="F44" s="2380"/>
      <c r="G44" s="2380"/>
      <c r="H44" s="2380"/>
      <c r="I44" s="2377" t="str">
        <f>S43&amp;".1"</f>
        <v>...1</v>
      </c>
      <c r="J44" s="1484"/>
      <c r="K44" s="1484"/>
      <c r="L44" s="1485"/>
      <c r="P44" s="2378">
        <v>1</v>
      </c>
      <c r="Q44" s="1475"/>
      <c r="R44" s="477"/>
      <c r="S44" s="1479"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250</v>
      </c>
      <c r="B45" s="1484" t="s">
        <v>251</v>
      </c>
      <c r="C45" s="1484" t="s">
        <v>252</v>
      </c>
      <c r="D45" s="1484" t="s">
        <v>517</v>
      </c>
      <c r="E45" s="2380"/>
      <c r="F45" s="2380"/>
      <c r="G45" s="2380"/>
      <c r="H45" s="2380"/>
      <c r="I45" s="2407"/>
      <c r="J45" s="2377" t="str">
        <f>I44&amp;".1"</f>
        <v>...1.1</v>
      </c>
      <c r="K45" s="1484"/>
      <c r="L45" s="1485" t="s">
        <v>430</v>
      </c>
      <c r="P45" s="2378"/>
      <c r="Q45" s="2378">
        <v>1</v>
      </c>
      <c r="R45" s="478"/>
      <c r="S45" s="1479"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250</v>
      </c>
      <c r="B46" s="1484" t="s">
        <v>251</v>
      </c>
      <c r="C46" s="1484" t="s">
        <v>252</v>
      </c>
      <c r="D46" s="1484" t="s">
        <v>517</v>
      </c>
      <c r="E46" s="2380"/>
      <c r="F46" s="2380"/>
      <c r="G46" s="2380"/>
      <c r="H46" s="2380"/>
      <c r="I46" s="2407"/>
      <c r="J46" s="2407"/>
      <c r="K46" s="2377" t="str">
        <f>J45&amp;".1"</f>
        <v>...1.1.1</v>
      </c>
      <c r="L46" s="1485"/>
      <c r="P46" s="2378"/>
      <c r="Q46" s="2378"/>
      <c r="R46" s="478">
        <v>1</v>
      </c>
      <c r="S46" s="1479"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250</v>
      </c>
      <c r="B47" s="1484" t="s">
        <v>251</v>
      </c>
      <c r="C47" s="1484" t="s">
        <v>252</v>
      </c>
      <c r="D47" s="1484" t="s">
        <v>517</v>
      </c>
      <c r="E47" s="2380"/>
      <c r="F47" s="2380"/>
      <c r="G47" s="2380"/>
      <c r="H47" s="2380"/>
      <c r="I47" s="2407"/>
      <c r="J47" s="2407"/>
      <c r="K47" s="2377"/>
      <c r="L47" s="1485"/>
      <c r="P47" s="2378"/>
      <c r="Q47" s="2378"/>
      <c r="R47" s="478"/>
      <c r="S47" s="1480"/>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250</v>
      </c>
      <c r="B48" s="1484" t="s">
        <v>251</v>
      </c>
      <c r="C48" s="1484" t="s">
        <v>252</v>
      </c>
      <c r="D48" s="1484" t="s">
        <v>517</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250</v>
      </c>
      <c r="B49" s="1484" t="s">
        <v>251</v>
      </c>
      <c r="C49" s="1484" t="s">
        <v>252</v>
      </c>
      <c r="D49" s="1484" t="s">
        <v>517</v>
      </c>
      <c r="E49" s="2380"/>
      <c r="F49" s="2380"/>
      <c r="G49" s="2380"/>
      <c r="H49" s="2380"/>
      <c r="I49" s="2377"/>
      <c r="J49" s="1484"/>
      <c r="K49" s="1484"/>
      <c r="L49" s="1485"/>
      <c r="P49" s="2378"/>
      <c r="Q49" s="1475"/>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250</v>
      </c>
      <c r="B50" s="1484" t="s">
        <v>251</v>
      </c>
      <c r="C50" s="1484" t="s">
        <v>252</v>
      </c>
      <c r="D50" s="1484" t="s">
        <v>517</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250</v>
      </c>
      <c r="B51" s="1464" t="s">
        <v>251</v>
      </c>
      <c r="C51" s="1435"/>
      <c r="D51" s="1435"/>
      <c r="E51" s="2380"/>
      <c r="F51" s="2379"/>
      <c r="G51" s="1435"/>
      <c r="H51" s="1435"/>
      <c r="I51" s="1435"/>
      <c r="J51" s="1435"/>
      <c r="K51" s="1435"/>
      <c r="L51" s="1547"/>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250</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CEC0F-1CE5-DD54-3C53-0.103146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503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504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578">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68"/>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68"/>
      <c r="M19" s="1483"/>
      <c r="N19" s="1483"/>
      <c r="O19" s="1483"/>
      <c r="P19" s="1483"/>
      <c r="Q19" s="1492"/>
      <c r="R19" s="1492"/>
      <c r="S19" s="850"/>
      <c r="AB19" s="1487"/>
      <c r="AI19" s="1487"/>
      <c r="AL19" s="632"/>
      <c r="AM19" s="632"/>
      <c r="AN19" s="632"/>
      <c r="AO19" s="632"/>
      <c r="AP19" s="632"/>
      <c r="AQ19" s="1281">
        <v>0</v>
      </c>
    </row>
    <row s="7669" customFormat="1" customHeight="1" ht="12" hidden="1">
      <c r="L20" s="1568"/>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573" t="s">
        <v>511</v>
      </c>
      <c r="W38" s="2383" t="s">
        <v>456</v>
      </c>
      <c r="X38" s="2384"/>
      <c r="Y38" s="2383" t="s">
        <v>457</v>
      </c>
      <c r="Z38" s="2390"/>
      <c r="AA38" s="2384"/>
      <c r="AB38" s="2399"/>
      <c r="AC38" s="1573" t="s">
        <v>511</v>
      </c>
      <c r="AD38" s="2383" t="s">
        <v>456</v>
      </c>
      <c r="AE38" s="2384"/>
      <c r="AF38" s="2383" t="s">
        <v>457</v>
      </c>
      <c r="AG38" s="2390"/>
      <c r="AH38" s="2384"/>
      <c r="AI38" s="2399"/>
      <c r="AJ38" s="2402"/>
      <c r="AK38" s="2248"/>
      <c r="AQ38" s="1276">
        <v>34</v>
      </c>
    </row>
    <row customHeight="1" ht="35.699999999999996">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573" t="s">
        <v>514</v>
      </c>
      <c r="W39" s="1343" t="s">
        <v>515</v>
      </c>
      <c r="X39" s="1343" t="s">
        <v>516</v>
      </c>
      <c r="Y39" s="1576" t="s">
        <v>467</v>
      </c>
      <c r="Z39" s="2391" t="s">
        <v>468</v>
      </c>
      <c r="AA39" s="2392"/>
      <c r="AB39" s="2400"/>
      <c r="AC39" s="1573" t="s">
        <v>514</v>
      </c>
      <c r="AD39" s="1343" t="s">
        <v>515</v>
      </c>
      <c r="AE39" s="1343" t="s">
        <v>516</v>
      </c>
      <c r="AF39" s="1576" t="s">
        <v>467</v>
      </c>
      <c r="AG39" s="2391" t="s">
        <v>468</v>
      </c>
      <c r="AH39" s="2392"/>
      <c r="AI39" s="2400"/>
      <c r="AJ39" s="2403"/>
      <c r="AK39" s="2248"/>
      <c r="AQ39" s="1276">
        <v>34</v>
      </c>
    </row>
    <row s="681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255</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255</v>
      </c>
      <c r="B42" s="1484" t="s">
        <v>256</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255</v>
      </c>
      <c r="B43" s="1484" t="s">
        <v>256</v>
      </c>
      <c r="C43" s="1484" t="s">
        <v>257</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503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504</v>
      </c>
      <c r="AM43" s="621"/>
      <c r="AN43" s="621" t="str">
        <f>IF(T43="","",T43)</f>
        <v>Наименование централизованной системы холодного водоснабжения</v>
      </c>
      <c r="AO43" s="621"/>
      <c r="AP43" s="621"/>
      <c r="AQ43" s="1276">
        <v>23</v>
      </c>
    </row>
    <row customHeight="1" ht="24">
      <c r="A44" s="1484" t="s">
        <v>255</v>
      </c>
      <c r="B44" s="1484" t="s">
        <v>256</v>
      </c>
      <c r="C44" s="1484" t="s">
        <v>257</v>
      </c>
      <c r="D44" s="1484" t="s">
        <v>518</v>
      </c>
      <c r="E44" s="2380"/>
      <c r="F44" s="2380"/>
      <c r="G44" s="2380"/>
      <c r="H44" s="2380"/>
      <c r="I44" s="2377" t="str">
        <f>S43&amp;".1"</f>
        <v>...1</v>
      </c>
      <c r="J44" s="1484"/>
      <c r="K44" s="1484"/>
      <c r="L44" s="1485"/>
      <c r="P44" s="2378">
        <v>1</v>
      </c>
      <c r="Q44" s="1571"/>
      <c r="R44" s="477"/>
      <c r="S44" s="1578"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255</v>
      </c>
      <c r="B45" s="1484" t="s">
        <v>256</v>
      </c>
      <c r="C45" s="1484" t="s">
        <v>257</v>
      </c>
      <c r="D45" s="1484" t="s">
        <v>518</v>
      </c>
      <c r="E45" s="2380"/>
      <c r="F45" s="2380"/>
      <c r="G45" s="2380"/>
      <c r="H45" s="2380"/>
      <c r="I45" s="2407"/>
      <c r="J45" s="2377" t="str">
        <f>I44&amp;".1"</f>
        <v>...1.1</v>
      </c>
      <c r="K45" s="1484"/>
      <c r="L45" s="1485" t="s">
        <v>430</v>
      </c>
      <c r="P45" s="2378"/>
      <c r="Q45" s="2378">
        <v>1</v>
      </c>
      <c r="R45" s="478"/>
      <c r="S45" s="1578"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255</v>
      </c>
      <c r="B46" s="1484" t="s">
        <v>256</v>
      </c>
      <c r="C46" s="1484" t="s">
        <v>257</v>
      </c>
      <c r="D46" s="1484" t="s">
        <v>518</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255</v>
      </c>
      <c r="B47" s="1484" t="s">
        <v>256</v>
      </c>
      <c r="C47" s="1484" t="s">
        <v>257</v>
      </c>
      <c r="D47" s="1484" t="s">
        <v>518</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255</v>
      </c>
      <c r="B48" s="1484" t="s">
        <v>256</v>
      </c>
      <c r="C48" s="1484" t="s">
        <v>257</v>
      </c>
      <c r="D48" s="1484" t="s">
        <v>518</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255</v>
      </c>
      <c r="B49" s="1484" t="s">
        <v>256</v>
      </c>
      <c r="C49" s="1484" t="s">
        <v>257</v>
      </c>
      <c r="D49" s="1484" t="s">
        <v>518</v>
      </c>
      <c r="E49" s="2380"/>
      <c r="F49" s="2380"/>
      <c r="G49" s="2380"/>
      <c r="H49" s="2380"/>
      <c r="I49" s="2377"/>
      <c r="J49" s="1484"/>
      <c r="K49" s="1484"/>
      <c r="L49" s="1485"/>
      <c r="P49" s="2378"/>
      <c r="Q49" s="1571"/>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255</v>
      </c>
      <c r="B50" s="1484" t="s">
        <v>256</v>
      </c>
      <c r="C50" s="1484" t="s">
        <v>257</v>
      </c>
      <c r="D50" s="1484" t="s">
        <v>518</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255</v>
      </c>
      <c r="B51" s="1464" t="s">
        <v>256</v>
      </c>
      <c r="C51" s="1435"/>
      <c r="D51" s="1435"/>
      <c r="E51" s="2380"/>
      <c r="F51" s="2379"/>
      <c r="G51" s="1435"/>
      <c r="H51" s="1435"/>
      <c r="I51" s="1435"/>
      <c r="J51" s="1435"/>
      <c r="K51" s="1435"/>
      <c r="L51" s="1579"/>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255</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8B237-9EFA-5558-A855-0.7D836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503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504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578">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68"/>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68"/>
      <c r="M19" s="1483"/>
      <c r="N19" s="1483"/>
      <c r="O19" s="1483"/>
      <c r="P19" s="1483"/>
      <c r="Q19" s="1492"/>
      <c r="R19" s="1492"/>
      <c r="S19" s="850"/>
      <c r="AB19" s="1487"/>
      <c r="AI19" s="1487"/>
      <c r="AL19" s="632"/>
      <c r="AM19" s="632"/>
      <c r="AN19" s="632"/>
      <c r="AO19" s="632"/>
      <c r="AP19" s="632"/>
      <c r="AQ19" s="1281">
        <v>0</v>
      </c>
    </row>
    <row s="7669" customFormat="1" customHeight="1" ht="12" hidden="1">
      <c r="L20" s="1568"/>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573" t="s">
        <v>511</v>
      </c>
      <c r="W38" s="2383" t="s">
        <v>456</v>
      </c>
      <c r="X38" s="2384"/>
      <c r="Y38" s="2383" t="s">
        <v>457</v>
      </c>
      <c r="Z38" s="2390"/>
      <c r="AA38" s="2384"/>
      <c r="AB38" s="2399"/>
      <c r="AC38" s="1573" t="s">
        <v>511</v>
      </c>
      <c r="AD38" s="2383" t="s">
        <v>456</v>
      </c>
      <c r="AE38" s="2384"/>
      <c r="AF38" s="2383" t="s">
        <v>457</v>
      </c>
      <c r="AG38" s="2390"/>
      <c r="AH38" s="2384"/>
      <c r="AI38" s="2399"/>
      <c r="AJ38" s="2402"/>
      <c r="AK38" s="2248"/>
      <c r="AQ38" s="1276">
        <v>34</v>
      </c>
    </row>
    <row customHeight="1" ht="35.699999999999996">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573" t="s">
        <v>514</v>
      </c>
      <c r="W39" s="1343" t="s">
        <v>515</v>
      </c>
      <c r="X39" s="1343" t="s">
        <v>516</v>
      </c>
      <c r="Y39" s="1576" t="s">
        <v>467</v>
      </c>
      <c r="Z39" s="2391" t="s">
        <v>468</v>
      </c>
      <c r="AA39" s="2392"/>
      <c r="AB39" s="2400"/>
      <c r="AC39" s="1573" t="s">
        <v>514</v>
      </c>
      <c r="AD39" s="1343" t="s">
        <v>515</v>
      </c>
      <c r="AE39" s="1343" t="s">
        <v>516</v>
      </c>
      <c r="AF39" s="1576" t="s">
        <v>467</v>
      </c>
      <c r="AG39" s="2391" t="s">
        <v>468</v>
      </c>
      <c r="AH39" s="2392"/>
      <c r="AI39" s="2400"/>
      <c r="AJ39" s="2403"/>
      <c r="AK39" s="2248"/>
      <c r="AQ39" s="1276">
        <v>34</v>
      </c>
    </row>
    <row s="681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260</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260</v>
      </c>
      <c r="B42" s="1484" t="s">
        <v>261</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260</v>
      </c>
      <c r="B43" s="1484" t="s">
        <v>261</v>
      </c>
      <c r="C43" s="1484" t="s">
        <v>262</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503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504</v>
      </c>
      <c r="AM43" s="621"/>
      <c r="AN43" s="621" t="str">
        <f>IF(T43="","",T43)</f>
        <v>Наименование централизованной системы холодного водоснабжения</v>
      </c>
      <c r="AO43" s="621"/>
      <c r="AP43" s="621"/>
      <c r="AQ43" s="1276">
        <v>23</v>
      </c>
    </row>
    <row customHeight="1" ht="24">
      <c r="A44" s="1484" t="s">
        <v>260</v>
      </c>
      <c r="B44" s="1484" t="s">
        <v>261</v>
      </c>
      <c r="C44" s="1484" t="s">
        <v>262</v>
      </c>
      <c r="D44" s="1484" t="s">
        <v>519</v>
      </c>
      <c r="E44" s="2380"/>
      <c r="F44" s="2380"/>
      <c r="G44" s="2380"/>
      <c r="H44" s="2380"/>
      <c r="I44" s="2377" t="str">
        <f>S43&amp;".1"</f>
        <v>...1</v>
      </c>
      <c r="J44" s="1484"/>
      <c r="K44" s="1484"/>
      <c r="L44" s="1485"/>
      <c r="P44" s="2378">
        <v>1</v>
      </c>
      <c r="Q44" s="1571"/>
      <c r="R44" s="477"/>
      <c r="S44" s="1578"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260</v>
      </c>
      <c r="B45" s="1484" t="s">
        <v>261</v>
      </c>
      <c r="C45" s="1484" t="s">
        <v>262</v>
      </c>
      <c r="D45" s="1484" t="s">
        <v>519</v>
      </c>
      <c r="E45" s="2380"/>
      <c r="F45" s="2380"/>
      <c r="G45" s="2380"/>
      <c r="H45" s="2380"/>
      <c r="I45" s="2407"/>
      <c r="J45" s="2377" t="str">
        <f>I44&amp;".1"</f>
        <v>...1.1</v>
      </c>
      <c r="K45" s="1484"/>
      <c r="L45" s="1485" t="s">
        <v>430</v>
      </c>
      <c r="P45" s="2378"/>
      <c r="Q45" s="2378">
        <v>1</v>
      </c>
      <c r="R45" s="478"/>
      <c r="S45" s="1578"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260</v>
      </c>
      <c r="B46" s="1484" t="s">
        <v>261</v>
      </c>
      <c r="C46" s="1484" t="s">
        <v>262</v>
      </c>
      <c r="D46" s="1484" t="s">
        <v>519</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260</v>
      </c>
      <c r="B47" s="1484" t="s">
        <v>261</v>
      </c>
      <c r="C47" s="1484" t="s">
        <v>262</v>
      </c>
      <c r="D47" s="1484" t="s">
        <v>519</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260</v>
      </c>
      <c r="B48" s="1484" t="s">
        <v>261</v>
      </c>
      <c r="C48" s="1484" t="s">
        <v>262</v>
      </c>
      <c r="D48" s="1484" t="s">
        <v>519</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260</v>
      </c>
      <c r="B49" s="1484" t="s">
        <v>261</v>
      </c>
      <c r="C49" s="1484" t="s">
        <v>262</v>
      </c>
      <c r="D49" s="1484" t="s">
        <v>519</v>
      </c>
      <c r="E49" s="2380"/>
      <c r="F49" s="2380"/>
      <c r="G49" s="2380"/>
      <c r="H49" s="2380"/>
      <c r="I49" s="2377"/>
      <c r="J49" s="1484"/>
      <c r="K49" s="1484"/>
      <c r="L49" s="1485"/>
      <c r="P49" s="2378"/>
      <c r="Q49" s="1571"/>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260</v>
      </c>
      <c r="B50" s="1484" t="s">
        <v>261</v>
      </c>
      <c r="C50" s="1484" t="s">
        <v>262</v>
      </c>
      <c r="D50" s="1484" t="s">
        <v>519</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260</v>
      </c>
      <c r="B51" s="1464" t="s">
        <v>261</v>
      </c>
      <c r="C51" s="1435"/>
      <c r="D51" s="1435"/>
      <c r="E51" s="2380"/>
      <c r="F51" s="2379"/>
      <c r="G51" s="1435"/>
      <c r="H51" s="1435"/>
      <c r="I51" s="1435"/>
      <c r="J51" s="1435"/>
      <c r="K51" s="1435"/>
      <c r="L51" s="1579"/>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260</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C138B-02C8-3927-95C4-0.DAB002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503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504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578">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68"/>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68"/>
      <c r="M19" s="1483"/>
      <c r="N19" s="1483"/>
      <c r="O19" s="1483"/>
      <c r="P19" s="1483"/>
      <c r="Q19" s="1492"/>
      <c r="R19" s="1492"/>
      <c r="S19" s="850"/>
      <c r="AB19" s="1487"/>
      <c r="AI19" s="1487"/>
      <c r="AL19" s="632"/>
      <c r="AM19" s="632"/>
      <c r="AN19" s="632"/>
      <c r="AO19" s="632"/>
      <c r="AP19" s="632"/>
      <c r="AQ19" s="1281">
        <v>0</v>
      </c>
    </row>
    <row s="7669" customFormat="1" customHeight="1" ht="12" hidden="1">
      <c r="L20" s="1568"/>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573" t="s">
        <v>511</v>
      </c>
      <c r="W38" s="2383" t="s">
        <v>456</v>
      </c>
      <c r="X38" s="2384"/>
      <c r="Y38" s="2383" t="s">
        <v>457</v>
      </c>
      <c r="Z38" s="2390"/>
      <c r="AA38" s="2384"/>
      <c r="AB38" s="2399"/>
      <c r="AC38" s="1573" t="s">
        <v>511</v>
      </c>
      <c r="AD38" s="2383" t="s">
        <v>456</v>
      </c>
      <c r="AE38" s="2384"/>
      <c r="AF38" s="2383" t="s">
        <v>457</v>
      </c>
      <c r="AG38" s="2390"/>
      <c r="AH38" s="2384"/>
      <c r="AI38" s="2399"/>
      <c r="AJ38" s="2402"/>
      <c r="AK38" s="2248"/>
      <c r="AQ38" s="1276">
        <v>34</v>
      </c>
    </row>
    <row customHeight="1" ht="35.699999999999996">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573" t="s">
        <v>514</v>
      </c>
      <c r="W39" s="1343" t="s">
        <v>515</v>
      </c>
      <c r="X39" s="1343" t="s">
        <v>516</v>
      </c>
      <c r="Y39" s="1576" t="s">
        <v>467</v>
      </c>
      <c r="Z39" s="2391" t="s">
        <v>468</v>
      </c>
      <c r="AA39" s="2392"/>
      <c r="AB39" s="2400"/>
      <c r="AC39" s="1573" t="s">
        <v>514</v>
      </c>
      <c r="AD39" s="1343" t="s">
        <v>515</v>
      </c>
      <c r="AE39" s="1343" t="s">
        <v>516</v>
      </c>
      <c r="AF39" s="1576" t="s">
        <v>467</v>
      </c>
      <c r="AG39" s="2391" t="s">
        <v>468</v>
      </c>
      <c r="AH39" s="2392"/>
      <c r="AI39" s="2400"/>
      <c r="AJ39" s="2403"/>
      <c r="AK39" s="2248"/>
      <c r="AQ39" s="1276">
        <v>34</v>
      </c>
    </row>
    <row s="681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265</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265</v>
      </c>
      <c r="B42" s="1484" t="s">
        <v>266</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265</v>
      </c>
      <c r="B43" s="1484" t="s">
        <v>266</v>
      </c>
      <c r="C43" s="1484" t="s">
        <v>267</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503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504</v>
      </c>
      <c r="AM43" s="621"/>
      <c r="AN43" s="621" t="str">
        <f>IF(T43="","",T43)</f>
        <v>Наименование централизованной системы холодного водоснабжения</v>
      </c>
      <c r="AO43" s="621"/>
      <c r="AP43" s="621"/>
      <c r="AQ43" s="1276">
        <v>23</v>
      </c>
    </row>
    <row customHeight="1" ht="24">
      <c r="A44" s="1484" t="s">
        <v>265</v>
      </c>
      <c r="B44" s="1484" t="s">
        <v>266</v>
      </c>
      <c r="C44" s="1484" t="s">
        <v>267</v>
      </c>
      <c r="D44" s="1484" t="s">
        <v>520</v>
      </c>
      <c r="E44" s="2380"/>
      <c r="F44" s="2380"/>
      <c r="G44" s="2380"/>
      <c r="H44" s="2380"/>
      <c r="I44" s="2377" t="str">
        <f>S43&amp;".1"</f>
        <v>...1</v>
      </c>
      <c r="J44" s="1484"/>
      <c r="K44" s="1484"/>
      <c r="L44" s="1485"/>
      <c r="P44" s="2378">
        <v>1</v>
      </c>
      <c r="Q44" s="1571"/>
      <c r="R44" s="477"/>
      <c r="S44" s="1578"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265</v>
      </c>
      <c r="B45" s="1484" t="s">
        <v>266</v>
      </c>
      <c r="C45" s="1484" t="s">
        <v>267</v>
      </c>
      <c r="D45" s="1484" t="s">
        <v>520</v>
      </c>
      <c r="E45" s="2380"/>
      <c r="F45" s="2380"/>
      <c r="G45" s="2380"/>
      <c r="H45" s="2380"/>
      <c r="I45" s="2407"/>
      <c r="J45" s="2377" t="str">
        <f>I44&amp;".1"</f>
        <v>...1.1</v>
      </c>
      <c r="K45" s="1484"/>
      <c r="L45" s="1485" t="s">
        <v>430</v>
      </c>
      <c r="P45" s="2378"/>
      <c r="Q45" s="2378">
        <v>1</v>
      </c>
      <c r="R45" s="478"/>
      <c r="S45" s="1578"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265</v>
      </c>
      <c r="B46" s="1484" t="s">
        <v>266</v>
      </c>
      <c r="C46" s="1484" t="s">
        <v>267</v>
      </c>
      <c r="D46" s="1484" t="s">
        <v>520</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66</v>
      </c>
      <c r="AA46" s="2386"/>
      <c r="AB46" s="2228" t="s">
        <v>66</v>
      </c>
      <c r="AC46" s="872"/>
      <c r="AD46" s="872"/>
      <c r="AE46" s="1378"/>
      <c r="AF46" s="2386"/>
      <c r="AG46" s="2228" t="s">
        <v>66</v>
      </c>
      <c r="AH46" s="2408"/>
      <c r="AI46" s="2228" t="s">
        <v>66</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265</v>
      </c>
      <c r="B47" s="1484" t="s">
        <v>266</v>
      </c>
      <c r="C47" s="1484" t="s">
        <v>267</v>
      </c>
      <c r="D47" s="1484" t="s">
        <v>520</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265</v>
      </c>
      <c r="B48" s="1484" t="s">
        <v>266</v>
      </c>
      <c r="C48" s="1484" t="s">
        <v>267</v>
      </c>
      <c r="D48" s="1484" t="s">
        <v>520</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265</v>
      </c>
      <c r="B49" s="1484" t="s">
        <v>266</v>
      </c>
      <c r="C49" s="1484" t="s">
        <v>267</v>
      </c>
      <c r="D49" s="1484" t="s">
        <v>520</v>
      </c>
      <c r="E49" s="2380"/>
      <c r="F49" s="2380"/>
      <c r="G49" s="2380"/>
      <c r="H49" s="2380"/>
      <c r="I49" s="2377"/>
      <c r="J49" s="1484"/>
      <c r="K49" s="1484"/>
      <c r="L49" s="1485"/>
      <c r="P49" s="2378"/>
      <c r="Q49" s="1571"/>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265</v>
      </c>
      <c r="B50" s="1484" t="s">
        <v>266</v>
      </c>
      <c r="C50" s="1484" t="s">
        <v>267</v>
      </c>
      <c r="D50" s="1484" t="s">
        <v>520</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265</v>
      </c>
      <c r="B51" s="1464" t="s">
        <v>266</v>
      </c>
      <c r="C51" s="1435"/>
      <c r="D51" s="1435"/>
      <c r="E51" s="2380"/>
      <c r="F51" s="2379"/>
      <c r="G51" s="1435"/>
      <c r="H51" s="1435"/>
      <c r="I51" s="1435"/>
      <c r="J51" s="1435"/>
      <c r="K51" s="1435"/>
      <c r="L51" s="1579"/>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265</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4FDEE-3877-CCD6-F12D-0.F005916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7720" width="10.140625" hidden="1" customWidth="1"/>
    <col min="4" max="4" style="7720" width="11.8515625" hidden="1" customWidth="1"/>
    <col min="5" max="11" style="7720" width="10.140625" hidden="1" customWidth="1"/>
    <col min="12" max="12" style="8408" width="10.140625" hidden="1" customWidth="1"/>
    <col min="13" max="15" style="8429" width="10.140625" hidden="1" customWidth="1"/>
    <col min="16" max="16" style="6894" width="3.00390625" customWidth="1"/>
    <col min="17" max="17" style="6960" width="3.00390625" customWidth="1"/>
    <col min="18" max="18" style="7739" width="3.00390625" customWidth="1"/>
    <col min="19" max="19" style="8401" width="12.00390625" customWidth="1"/>
    <col min="20" max="20" style="7720" width="31.00390625" customWidth="1"/>
    <col min="21" max="21" style="7720" width="0.140625" customWidth="1"/>
    <col min="22" max="23" style="7720" width="21.7109375" hidden="1" customWidth="1"/>
    <col min="24" max="24" style="7720" width="11.7109375" hidden="1" customWidth="1"/>
    <col min="25" max="25" style="7720" width="3.7109375" hidden="1" customWidth="1"/>
    <col min="26" max="26" style="7720" width="11.7109375" hidden="1" customWidth="1"/>
    <col min="27" max="27" style="7720" width="8.57421875" hidden="1" customWidth="1"/>
    <col min="28" max="28" style="7720" width="27.00390625" customWidth="1"/>
    <col min="29" max="29" style="7720" width="24.57421875" customWidth="1"/>
    <col min="30" max="31" style="7720" width="21.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136</v>
      </c>
      <c r="U2" s="421"/>
      <c r="V2" s="2364"/>
      <c r="W2" s="2364"/>
      <c r="X2" s="2364"/>
      <c r="Y2" s="2364"/>
      <c r="Z2" s="2364"/>
      <c r="AA2" s="2365"/>
      <c r="AB2" s="2073"/>
      <c r="AC2" s="2364">
        <f>INDEX(PT_DIFFERENTIATION_NTAR,MATCH(A2,PT_DIFFERENTIATION_NTAR_ID,0))</f>
      </c>
      <c r="AD2" s="2364"/>
      <c r="AE2" s="2364"/>
      <c r="AF2" s="2364"/>
      <c r="AG2" s="2364"/>
      <c r="AH2" s="2364"/>
      <c r="AI2" s="2364"/>
      <c r="AJ2" s="2365"/>
      <c r="AK2" s="1379" t="s">
        <v>420</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421</v>
      </c>
      <c r="U3" s="421"/>
      <c r="V3" s="2364"/>
      <c r="W3" s="2364"/>
      <c r="X3" s="2364"/>
      <c r="Y3" s="2364"/>
      <c r="Z3" s="2364"/>
      <c r="AA3" s="2365"/>
      <c r="AB3" s="2073"/>
      <c r="AC3" s="2364">
        <f>INDEX(PT_DIFFERENTIATION_TER,MATCH(B3,PT_DIFFERENTIATION_TER_ID,0))</f>
      </c>
      <c r="AD3" s="2364"/>
      <c r="AE3" s="2364"/>
      <c r="AF3" s="2364"/>
      <c r="AG3" s="2364"/>
      <c r="AH3" s="2364"/>
      <c r="AI3" s="2364"/>
      <c r="AJ3" s="2365"/>
      <c r="AK3" s="1379" t="s">
        <v>422</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423</v>
      </c>
      <c r="U4" s="421"/>
      <c r="V4" s="2364"/>
      <c r="W4" s="2364"/>
      <c r="X4" s="2364"/>
      <c r="Y4" s="2364"/>
      <c r="Z4" s="2364"/>
      <c r="AA4" s="2365"/>
      <c r="AB4" s="2073"/>
      <c r="AC4" s="2364">
        <f>INDEX(PT_DIFFERENTIATION_CS,MATCH(C4,PT_DIFFERENTIATION_CS_ID,0))</f>
      </c>
      <c r="AD4" s="2364"/>
      <c r="AE4" s="2364"/>
      <c r="AF4" s="2364"/>
      <c r="AG4" s="2364"/>
      <c r="AH4" s="2364"/>
      <c r="AI4" s="2364"/>
      <c r="AJ4" s="2365"/>
      <c r="AK4" s="1379" t="s">
        <v>424</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425</v>
      </c>
      <c r="U5" s="421"/>
      <c r="V5" s="2364"/>
      <c r="W5" s="2364"/>
      <c r="X5" s="2364"/>
      <c r="Y5" s="2364"/>
      <c r="Z5" s="2364"/>
      <c r="AA5" s="2365"/>
      <c r="AB5" s="2073"/>
      <c r="AC5" s="2364">
        <f>INDEX(PT_DIFFERENTIATION_IST_TE,MATCH(D5,PT_DIFFERENTIATION_IST_TE_ID,0))</f>
      </c>
      <c r="AD5" s="2364"/>
      <c r="AE5" s="2364"/>
      <c r="AF5" s="2364"/>
      <c r="AG5" s="2364"/>
      <c r="AH5" s="2364"/>
      <c r="AI5" s="2364"/>
      <c r="AJ5" s="2365"/>
      <c r="AK5" s="1379" t="s">
        <v>426</v>
      </c>
      <c r="AM5" s="1745"/>
      <c r="AN5" s="1745" t="str">
        <f>IF(T5="","",T5)</f>
        <v>Источник тепловой энергии  </v>
      </c>
      <c r="AO5" s="1745"/>
      <c r="AP5" s="1745"/>
      <c r="AQ5" s="1752">
        <v>0</v>
      </c>
    </row>
    <row s="7217" customFormat="1" customHeight="1" ht="0.75" hidden="1">
      <c r="A6" s="1496"/>
      <c r="B6" s="1496"/>
      <c r="C6" s="1496"/>
      <c r="D6" s="1496"/>
      <c r="E6" s="2411"/>
      <c r="F6" s="2411"/>
      <c r="G6" s="2411"/>
      <c r="H6" s="2411"/>
      <c r="I6" s="2248">
        <f>S5&amp;".1"</f>
      </c>
      <c r="J6" s="1496"/>
      <c r="K6" s="1496"/>
      <c r="L6" s="1502" t="s">
        <v>427</v>
      </c>
      <c r="M6" s="1367"/>
      <c r="N6" s="1367"/>
      <c r="O6" s="1367"/>
      <c r="P6" s="2378">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7217" customFormat="1" customHeight="1" ht="0.75" hidden="1">
      <c r="A7" s="1496"/>
      <c r="B7" s="1496"/>
      <c r="C7" s="1496"/>
      <c r="D7" s="1496"/>
      <c r="E7" s="2411"/>
      <c r="F7" s="2411"/>
      <c r="G7" s="2411"/>
      <c r="H7" s="2411"/>
      <c r="I7" s="2222"/>
      <c r="J7" s="2248">
        <f>S5&amp;".1"</f>
      </c>
      <c r="K7" s="1496"/>
      <c r="L7" s="1502"/>
      <c r="M7" s="1367"/>
      <c r="N7" s="1367"/>
      <c r="O7" s="1367"/>
      <c r="P7" s="2378"/>
      <c r="Q7" s="2378">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8"/>
      <c r="Q8" s="2378"/>
      <c r="R8" s="2116">
        <v>1</v>
      </c>
      <c r="S8" s="2114">
        <f>$K8</f>
      </c>
      <c r="T8" s="2115"/>
      <c r="U8" s="421"/>
      <c r="V8" s="872"/>
      <c r="W8" s="1378"/>
      <c r="X8" s="2113"/>
      <c r="Y8" s="2111" t="s">
        <v>66</v>
      </c>
      <c r="Z8" s="2113"/>
      <c r="AA8" s="2111" t="s">
        <v>66</v>
      </c>
      <c r="AB8" s="2117"/>
      <c r="AC8" s="2118" t="s">
        <v>28</v>
      </c>
      <c r="AD8" s="872"/>
      <c r="AE8" s="1378"/>
      <c r="AF8" s="2076"/>
      <c r="AG8" s="2063" t="s">
        <v>66</v>
      </c>
      <c r="AH8" s="2076"/>
      <c r="AI8" s="2063" t="s">
        <v>66</v>
      </c>
      <c r="AJ8" s="1469"/>
      <c r="AK8" s="2374" t="s">
        <v>486</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48"/>
      <c r="K9" s="1388"/>
      <c r="L9" s="1431"/>
      <c r="P9" s="2378"/>
      <c r="Q9" s="2378"/>
      <c r="R9" s="477"/>
      <c r="S9" s="1399"/>
      <c r="T9" s="408" t="s">
        <v>490</v>
      </c>
      <c r="U9" s="721"/>
      <c r="V9" s="721"/>
      <c r="W9" s="721"/>
      <c r="X9" s="721"/>
      <c r="Y9" s="721"/>
      <c r="Z9" s="721"/>
      <c r="AA9" s="721"/>
      <c r="AB9" s="721"/>
      <c r="AC9" s="721"/>
      <c r="AD9" s="721"/>
      <c r="AE9" s="721"/>
      <c r="AF9" s="721"/>
      <c r="AG9" s="721"/>
      <c r="AH9" s="721"/>
      <c r="AI9" s="721"/>
      <c r="AJ9" s="445"/>
      <c r="AK9" s="2376"/>
      <c r="AM9" s="1745"/>
      <c r="AN9" s="1745" t="str">
        <f>IF(T9="","",T9)</f>
        <v>Добавить строку</v>
      </c>
      <c r="AO9" s="1745"/>
      <c r="AP9" s="1745"/>
      <c r="AQ9" s="1752">
        <v>0</v>
      </c>
    </row>
    <row s="7217" customFormat="1" customHeight="1" ht="0.75" hidden="1">
      <c r="A10" s="1496"/>
      <c r="B10" s="1496"/>
      <c r="C10" s="1496"/>
      <c r="D10" s="1496"/>
      <c r="E10" s="2411"/>
      <c r="F10" s="2411"/>
      <c r="G10" s="2411"/>
      <c r="H10" s="2411"/>
      <c r="I10" s="2248"/>
      <c r="J10" s="1496"/>
      <c r="K10" s="1496"/>
      <c r="L10" s="1502"/>
      <c r="M10" s="1367"/>
      <c r="N10" s="1367"/>
      <c r="O10" s="1367"/>
      <c r="P10" s="2378"/>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7217"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7217"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175</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7217"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176</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7217"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177</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66</v>
      </c>
      <c r="AH16" s="1857"/>
      <c r="AI16" s="2087" t="s">
        <v>66</v>
      </c>
      <c r="AQ16" s="1752">
        <v>0</v>
      </c>
    </row>
    <row customHeight="1" ht="14.25" hidden="1">
      <c r="AL17" s="1762"/>
      <c r="AM17" s="1762"/>
      <c r="AN17" s="1762"/>
      <c r="AO17" s="1762"/>
      <c r="AP17" s="1762"/>
      <c r="AQ17" s="1752">
        <v>0</v>
      </c>
    </row>
    <row customHeight="1" ht="14.25" hidden="1">
      <c r="O18" s="1466" t="s">
        <v>438</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935" customFormat="1" customHeight="1" ht="14.25" hidden="1">
      <c r="A20" s="2092"/>
      <c r="B20" s="2092"/>
      <c r="C20" s="2092"/>
      <c r="D20" s="2092"/>
      <c r="E20" s="2092"/>
      <c r="F20" s="2092"/>
      <c r="G20" s="2092"/>
      <c r="H20" s="2092"/>
      <c r="I20" s="2092"/>
      <c r="J20" s="2092"/>
      <c r="K20" s="2092"/>
      <c r="L20" s="2092"/>
      <c r="M20" s="2093"/>
      <c r="N20" s="2093"/>
      <c r="O20" s="2094" t="s">
        <v>439</v>
      </c>
      <c r="P20" s="1629"/>
      <c r="Q20" s="1631"/>
      <c r="R20" s="1631"/>
      <c r="Y20" s="1628" t="s">
        <v>441</v>
      </c>
      <c r="AA20" s="1628" t="s">
        <v>442</v>
      </c>
      <c r="AC20" s="1628" t="s">
        <v>492</v>
      </c>
      <c r="AG20" s="1628" t="s">
        <v>441</v>
      </c>
      <c r="AI20" s="1628" t="s">
        <v>442</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9"/>
      <c r="U24" s="2369"/>
      <c r="V24" s="2369"/>
      <c r="W24" s="2369"/>
      <c r="X24" s="2369"/>
      <c r="Y24" s="2369"/>
      <c r="Z24" s="2369"/>
      <c r="AA24" s="2369"/>
      <c r="AB24" s="2369"/>
      <c r="AC24" s="2369"/>
      <c r="AD24" s="2369"/>
      <c r="AE24" s="2369"/>
      <c r="AF24" s="2369"/>
      <c r="AG24" s="2369"/>
      <c r="AH24" s="2369"/>
      <c r="AI24" s="1364"/>
      <c r="AQ24" s="1752">
        <v>38</v>
      </c>
    </row>
    <row customHeight="1" ht="14.699999999999998">
      <c r="Q25" s="412"/>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8300" customFormat="1" customHeight="1" ht="25.5" hidden="1">
      <c r="A27" s="1369"/>
      <c r="B27" s="1369"/>
      <c r="C27" s="1369"/>
      <c r="D27" s="1369"/>
      <c r="E27" s="1369"/>
      <c r="F27" s="1369"/>
      <c r="G27" s="1369"/>
      <c r="H27" s="1369"/>
      <c r="I27" s="1369"/>
      <c r="J27" s="1369"/>
      <c r="K27" s="1369"/>
      <c r="L27" s="1501"/>
      <c r="M27" s="1369"/>
      <c r="N27" s="1369"/>
      <c r="O27" s="1369"/>
      <c r="P27" s="1489"/>
      <c r="Q27" s="1489"/>
      <c r="S27" s="2371" t="s">
        <v>42</v>
      </c>
      <c r="T27" s="2371"/>
      <c r="U27" s="1493"/>
      <c r="V27" s="2372" t="str">
        <f>IF(TITLE_NAME_OR_PR_CHANGE="",IF(TITLE_NAME_OR_PR="","",TITLE_NAME_OR_PR),TITLE_NAME_OR_PR_CHANGE)</f>
        <v/>
      </c>
      <c r="W27" s="2372"/>
      <c r="X27" s="2372"/>
      <c r="Y27" s="2372"/>
      <c r="Z27" s="2372"/>
      <c r="AA27" s="1756"/>
      <c r="AB27" s="1756"/>
      <c r="AC27" s="2372"/>
      <c r="AD27" s="2372"/>
      <c r="AE27" s="2372"/>
      <c r="AF27" s="2372"/>
      <c r="AG27" s="2372"/>
      <c r="AH27" s="2372"/>
      <c r="AI27" s="1756"/>
      <c r="AJ27" s="1756"/>
      <c r="AK27" s="401"/>
      <c r="AL27" s="489"/>
      <c r="AM27" s="489"/>
      <c r="AN27" s="489"/>
      <c r="AO27" s="489"/>
      <c r="AP27" s="489"/>
      <c r="AQ27" s="539">
        <v>0</v>
      </c>
    </row>
    <row s="8300" customFormat="1" customHeight="1" ht="18.75" hidden="1">
      <c r="A28" s="1369"/>
      <c r="B28" s="1369"/>
      <c r="C28" s="1369"/>
      <c r="D28" s="1369"/>
      <c r="E28" s="1369"/>
      <c r="F28" s="1369"/>
      <c r="G28" s="1369"/>
      <c r="H28" s="1369"/>
      <c r="I28" s="1369"/>
      <c r="J28" s="1369"/>
      <c r="K28" s="1369"/>
      <c r="L28" s="1501"/>
      <c r="M28" s="1369"/>
      <c r="N28" s="1369"/>
      <c r="O28" s="1369"/>
      <c r="P28" s="1489"/>
      <c r="Q28" s="1489"/>
      <c r="S28" s="2371" t="s">
        <v>444</v>
      </c>
      <c r="T28" s="2371"/>
      <c r="U28" s="1493"/>
      <c r="V28" s="2385" t="str">
        <f>IF(TITLE_DATE_PR_CHANGE="",IF(TITLE_DATE_PR="","",TITLE_DATE_PR),TITLE_DATE_PR_CHANGE)</f>
        <v>45777</v>
      </c>
      <c r="W28" s="2385"/>
      <c r="X28" s="2385"/>
      <c r="Y28" s="2385"/>
      <c r="Z28" s="2385"/>
      <c r="AA28" s="1756"/>
      <c r="AB28" s="1756"/>
      <c r="AC28" s="2385"/>
      <c r="AD28" s="2385"/>
      <c r="AE28" s="2385"/>
      <c r="AF28" s="2385"/>
      <c r="AG28" s="2385"/>
      <c r="AH28" s="2385"/>
      <c r="AI28" s="1756"/>
      <c r="AJ28" s="1756"/>
      <c r="AK28" s="401"/>
      <c r="AL28" s="489"/>
      <c r="AM28" s="489"/>
      <c r="AN28" s="489"/>
      <c r="AO28" s="489"/>
      <c r="AP28" s="489"/>
      <c r="AQ28" s="539">
        <v>0</v>
      </c>
    </row>
    <row s="8300" customFormat="1" customHeight="1" ht="18.75" hidden="1">
      <c r="A29" s="1369"/>
      <c r="B29" s="1369"/>
      <c r="C29" s="1369"/>
      <c r="D29" s="1369"/>
      <c r="E29" s="1369"/>
      <c r="F29" s="1369"/>
      <c r="G29" s="1369"/>
      <c r="H29" s="1369"/>
      <c r="I29" s="1369"/>
      <c r="J29" s="1369"/>
      <c r="K29" s="1369"/>
      <c r="L29" s="1501"/>
      <c r="M29" s="1369"/>
      <c r="N29" s="1369"/>
      <c r="O29" s="1369"/>
      <c r="P29" s="1489"/>
      <c r="Q29" s="1489"/>
      <c r="S29" s="2371" t="s">
        <v>445</v>
      </c>
      <c r="T29" s="2371"/>
      <c r="U29" s="1493"/>
      <c r="V29" s="2372" t="str">
        <f>IF(TITLE_NUMBER_PR_CHANGE="",IF(TITLE_NUMBER_PR="","",TITLE_NUMBER_PR),TITLE_NUMBER_PR_CHANGE)</f>
        <v>33-01/80</v>
      </c>
      <c r="W29" s="2372"/>
      <c r="X29" s="2372"/>
      <c r="Y29" s="2372"/>
      <c r="Z29" s="2372"/>
      <c r="AA29" s="1756"/>
      <c r="AB29" s="1756"/>
      <c r="AC29" s="2372"/>
      <c r="AD29" s="2372"/>
      <c r="AE29" s="2372"/>
      <c r="AF29" s="2372"/>
      <c r="AG29" s="2372"/>
      <c r="AH29" s="2372"/>
      <c r="AI29" s="1756"/>
      <c r="AJ29" s="1756"/>
      <c r="AK29" s="401"/>
      <c r="AL29" s="489"/>
      <c r="AM29" s="489"/>
      <c r="AN29" s="489"/>
      <c r="AO29" s="489"/>
      <c r="AP29" s="489"/>
      <c r="AQ29" s="539">
        <v>0</v>
      </c>
    </row>
    <row s="8300" customFormat="1" customHeight="1" ht="18.75" hidden="1">
      <c r="A30" s="1369"/>
      <c r="B30" s="1369"/>
      <c r="C30" s="1369"/>
      <c r="D30" s="1369"/>
      <c r="E30" s="1369"/>
      <c r="F30" s="1369"/>
      <c r="G30" s="1369"/>
      <c r="H30" s="1369"/>
      <c r="I30" s="1369"/>
      <c r="J30" s="1369"/>
      <c r="K30" s="1369"/>
      <c r="L30" s="1501"/>
      <c r="M30" s="1369"/>
      <c r="N30" s="1369"/>
      <c r="O30" s="1369"/>
      <c r="P30" s="1489"/>
      <c r="Q30" s="1489"/>
      <c r="S30" s="2371" t="s">
        <v>43</v>
      </c>
      <c r="T30" s="2371"/>
      <c r="U30" s="1493"/>
      <c r="V30" s="2372" t="str">
        <f>IF(TITLE_IST_PUB_CHANGE="",IF(TITLE_IST_PUB="","",TITLE_IST_PUB),TITLE_IST_PUB_CHANGE)</f>
        <v/>
      </c>
      <c r="W30" s="2372"/>
      <c r="X30" s="2372"/>
      <c r="Y30" s="2372"/>
      <c r="Z30" s="2372"/>
      <c r="AA30" s="1756"/>
      <c r="AB30" s="1756"/>
      <c r="AC30" s="2372"/>
      <c r="AD30" s="2372"/>
      <c r="AE30" s="2372"/>
      <c r="AF30" s="2372"/>
      <c r="AG30" s="2372"/>
      <c r="AH30" s="2372"/>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8300" customFormat="1" customHeight="1" ht="18.75" hidden="1">
      <c r="A32" s="1369"/>
      <c r="B32" s="1369"/>
      <c r="C32" s="1369"/>
      <c r="D32" s="1369"/>
      <c r="E32" s="1369"/>
      <c r="F32" s="1369"/>
      <c r="G32" s="1369"/>
      <c r="H32" s="1369"/>
      <c r="I32" s="1369"/>
      <c r="J32" s="1369"/>
      <c r="K32" s="1369"/>
      <c r="L32" s="1501"/>
      <c r="M32" s="1369"/>
      <c r="N32" s="1369"/>
      <c r="O32" s="1369"/>
      <c r="P32" s="1489"/>
      <c r="Q32" s="1489"/>
      <c r="S32" s="2371" t="s">
        <v>444</v>
      </c>
      <c r="T32" s="2371"/>
      <c r="U32" s="1493"/>
      <c r="V32" s="2385" t="str">
        <f>IF(TITLE_DATE_PR_CHANGE="",IF(TITLE_DATE_PR="","",TITLE_DATE_PR),TITLE_DATE_PR_CHANGE)</f>
        <v>45777</v>
      </c>
      <c r="W32" s="2385"/>
      <c r="X32" s="2385"/>
      <c r="Y32" s="2385"/>
      <c r="Z32" s="2385"/>
      <c r="AA32" s="1756"/>
      <c r="AB32" s="1756"/>
      <c r="AC32" s="2385"/>
      <c r="AD32" s="2385"/>
      <c r="AE32" s="2385"/>
      <c r="AF32" s="2385"/>
      <c r="AG32" s="2385"/>
      <c r="AH32" s="2385"/>
      <c r="AI32" s="1756"/>
      <c r="AJ32" s="1756"/>
      <c r="AK32" s="401"/>
      <c r="AL32" s="489"/>
      <c r="AM32" s="489"/>
      <c r="AN32" s="489"/>
      <c r="AO32" s="489"/>
      <c r="AP32" s="489"/>
      <c r="AQ32" s="539">
        <v>0</v>
      </c>
    </row>
    <row s="8300" customFormat="1" customHeight="1" ht="18" hidden="1">
      <c r="A33" s="1369"/>
      <c r="B33" s="1369"/>
      <c r="C33" s="1369"/>
      <c r="D33" s="1369"/>
      <c r="E33" s="1369"/>
      <c r="F33" s="1369"/>
      <c r="G33" s="1369"/>
      <c r="H33" s="1369"/>
      <c r="I33" s="1369"/>
      <c r="J33" s="1369"/>
      <c r="K33" s="1369"/>
      <c r="L33" s="1501"/>
      <c r="M33" s="1369"/>
      <c r="N33" s="1369"/>
      <c r="O33" s="1369"/>
      <c r="P33" s="1489"/>
      <c r="Q33" s="1489"/>
      <c r="S33" s="2371" t="s">
        <v>445</v>
      </c>
      <c r="T33" s="2371"/>
      <c r="U33" s="1493"/>
      <c r="V33" s="2372" t="str">
        <f>IF(TITLE_NUMBER_PR_CHANGE="",IF(TITLE_NUMBER_PR="","",TITLE_NUMBER_PR),TITLE_NUMBER_PR_CHANGE)</f>
        <v>33-01/80</v>
      </c>
      <c r="W33" s="2372"/>
      <c r="X33" s="2372"/>
      <c r="Y33" s="2372"/>
      <c r="Z33" s="2372"/>
      <c r="AA33" s="1756"/>
      <c r="AB33" s="1756"/>
      <c r="AC33" s="2372"/>
      <c r="AD33" s="2372"/>
      <c r="AE33" s="2372"/>
      <c r="AF33" s="2372"/>
      <c r="AG33" s="2372"/>
      <c r="AH33" s="2372"/>
      <c r="AI33" s="1756"/>
      <c r="AJ33" s="1756"/>
      <c r="AK33" s="401"/>
      <c r="AL33" s="489"/>
      <c r="AM33" s="489"/>
      <c r="AN33" s="489"/>
      <c r="AO33" s="489"/>
      <c r="AP33" s="489"/>
      <c r="AQ33" s="539">
        <v>0</v>
      </c>
    </row>
    <row s="8300"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448</v>
      </c>
      <c r="AB34" s="1763"/>
      <c r="AC34" s="1756"/>
      <c r="AD34" s="1756"/>
      <c r="AE34" s="1756"/>
      <c r="AF34" s="1756"/>
      <c r="AG34" s="1756"/>
      <c r="AH34" s="1756"/>
      <c r="AI34" s="1763" t="s">
        <v>448</v>
      </c>
      <c r="AL34" s="489"/>
      <c r="AM34" s="489"/>
      <c r="AN34" s="489"/>
      <c r="AO34" s="489"/>
      <c r="AP34" s="489"/>
      <c r="AQ34" s="539">
        <v>1</v>
      </c>
    </row>
    <row customHeight="1" ht="14.699999999999998">
      <c r="Q35" s="412"/>
      <c r="R35" s="497"/>
      <c r="S35" s="1396"/>
      <c r="T35" s="578"/>
      <c r="U35" s="1365"/>
      <c r="V35" s="2373"/>
      <c r="W35" s="2373"/>
      <c r="X35" s="2373"/>
      <c r="Y35" s="2373"/>
      <c r="Z35" s="2373"/>
      <c r="AA35" s="2373"/>
      <c r="AB35" s="2078"/>
      <c r="AC35" s="2373"/>
      <c r="AD35" s="2373"/>
      <c r="AE35" s="2373"/>
      <c r="AF35" s="2373"/>
      <c r="AG35" s="2373"/>
      <c r="AH35" s="2373"/>
      <c r="AI35" s="2373"/>
      <c r="AQ35" s="1752">
        <v>14</v>
      </c>
    </row>
    <row customHeight="1" ht="14.699999999999998">
      <c r="Q36" s="412"/>
      <c r="R36" s="497"/>
      <c r="S36" s="2248" t="s">
        <v>324</v>
      </c>
      <c r="T36" s="2248"/>
      <c r="U36" s="2248"/>
      <c r="V36" s="2248"/>
      <c r="W36" s="2248"/>
      <c r="X36" s="2248"/>
      <c r="Y36" s="2248"/>
      <c r="Z36" s="2248"/>
      <c r="AA36" s="2296"/>
      <c r="AB36" s="2296"/>
      <c r="AC36" s="2296"/>
      <c r="AD36" s="2248"/>
      <c r="AE36" s="2248"/>
      <c r="AF36" s="2248"/>
      <c r="AG36" s="2248"/>
      <c r="AH36" s="2248"/>
      <c r="AI36" s="2248"/>
      <c r="AJ36" s="2248"/>
      <c r="AK36" s="2248" t="s">
        <v>325</v>
      </c>
      <c r="AQ36" s="1752">
        <v>14</v>
      </c>
    </row>
    <row customHeight="1" ht="14.699999999999998">
      <c r="Q37" s="412"/>
      <c r="R37" s="497"/>
      <c r="S37" s="2394" t="s">
        <v>88</v>
      </c>
      <c r="T37" s="2330" t="s">
        <v>521</v>
      </c>
      <c r="U37" s="458"/>
      <c r="V37" s="2396"/>
      <c r="W37" s="2396"/>
      <c r="X37" s="2396"/>
      <c r="Y37" s="2396"/>
      <c r="Z37" s="2396"/>
      <c r="AA37" s="2330" t="s">
        <v>451</v>
      </c>
      <c r="AB37" s="2329" t="s">
        <v>522</v>
      </c>
      <c r="AC37" s="2329" t="s">
        <v>496</v>
      </c>
      <c r="AD37" s="2412" t="s">
        <v>450</v>
      </c>
      <c r="AE37" s="2412"/>
      <c r="AF37" s="2396"/>
      <c r="AG37" s="2396"/>
      <c r="AH37" s="2397"/>
      <c r="AI37" s="2398" t="s">
        <v>451</v>
      </c>
      <c r="AJ37" s="2401" t="s">
        <v>453</v>
      </c>
      <c r="AK37" s="2248"/>
      <c r="AQ37" s="1752">
        <v>14</v>
      </c>
    </row>
    <row customHeight="1" ht="35.699999999999996">
      <c r="Q38" s="412"/>
      <c r="R38" s="497"/>
      <c r="S38" s="2394"/>
      <c r="T38" s="2330"/>
      <c r="U38" s="1152"/>
      <c r="V38" s="2224" t="s">
        <v>499</v>
      </c>
      <c r="W38" s="2248"/>
      <c r="X38" s="2415" t="s">
        <v>457</v>
      </c>
      <c r="Y38" s="2434"/>
      <c r="Z38" s="2434"/>
      <c r="AA38" s="2330"/>
      <c r="AB38" s="2329"/>
      <c r="AC38" s="2329"/>
      <c r="AD38" s="2224" t="s">
        <v>499</v>
      </c>
      <c r="AE38" s="2248"/>
      <c r="AF38" s="2434" t="s">
        <v>457</v>
      </c>
      <c r="AG38" s="2434"/>
      <c r="AH38" s="2435"/>
      <c r="AI38" s="2399"/>
      <c r="AJ38" s="2402"/>
      <c r="AK38" s="2248"/>
      <c r="AQ38" s="1752">
        <v>34</v>
      </c>
    </row>
    <row customHeight="1" ht="14.699999999999998">
      <c r="Q39" s="412"/>
      <c r="R39" s="497"/>
      <c r="S39" s="2394"/>
      <c r="T39" s="2330"/>
      <c r="U39" s="1152"/>
      <c r="V39" s="2461" t="str">
        <f>IF($AD$39&lt;&gt;"",$AD$39,"")</f>
        <v/>
      </c>
      <c r="W39" s="2461"/>
      <c r="X39" s="2416"/>
      <c r="Y39" s="2436"/>
      <c r="Z39" s="2436"/>
      <c r="AA39" s="2330"/>
      <c r="AB39" s="2329"/>
      <c r="AC39" s="2329"/>
      <c r="AD39" s="2477"/>
      <c r="AE39" s="2460"/>
      <c r="AF39" s="2436"/>
      <c r="AG39" s="2436"/>
      <c r="AH39" s="2437"/>
      <c r="AI39" s="2399"/>
      <c r="AJ39" s="2402"/>
      <c r="AK39" s="2248"/>
      <c r="AQ39" s="1752">
        <v>14</v>
      </c>
    </row>
    <row customHeight="1" ht="14.699999999999998">
      <c r="A40" s="1387"/>
      <c r="B40" s="1387" t="s">
        <v>148</v>
      </c>
      <c r="C40" s="1387" t="s">
        <v>149</v>
      </c>
      <c r="D40" s="1387" t="s">
        <v>150</v>
      </c>
      <c r="E40" s="1431" t="s">
        <v>458</v>
      </c>
      <c r="F40" s="1431" t="s">
        <v>459</v>
      </c>
      <c r="G40" s="1431" t="s">
        <v>460</v>
      </c>
      <c r="H40" s="1431" t="s">
        <v>461</v>
      </c>
      <c r="I40" s="1431" t="s">
        <v>462</v>
      </c>
      <c r="J40" s="1431" t="s">
        <v>463</v>
      </c>
      <c r="K40" s="1431" t="s">
        <v>464</v>
      </c>
      <c r="L40" s="1431" t="s">
        <v>439</v>
      </c>
      <c r="Q40" s="412"/>
      <c r="R40" s="497"/>
      <c r="S40" s="2394"/>
      <c r="T40" s="2330"/>
      <c r="U40" s="423"/>
      <c r="V40" s="2071" t="s">
        <v>500</v>
      </c>
      <c r="W40" s="2071" t="s">
        <v>501</v>
      </c>
      <c r="X40" s="2059" t="s">
        <v>467</v>
      </c>
      <c r="Y40" s="2391" t="s">
        <v>468</v>
      </c>
      <c r="Z40" s="2441"/>
      <c r="AA40" s="2330"/>
      <c r="AB40" s="2329"/>
      <c r="AC40" s="2329"/>
      <c r="AD40" s="2089" t="s">
        <v>500</v>
      </c>
      <c r="AE40" s="2080" t="s">
        <v>501</v>
      </c>
      <c r="AF40" s="2059" t="s">
        <v>467</v>
      </c>
      <c r="AG40" s="2391" t="s">
        <v>468</v>
      </c>
      <c r="AH40" s="2392"/>
      <c r="AI40" s="2400"/>
      <c r="AJ40" s="2403"/>
      <c r="AK40" s="2248"/>
      <c r="AQ40" s="1752">
        <v>14</v>
      </c>
    </row>
    <row s="6812"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123</v>
      </c>
      <c r="T41" s="1376" t="s">
        <v>103</v>
      </c>
      <c r="U41" s="1366" t="str">
        <f>OFFSET(U41,0,-1)</f>
        <v>2</v>
      </c>
      <c r="V41" s="2077">
        <f>OFFSET(V41,0,-1)+1</f>
        <v>3</v>
      </c>
      <c r="W41" s="2077">
        <f>OFFSET(W41,0,-1)+1</f>
        <v>4</v>
      </c>
      <c r="X41" s="2077">
        <f>OFFSET(X41,0,-1)+1</f>
        <v>5</v>
      </c>
      <c r="Y41" s="2393">
        <f>OFFSET(Y41,0,-1)+1</f>
        <v>6</v>
      </c>
      <c r="Z41" s="2393"/>
      <c r="AA41" s="1462">
        <f>OFFSET(AA41,0,-2)+1</f>
        <v>7</v>
      </c>
      <c r="AB41" s="1462"/>
      <c r="AC41" s="1462"/>
      <c r="AD41" s="2077">
        <f>OFFSET(AD41,0,-1)+1</f>
        <v>1</v>
      </c>
      <c r="AE41" s="2077">
        <f>OFFSET(AE41,0,-1)+1</f>
        <v>2</v>
      </c>
      <c r="AF41" s="2077">
        <f>OFFSET(AF41,0,-1)+1</f>
        <v>3</v>
      </c>
      <c r="AG41" s="2393">
        <f>OFFSET(AG41,0,-1)+1</f>
        <v>4</v>
      </c>
      <c r="AH41" s="2393"/>
      <c r="AI41" s="2077">
        <f>OFFSET(AI41,0,-2)+1</f>
        <v>5</v>
      </c>
      <c r="AJ41" s="1366">
        <f>OFFSET(AJ41,0,-1)</f>
        <v>5</v>
      </c>
      <c r="AK41" s="2077">
        <f>OFFSET(AK41,0,-1)+1</f>
        <v>6</v>
      </c>
      <c r="AL41" s="1757"/>
      <c r="AM41" s="1757"/>
      <c r="AN41" s="1757"/>
      <c r="AO41" s="1757"/>
      <c r="AP41" s="1757"/>
      <c r="AQ41" s="1762">
        <v>0</v>
      </c>
    </row>
    <row customHeight="1" ht="107.25">
      <c r="A42" s="1388" t="s">
        <v>230</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0</v>
      </c>
      <c r="T42" s="1646" t="s">
        <v>136</v>
      </c>
      <c r="U42" s="421"/>
      <c r="V42" s="2364"/>
      <c r="W42" s="2364"/>
      <c r="X42" s="2364"/>
      <c r="Y42" s="2364"/>
      <c r="Z42" s="2364"/>
      <c r="AA42" s="2365"/>
      <c r="AB42" s="2073"/>
      <c r="AC42" s="2364" t="str">
        <f>INDEX(PT_DIFFERENTIATION_NTAR,MATCH(A42,PT_DIFFERENTIATION_NTAR_ID,0))</f>
        <v/>
      </c>
      <c r="AD42" s="2364"/>
      <c r="AE42" s="2364"/>
      <c r="AF42" s="2364"/>
      <c r="AG42" s="2364"/>
      <c r="AH42" s="2364"/>
      <c r="AI42" s="2364"/>
      <c r="AJ42" s="2365"/>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230</v>
      </c>
      <c r="B43" s="1388" t="s">
        <v>231</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v>
      </c>
      <c r="T43" s="1643" t="s">
        <v>421</v>
      </c>
      <c r="U43" s="421"/>
      <c r="V43" s="2364"/>
      <c r="W43" s="2364"/>
      <c r="X43" s="2364"/>
      <c r="Y43" s="2364"/>
      <c r="Z43" s="2364"/>
      <c r="AA43" s="2365"/>
      <c r="AB43" s="2073"/>
      <c r="AC43" s="2364" t="str">
        <f>INDEX(PT_DIFFERENTIATION_TER,MATCH(B43,PT_DIFFERENTIATION_TER_ID,0))</f>
        <v/>
      </c>
      <c r="AD43" s="2364"/>
      <c r="AE43" s="2364"/>
      <c r="AF43" s="2364"/>
      <c r="AG43" s="2364"/>
      <c r="AH43" s="2364"/>
      <c r="AI43" s="2364"/>
      <c r="AJ43" s="2365"/>
      <c r="AK43" s="1379" t="s">
        <v>422</v>
      </c>
      <c r="AM43" s="1745"/>
      <c r="AN43" s="1745" t="str">
        <f>IF(T43="","",T43)</f>
        <v>Территория действия тарифа</v>
      </c>
      <c r="AO43" s="1745"/>
      <c r="AP43" s="1745"/>
      <c r="AQ43" s="1752">
        <v>21</v>
      </c>
    </row>
    <row customHeight="1" ht="24">
      <c r="A44" s="1388" t="s">
        <v>230</v>
      </c>
      <c r="B44" s="1388" t="s">
        <v>231</v>
      </c>
      <c r="C44" s="1388" t="s">
        <v>232</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v>
      </c>
      <c r="T44" s="430" t="s">
        <v>423</v>
      </c>
      <c r="U44" s="421"/>
      <c r="V44" s="2364"/>
      <c r="W44" s="2364"/>
      <c r="X44" s="2364"/>
      <c r="Y44" s="2364"/>
      <c r="Z44" s="2364"/>
      <c r="AA44" s="2365"/>
      <c r="AB44" s="2073"/>
      <c r="AC44" s="2364" t="str">
        <f>INDEX(PT_DIFFERENTIATION_CS,MATCH(C44,PT_DIFFERENTIATION_CS_ID,0))</f>
        <v/>
      </c>
      <c r="AD44" s="2364"/>
      <c r="AE44" s="2364"/>
      <c r="AF44" s="2364"/>
      <c r="AG44" s="2364"/>
      <c r="AH44" s="2364"/>
      <c r="AI44" s="2364"/>
      <c r="AJ44" s="2365"/>
      <c r="AK44" s="1379" t="s">
        <v>424</v>
      </c>
      <c r="AM44" s="1745"/>
      <c r="AN44" s="1745" t="str">
        <f>IF(T44="","",T44)</f>
        <v>Наименование системы теплоснабжения </v>
      </c>
      <c r="AO44" s="1745"/>
      <c r="AP44" s="1745"/>
      <c r="AQ44" s="1752">
        <v>23</v>
      </c>
    </row>
    <row customHeight="1" ht="22.049999999999997">
      <c r="A45" s="1388" t="s">
        <v>230</v>
      </c>
      <c r="B45" s="1388" t="s">
        <v>231</v>
      </c>
      <c r="C45" s="1388" t="s">
        <v>232</v>
      </c>
      <c r="D45" s="1388" t="s">
        <v>233</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v>
      </c>
      <c r="T45" s="431" t="s">
        <v>425</v>
      </c>
      <c r="U45" s="421"/>
      <c r="V45" s="2364"/>
      <c r="W45" s="2364"/>
      <c r="X45" s="2364"/>
      <c r="Y45" s="2364"/>
      <c r="Z45" s="2364"/>
      <c r="AA45" s="2365"/>
      <c r="AB45" s="2073"/>
      <c r="AC45" s="2364" t="str">
        <f>INDEX(PT_DIFFERENTIATION_IST_TE,MATCH(D45,PT_DIFFERENTIATION_IST_TE_ID,0))</f>
        <v/>
      </c>
      <c r="AD45" s="2364"/>
      <c r="AE45" s="2364"/>
      <c r="AF45" s="2364"/>
      <c r="AG45" s="2364"/>
      <c r="AH45" s="2364"/>
      <c r="AI45" s="2364"/>
      <c r="AJ45" s="2365"/>
      <c r="AK45" s="1379" t="s">
        <v>426</v>
      </c>
      <c r="AM45" s="1745"/>
      <c r="AN45" s="1745" t="str">
        <f>IF(T45="","",T45)</f>
        <v>Источник тепловой энергии  </v>
      </c>
      <c r="AO45" s="1745"/>
      <c r="AP45" s="1745"/>
      <c r="AQ45" s="1752">
        <v>21</v>
      </c>
    </row>
    <row s="7217" customFormat="1" customHeight="1" ht="0">
      <c r="A46" s="1496" t="s">
        <v>230</v>
      </c>
      <c r="B46" s="1496" t="s">
        <v>231</v>
      </c>
      <c r="C46" s="1496" t="s">
        <v>232</v>
      </c>
      <c r="D46" s="1496" t="s">
        <v>233</v>
      </c>
      <c r="E46" s="2411"/>
      <c r="F46" s="2411"/>
      <c r="G46" s="2411"/>
      <c r="H46" s="2411"/>
      <c r="I46" s="2248" t="str">
        <f>S45&amp;".1"</f>
        <v>....1</v>
      </c>
      <c r="J46" s="1496"/>
      <c r="K46" s="1496"/>
      <c r="L46" s="1502" t="s">
        <v>427</v>
      </c>
      <c r="M46" s="1367"/>
      <c r="N46" s="1367"/>
      <c r="O46" s="1367"/>
      <c r="P46" s="2378">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7217" customFormat="1" customHeight="1" ht="0">
      <c r="A47" s="1496" t="s">
        <v>230</v>
      </c>
      <c r="B47" s="1496" t="s">
        <v>231</v>
      </c>
      <c r="C47" s="1496" t="s">
        <v>232</v>
      </c>
      <c r="D47" s="1496" t="s">
        <v>233</v>
      </c>
      <c r="E47" s="2411"/>
      <c r="F47" s="2411"/>
      <c r="G47" s="2411"/>
      <c r="H47" s="2411"/>
      <c r="I47" s="2222"/>
      <c r="J47" s="2248" t="str">
        <f>S45&amp;".1"</f>
        <v>....1</v>
      </c>
      <c r="K47" s="1496"/>
      <c r="L47" s="1502"/>
      <c r="M47" s="1367"/>
      <c r="N47" s="1367"/>
      <c r="O47" s="1367"/>
      <c r="P47" s="2378"/>
      <c r="Q47" s="2378">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22.049999999999997">
      <c r="A48" s="1388" t="s">
        <v>230</v>
      </c>
      <c r="B48" s="1388" t="s">
        <v>231</v>
      </c>
      <c r="C48" s="1388" t="s">
        <v>232</v>
      </c>
      <c r="D48" s="1388" t="s">
        <v>233</v>
      </c>
      <c r="E48" s="2411"/>
      <c r="F48" s="2411"/>
      <c r="G48" s="2411"/>
      <c r="H48" s="2411"/>
      <c r="I48" s="2222"/>
      <c r="J48" s="2222"/>
      <c r="K48" s="2062" t="str">
        <f>S45&amp;".1"</f>
        <v>....1</v>
      </c>
      <c r="L48" s="1431"/>
      <c r="P48" s="2378"/>
      <c r="Q48" s="2378"/>
      <c r="R48" s="478">
        <v>1</v>
      </c>
      <c r="S48" s="2083" t="str">
        <f>$K48</f>
        <v>....1</v>
      </c>
      <c r="T48" s="2082"/>
      <c r="U48" s="421"/>
      <c r="V48" s="872"/>
      <c r="W48" s="1378"/>
      <c r="X48" s="2076"/>
      <c r="Y48" s="2063" t="s">
        <v>66</v>
      </c>
      <c r="Z48" s="2076"/>
      <c r="AA48" s="2063" t="s">
        <v>66</v>
      </c>
      <c r="AB48" s="2085"/>
      <c r="AC48" s="2084" t="s">
        <v>28</v>
      </c>
      <c r="AD48" s="872"/>
      <c r="AE48" s="1378"/>
      <c r="AF48" s="2076"/>
      <c r="AG48" s="2063" t="s">
        <v>66</v>
      </c>
      <c r="AH48" s="2076"/>
      <c r="AI48" s="2063" t="s">
        <v>66</v>
      </c>
      <c r="AJ48" s="1469"/>
      <c r="AK48" s="2374" t="s">
        <v>502</v>
      </c>
      <c r="AL48" s="1757">
        <f>STRCHECKDATE(#REF!)</f>
      </c>
      <c r="AM48" s="1745"/>
      <c r="AN48" s="1745" t="str">
        <f>IF(T48="","",T48)</f>
        <v/>
      </c>
      <c r="AO48" s="1745"/>
      <c r="AP48" s="1745"/>
      <c r="AQ48" s="1752">
        <v>21</v>
      </c>
    </row>
    <row customHeight="1" ht="11.549999999999999">
      <c r="A49" s="1388" t="s">
        <v>230</v>
      </c>
      <c r="B49" s="1388" t="s">
        <v>231</v>
      </c>
      <c r="C49" s="1388" t="s">
        <v>232</v>
      </c>
      <c r="D49" s="1388" t="s">
        <v>233</v>
      </c>
      <c r="E49" s="2411"/>
      <c r="F49" s="2411"/>
      <c r="G49" s="2411"/>
      <c r="H49" s="2411"/>
      <c r="I49" s="2222"/>
      <c r="J49" s="2248"/>
      <c r="K49" s="1388"/>
      <c r="L49" s="1431"/>
      <c r="P49" s="2378"/>
      <c r="Q49" s="2378"/>
      <c r="R49" s="477"/>
      <c r="S49" s="1399"/>
      <c r="T49" s="408" t="s">
        <v>490</v>
      </c>
      <c r="U49" s="721"/>
      <c r="V49" s="721"/>
      <c r="W49" s="721"/>
      <c r="X49" s="721"/>
      <c r="Y49" s="721"/>
      <c r="Z49" s="721"/>
      <c r="AA49" s="445"/>
      <c r="AB49" s="721"/>
      <c r="AC49" s="721"/>
      <c r="AD49" s="721"/>
      <c r="AE49" s="721"/>
      <c r="AF49" s="721"/>
      <c r="AG49" s="721"/>
      <c r="AH49" s="721"/>
      <c r="AI49" s="721"/>
      <c r="AJ49" s="445"/>
      <c r="AK49" s="2376"/>
      <c r="AM49" s="1745"/>
      <c r="AN49" s="1745" t="str">
        <f>IF(T49="","",T49)</f>
        <v>Добавить строку</v>
      </c>
      <c r="AO49" s="1745"/>
      <c r="AP49" s="1745"/>
      <c r="AQ49" s="1752">
        <v>11</v>
      </c>
    </row>
    <row s="7217" customFormat="1" customHeight="1" ht="1.05">
      <c r="A50" s="1496" t="s">
        <v>230</v>
      </c>
      <c r="B50" s="1496" t="s">
        <v>231</v>
      </c>
      <c r="C50" s="1496" t="s">
        <v>232</v>
      </c>
      <c r="D50" s="1496" t="s">
        <v>233</v>
      </c>
      <c r="E50" s="2411"/>
      <c r="F50" s="2411"/>
      <c r="G50" s="2411"/>
      <c r="H50" s="2411"/>
      <c r="I50" s="2248"/>
      <c r="J50" s="1496"/>
      <c r="K50" s="1496"/>
      <c r="L50" s="1502"/>
      <c r="M50" s="1367"/>
      <c r="N50" s="1367"/>
      <c r="O50" s="1367"/>
      <c r="P50" s="2378"/>
      <c r="Q50" s="2075"/>
      <c r="R50" s="477"/>
      <c r="S50" s="1507"/>
      <c r="T50" s="1508" t="s">
        <v>436</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812" customFormat="1" customHeight="1" ht="1.05">
      <c r="A51" s="1496" t="s">
        <v>230</v>
      </c>
      <c r="B51" s="1496" t="s">
        <v>231</v>
      </c>
      <c r="C51" s="1496" t="s">
        <v>232</v>
      </c>
      <c r="D51" s="1496" t="s">
        <v>233</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7217" customFormat="1" customHeight="1" ht="1.05">
      <c r="A52" s="1496" t="s">
        <v>230</v>
      </c>
      <c r="B52" s="1496" t="s">
        <v>231</v>
      </c>
      <c r="C52" s="1496" t="s">
        <v>232</v>
      </c>
      <c r="D52" s="1495"/>
      <c r="E52" s="2411"/>
      <c r="F52" s="2411"/>
      <c r="G52" s="2410"/>
      <c r="H52" s="1495"/>
      <c r="I52" s="1495"/>
      <c r="J52" s="1495"/>
      <c r="K52" s="1495"/>
      <c r="L52" s="1498"/>
      <c r="M52" s="1499"/>
      <c r="N52" s="1499"/>
      <c r="O52" s="472"/>
      <c r="P52" s="1437"/>
      <c r="Q52" s="1438"/>
      <c r="R52" s="1437"/>
      <c r="S52" s="1443"/>
      <c r="T52" s="1446" t="s">
        <v>175</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7217" customFormat="1" customHeight="1" ht="1.05">
      <c r="A53" s="1496" t="s">
        <v>230</v>
      </c>
      <c r="B53" s="1496" t="s">
        <v>231</v>
      </c>
      <c r="C53" s="1495"/>
      <c r="D53" s="1495"/>
      <c r="E53" s="2411"/>
      <c r="F53" s="2410"/>
      <c r="G53" s="1495"/>
      <c r="H53" s="1495"/>
      <c r="I53" s="1495"/>
      <c r="J53" s="1495"/>
      <c r="K53" s="1495"/>
      <c r="L53" s="1498"/>
      <c r="M53" s="1500"/>
      <c r="N53" s="1500"/>
      <c r="O53" s="472"/>
      <c r="P53" s="1437"/>
      <c r="Q53" s="1438"/>
      <c r="R53" s="1437"/>
      <c r="S53" s="1443"/>
      <c r="T53" s="1446" t="s">
        <v>176</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7217" customFormat="1" customHeight="1" ht="1.05">
      <c r="A54" s="1496" t="s">
        <v>230</v>
      </c>
      <c r="B54" s="1496"/>
      <c r="C54" s="1496"/>
      <c r="D54" s="1496"/>
      <c r="E54" s="2411"/>
      <c r="F54" s="1496"/>
      <c r="G54" s="1496"/>
      <c r="H54" s="1496"/>
      <c r="I54" s="1496"/>
      <c r="J54" s="1496"/>
      <c r="K54" s="1496"/>
      <c r="L54" s="1502"/>
      <c r="M54" s="1500"/>
      <c r="N54" s="1500"/>
      <c r="O54" s="472"/>
      <c r="P54" s="501"/>
      <c r="Q54" s="1465"/>
      <c r="R54" s="501"/>
      <c r="S54" s="1443"/>
      <c r="T54" s="1446" t="s">
        <v>177</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7217" customFormat="1" customHeight="1" ht="1.05">
      <c r="A55" s="1496" t="s">
        <v>230</v>
      </c>
      <c r="B55" s="1496"/>
      <c r="C55" s="1496"/>
      <c r="D55" s="1496"/>
      <c r="E55" s="2410"/>
      <c r="F55" s="1496"/>
      <c r="G55" s="1496"/>
      <c r="H55" s="1496"/>
      <c r="I55" s="1496"/>
      <c r="J55" s="1496"/>
      <c r="K55" s="1496"/>
      <c r="L55" s="1502"/>
      <c r="M55" s="1500"/>
      <c r="N55" s="1500"/>
      <c r="O55" s="472"/>
      <c r="P55" s="501"/>
      <c r="Q55" s="1465"/>
      <c r="R55" s="501"/>
      <c r="S55" s="1443"/>
      <c r="T55" s="1446" t="s">
        <v>177</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7217"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183</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06"/>
      <c r="U58" s="2406"/>
      <c r="V58" s="2406"/>
      <c r="W58" s="2406"/>
      <c r="X58" s="2406"/>
      <c r="Y58" s="2406"/>
      <c r="Z58" s="2406"/>
      <c r="AA58" s="2406"/>
      <c r="AB58" s="2406"/>
      <c r="AC58" s="2406"/>
      <c r="AD58" s="2406"/>
      <c r="AE58" s="2406"/>
      <c r="AF58" s="2406"/>
      <c r="AG58" s="2406"/>
      <c r="AH58" s="2406"/>
      <c r="AI58" s="2406"/>
      <c r="AJ58" s="2406"/>
      <c r="AK58" s="2406"/>
      <c r="AQ58" s="1752">
        <v>19</v>
      </c>
    </row>
    <row customHeight="1" ht="21">
      <c r="O59" s="1756"/>
      <c r="T59" s="2406"/>
      <c r="U59" s="2406"/>
      <c r="V59" s="2406"/>
      <c r="W59" s="2406"/>
      <c r="X59" s="2406"/>
      <c r="Y59" s="2406"/>
      <c r="Z59" s="2406"/>
      <c r="AA59" s="2406"/>
      <c r="AB59" s="2406"/>
      <c r="AC59" s="2406"/>
      <c r="AD59" s="2406"/>
      <c r="AE59" s="2406"/>
      <c r="AF59" s="2406"/>
      <c r="AG59" s="2406"/>
      <c r="AH59" s="2406"/>
      <c r="AI59" s="2406"/>
      <c r="AJ59" s="2406"/>
      <c r="AK59" s="2406"/>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406"/>
      <c r="U61" s="2406"/>
      <c r="V61" s="2406"/>
      <c r="W61" s="2406"/>
      <c r="X61" s="2406"/>
      <c r="Y61" s="2406"/>
      <c r="Z61" s="2406"/>
      <c r="AA61" s="2406"/>
      <c r="AB61" s="2406"/>
      <c r="AC61" s="2406"/>
      <c r="AD61" s="2406"/>
      <c r="AE61" s="2406"/>
      <c r="AF61" s="2406"/>
      <c r="AG61" s="2406"/>
      <c r="AH61" s="2406"/>
      <c r="AI61" s="2406"/>
      <c r="AJ61" s="2406"/>
      <c r="AK61" s="2406"/>
      <c r="AQ61" s="1752">
        <v>19</v>
      </c>
    </row>
    <row customHeight="1" ht="16.8">
      <c r="O62" s="1756"/>
      <c r="T62" s="2406"/>
      <c r="U62" s="2406"/>
      <c r="V62" s="2406"/>
      <c r="W62" s="2406"/>
      <c r="X62" s="2406"/>
      <c r="Y62" s="2406"/>
      <c r="Z62" s="2406"/>
      <c r="AA62" s="2406"/>
      <c r="AB62" s="2406"/>
      <c r="AC62" s="2406"/>
      <c r="AD62" s="2406"/>
      <c r="AE62" s="2406"/>
      <c r="AF62" s="2406"/>
      <c r="AG62" s="2406"/>
      <c r="AH62" s="2406"/>
      <c r="AI62" s="2406"/>
      <c r="AJ62" s="2406"/>
      <c r="AK62" s="2406"/>
      <c r="AQ62" s="1752">
        <v>16</v>
      </c>
    </row>
    <row customHeight="1" ht="14.699999999999998">
      <c r="O63" s="1756"/>
      <c r="AQ63" s="1752">
        <v>14</v>
      </c>
    </row>
    <row customHeight="1" ht="22.5" hidden="1">
      <c r="A64" s="1752" t="s">
        <v>82</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7E974-9C78-9291-12A4-0.3DAAE3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669" width="11.57421875" hidden="1" customWidth="1"/>
    <col min="2" max="2" style="7669" width="11.00390625" hidden="1" customWidth="1"/>
    <col min="3" max="3" style="7669" width="10.57421875" hidden="1"/>
    <col min="4" max="4" style="7669" width="12.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6894" width="3.7109375" hidden="1" customWidth="1"/>
    <col min="17" max="17" style="6960" width="3.7109375" hidden="1" customWidth="1"/>
    <col min="18" max="18" style="7739" width="3.00390625" customWidth="1"/>
    <col min="19" max="19" style="8401" width="12.00390625" customWidth="1"/>
    <col min="20" max="20" style="7720" width="31.00390625" customWidth="1"/>
    <col min="21" max="21" style="7720" width="0.140625" customWidth="1"/>
    <col min="22" max="25" style="7720" width="21.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3.7109375" customWidth="1"/>
    <col min="31" max="32" style="7720" width="3.00390625" customWidth="1"/>
    <col min="33" max="33" style="7720" width="24.00390625" customWidth="1"/>
    <col min="34" max="34" style="7720" width="3.7109375" customWidth="1"/>
    <col min="35" max="36" style="7720" width="3.00390625" customWidth="1"/>
    <col min="37" max="37" style="7720" width="24.00390625" customWidth="1"/>
    <col min="38" max="38" style="7720" width="3.7109375" customWidth="1"/>
    <col min="39" max="40" style="7720" width="3.00390625" customWidth="1"/>
    <col min="41" max="41" style="7720" width="18.00390625" customWidth="1"/>
    <col min="42" max="42" style="7720" width="3.7109375" customWidth="1"/>
    <col min="43" max="44" style="7720" width="3.00390625" customWidth="1"/>
    <col min="45" max="45" style="7720" width="18.00390625" customWidth="1"/>
    <col min="46" max="49" style="7720" width="21.00390625" customWidth="1"/>
    <col min="50" max="50" style="7720" width="11.00390625" customWidth="1"/>
    <col min="51" max="51" style="7720" width="3.7109375" customWidth="1"/>
    <col min="52" max="52" style="7720" width="11.00390625" customWidth="1"/>
    <col min="53" max="53" style="7720" width="8.57421875" hidden="1" customWidth="1"/>
    <col min="54" max="54" style="7720" width="4.00390625" customWidth="1"/>
    <col min="55" max="55" style="7720" width="115.00390625" customWidth="1"/>
    <col min="56" max="60" style="7217" width="10.00390625" customWidth="1"/>
    <col min="61" max="61" style="7720"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586">
        <f>INDEX(PT_DIFFERENTIATION_NUM_NTAR,MATCH(A2,PT_DIFFERENTIATION_NTAR_ID,0))</f>
      </c>
      <c r="T2" s="419" t="s">
        <v>136</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586">
        <f>INDEX(PT_DIFFERENTIATION_NUM_TER,MATCH(B3,PT_DIFFERENTIATION_TER_ID,0))</f>
      </c>
      <c r="T3" s="429" t="s">
        <v>421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422</v>
      </c>
      <c r="BE3" s="621"/>
      <c r="BF3" s="621" t="str">
        <f>IF(T3="","",T3)</f>
        <v>Территория действия тарифа</v>
      </c>
      <c r="BG3" s="621"/>
      <c r="BH3" s="621"/>
      <c r="BI3" s="1276">
        <v>0</v>
      </c>
    </row>
    <row customHeight="1" ht="42" hidden="1">
      <c r="A4" s="1484"/>
      <c r="B4" s="1484"/>
      <c r="C4" s="1484"/>
      <c r="D4" s="1484"/>
      <c r="E4" s="2380"/>
      <c r="F4" s="2380"/>
      <c r="G4" s="2379">
        <v>1</v>
      </c>
      <c r="H4" s="1484"/>
      <c r="I4" s="1484"/>
      <c r="J4" s="1484"/>
      <c r="K4" s="1484"/>
      <c r="L4" s="1485"/>
      <c r="M4" s="1486"/>
      <c r="N4" s="1486"/>
      <c r="O4" s="1486"/>
      <c r="P4" s="1533"/>
      <c r="Q4" s="1532"/>
      <c r="R4" s="474"/>
      <c r="S4" s="1586">
        <f>INDEX(PT_DIFFERENTIATION_NUM_CS,MATCH(C4,PT_DIFFERENTIATION_CS_ID,0))</f>
      </c>
      <c r="T4" s="430" t="s">
        <v>503</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504</v>
      </c>
      <c r="BE4" s="621"/>
      <c r="BF4" s="621" t="str">
        <f>IF(T4="","",T4)</f>
        <v>Наименование централизованной системы холодного водоснабжения</v>
      </c>
      <c r="BG4" s="621"/>
      <c r="BH4" s="621"/>
      <c r="BI4" s="1276">
        <v>0</v>
      </c>
    </row>
    <row s="721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426</v>
      </c>
      <c r="BE5" s="621"/>
      <c r="BF5" s="621" t="str">
        <f>IF(T5="","",T5)</f>
        <v/>
      </c>
      <c r="BG5" s="621"/>
      <c r="BH5" s="621"/>
      <c r="BI5" s="632">
        <v>0</v>
      </c>
    </row>
    <row s="7217" customFormat="1" customHeight="1" ht="14.25" hidden="1">
      <c r="A6" s="1464"/>
      <c r="B6" s="1464"/>
      <c r="C6" s="1464"/>
      <c r="D6" s="1464"/>
      <c r="E6" s="2380"/>
      <c r="F6" s="2380"/>
      <c r="G6" s="2380"/>
      <c r="H6" s="2380"/>
      <c r="I6" s="2377" t="str">
        <f>S5&amp;".1"</f>
        <v>.1</v>
      </c>
      <c r="J6" s="1464"/>
      <c r="K6" s="1464"/>
      <c r="L6" s="1467" t="s">
        <v>427</v>
      </c>
      <c r="M6" s="631"/>
      <c r="N6" s="631"/>
      <c r="O6" s="631"/>
      <c r="P6" s="2378">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1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80" t="s">
        <v>66</v>
      </c>
      <c r="AB8" s="1855"/>
      <c r="AC8" s="1580" t="s">
        <v>66</v>
      </c>
      <c r="AD8" s="2306" t="s">
        <v>66</v>
      </c>
      <c r="AE8" s="2447"/>
      <c r="AF8" s="2326">
        <v>1</v>
      </c>
      <c r="AG8" s="2484"/>
      <c r="AH8" s="2228" t="s">
        <v>66</v>
      </c>
      <c r="AI8" s="2447"/>
      <c r="AJ8" s="2326">
        <v>1</v>
      </c>
      <c r="AK8" s="2448" t="s">
        <v>28</v>
      </c>
      <c r="AL8" s="2228" t="s">
        <v>66</v>
      </c>
      <c r="AM8" s="2313"/>
      <c r="AN8" s="2326">
        <v>1</v>
      </c>
      <c r="AO8" s="2478"/>
      <c r="AP8" s="2479" t="s">
        <v>66</v>
      </c>
      <c r="AQ8" s="432"/>
      <c r="AR8" s="1584">
        <v>1</v>
      </c>
      <c r="AS8" s="1587" t="s">
        <v>28</v>
      </c>
      <c r="AT8" s="872"/>
      <c r="AU8" s="1378"/>
      <c r="AV8" s="872"/>
      <c r="AW8" s="1378"/>
      <c r="AX8" s="1855"/>
      <c r="AY8" s="1580" t="s">
        <v>66</v>
      </c>
      <c r="AZ8" s="1855"/>
      <c r="BA8" s="1580" t="s">
        <v>66</v>
      </c>
      <c r="BB8" s="1469"/>
      <c r="BC8" s="2374" t="s">
        <v>523</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524</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525</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526</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527</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490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17" customFormat="1" customHeight="1" ht="14.25" hidden="1">
      <c r="A14" s="1464"/>
      <c r="B14" s="1464"/>
      <c r="C14" s="1464"/>
      <c r="D14" s="1464"/>
      <c r="E14" s="2380"/>
      <c r="F14" s="2380"/>
      <c r="G14" s="2380"/>
      <c r="H14" s="2380"/>
      <c r="I14" s="2377"/>
      <c r="J14" s="1464"/>
      <c r="K14" s="1464"/>
      <c r="L14" s="1467"/>
      <c r="M14" s="631"/>
      <c r="N14" s="631"/>
      <c r="O14" s="631"/>
      <c r="P14" s="2378"/>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1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17" customFormat="1" customHeight="1" ht="14.25" hidden="1">
      <c r="A16" s="1464"/>
      <c r="B16" s="1464"/>
      <c r="C16" s="1464"/>
      <c r="D16" s="1435"/>
      <c r="E16" s="2380"/>
      <c r="F16" s="2380"/>
      <c r="G16" s="2379"/>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17" customFormat="1" customHeight="1" ht="14.25" hidden="1">
      <c r="A17" s="1464"/>
      <c r="B17" s="1464"/>
      <c r="C17" s="1435"/>
      <c r="D17" s="1435"/>
      <c r="E17" s="2380"/>
      <c r="F17" s="2379"/>
      <c r="G17" s="1435"/>
      <c r="H17" s="1435"/>
      <c r="I17" s="1435"/>
      <c r="J17" s="1435"/>
      <c r="K17" s="1435"/>
      <c r="L17" s="1585"/>
      <c r="M17" s="1442"/>
      <c r="N17" s="1442"/>
      <c r="P17" s="1437"/>
      <c r="Q17" s="1438"/>
      <c r="R17" s="1437"/>
      <c r="S17" s="1443"/>
      <c r="T17" s="1446" t="s">
        <v>176</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1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177</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66</v>
      </c>
      <c r="AZ20" s="1857"/>
      <c r="BA20" s="1581" t="s">
        <v>66</v>
      </c>
      <c r="BI20" s="1276">
        <v>0</v>
      </c>
    </row>
    <row customHeight="1" ht="14.25" hidden="1">
      <c r="BD21" s="617"/>
      <c r="BE21" s="617"/>
      <c r="BF21" s="617"/>
      <c r="BG21" s="617"/>
      <c r="BH21" s="617"/>
      <c r="BI21" s="1276">
        <v>0</v>
      </c>
    </row>
    <row customHeight="1" ht="14.25" hidden="1">
      <c r="O22" s="1488" t="s">
        <v>438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935" customFormat="1" customHeight="1" ht="14.25" hidden="1">
      <c r="M24" s="1629"/>
      <c r="N24" s="1629"/>
      <c r="O24" s="1630" t="s">
        <v>439</v>
      </c>
      <c r="P24" s="1629"/>
      <c r="Q24" s="1631"/>
      <c r="R24" s="1631"/>
      <c r="AA24" s="1628" t="s">
        <v>441</v>
      </c>
      <c r="AC24" s="1628" t="s">
        <v>442</v>
      </c>
      <c r="AD24" s="1628" t="s">
        <v>491</v>
      </c>
      <c r="AH24" s="1628" t="s">
        <v>491</v>
      </c>
      <c r="AK24" s="1628" t="s">
        <v>528</v>
      </c>
      <c r="AL24" s="1628" t="s">
        <v>491</v>
      </c>
      <c r="AP24" s="1628" t="s">
        <v>491</v>
      </c>
      <c r="AY24" s="1628" t="s">
        <v>441</v>
      </c>
      <c r="BA24" s="1628" t="s">
        <v>442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ПАО "ТГК-1" филиал "Невский"</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00"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00"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444</v>
      </c>
      <c r="T32" s="2371"/>
      <c r="U32" s="1493"/>
      <c r="V32" s="2385" t="str">
        <f>IF(TITLE_DATE_PR_CHANGE="",IF(TITLE_DATE_PR="","",TITLE_DATE_PR),TITLE_DATE_PR_CHANGE)</f>
        <v>45777</v>
      </c>
      <c r="W32" s="2385"/>
      <c r="X32" s="2385"/>
      <c r="Y32" s="2385"/>
      <c r="Z32" s="2385"/>
      <c r="AA32" s="2385"/>
      <c r="AB32" s="2385"/>
      <c r="AC32" s="447"/>
      <c r="AD32" s="2385" t="str">
        <f>IF(TITLE_DATE_PR_CHANGE="",IF(TITLE_DATE_PR="","",TITLE_DATE_PR),TITLE_DATE_PR_CHANGE)</f>
        <v>45777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00"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445</v>
      </c>
      <c r="T33" s="2371"/>
      <c r="U33" s="1493"/>
      <c r="V33" s="2372" t="str">
        <f>IF(TITLE_NUMBER_PR_CHANGE="",IF(TITLE_NUMBER_PR="","",TITLE_NUMBER_PR),TITLE_NUMBER_PR_CHANGE)</f>
        <v>33-01/80</v>
      </c>
      <c r="W33" s="2372"/>
      <c r="X33" s="2372"/>
      <c r="Y33" s="2372"/>
      <c r="Z33" s="2372"/>
      <c r="AA33" s="2372"/>
      <c r="AB33" s="2372"/>
      <c r="AC33" s="447"/>
      <c r="AD33" s="2372" t="str">
        <f>IF(TITLE_NUMBER_PR_CHANGE="",IF(TITLE_NUMBER_PR="","",TITLE_NUMBER_PR),TITLE_NUMBER_PR_CHANGE)</f>
        <v>33-01/80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00"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00" customFormat="1" customHeight="1" ht="18.75">
      <c r="A36" s="1489"/>
      <c r="B36" s="1489"/>
      <c r="C36" s="1489"/>
      <c r="D36" s="1489"/>
      <c r="E36" s="1489"/>
      <c r="F36" s="1489"/>
      <c r="G36" s="1489"/>
      <c r="H36" s="1489"/>
      <c r="I36" s="1489"/>
      <c r="J36" s="1489"/>
      <c r="K36" s="1489"/>
      <c r="L36" s="1490"/>
      <c r="M36" s="1489"/>
      <c r="N36" s="1489"/>
      <c r="O36" s="1489"/>
      <c r="P36" s="1489"/>
      <c r="Q36" s="1489"/>
      <c r="S36" s="2371" t="s">
        <v>444</v>
      </c>
      <c r="T36" s="2371"/>
      <c r="U36" s="1493"/>
      <c r="V36" s="2385" t="str">
        <f>IF(TITLE_DATE_PR_CHANGE="",IF(TITLE_DATE_PR="","",TITLE_DATE_PR),TITLE_DATE_PR_CHANGE)</f>
        <v>45777</v>
      </c>
      <c r="W36" s="2385"/>
      <c r="X36" s="2385"/>
      <c r="Y36" s="2385"/>
      <c r="Z36" s="2385"/>
      <c r="AA36" s="2385"/>
      <c r="AB36" s="2385"/>
      <c r="AC36" s="447"/>
      <c r="AD36" s="2385" t="str">
        <f>IF(TITLE_DATE_PR_CHANGE="",IF(TITLE_DATE_PR="","",TITLE_DATE_PR),TITLE_DATE_PR_CHANGE)</f>
        <v>45777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00" customFormat="1" customHeight="1" ht="18.75">
      <c r="A37" s="1489"/>
      <c r="B37" s="1489"/>
      <c r="C37" s="1489"/>
      <c r="D37" s="1489"/>
      <c r="E37" s="1489"/>
      <c r="F37" s="1489"/>
      <c r="G37" s="1489"/>
      <c r="H37" s="1489"/>
      <c r="I37" s="1489"/>
      <c r="J37" s="1489"/>
      <c r="K37" s="1489"/>
      <c r="L37" s="1490"/>
      <c r="M37" s="1489"/>
      <c r="N37" s="1489"/>
      <c r="O37" s="1489"/>
      <c r="P37" s="1489"/>
      <c r="Q37" s="1489"/>
      <c r="S37" s="2371" t="s">
        <v>445</v>
      </c>
      <c r="T37" s="2371"/>
      <c r="U37" s="1493"/>
      <c r="V37" s="2372" t="str">
        <f>IF(TITLE_NUMBER_PR_CHANGE="",IF(TITLE_NUMBER_PR="","",TITLE_NUMBER_PR),TITLE_NUMBER_PR_CHANGE)</f>
        <v>33-01/80</v>
      </c>
      <c r="W37" s="2372"/>
      <c r="X37" s="2372"/>
      <c r="Y37" s="2372"/>
      <c r="Z37" s="2372"/>
      <c r="AA37" s="2372"/>
      <c r="AB37" s="2372"/>
      <c r="AC37" s="447"/>
      <c r="AD37" s="2372" t="str">
        <f>IF(TITLE_NUMBER_PR_CHANGE="",IF(TITLE_NUMBER_PR="","",TITLE_NUMBER_PR),TITLE_NUMBER_PR_CHANGE)</f>
        <v>33-01/80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00"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448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448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324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325</v>
      </c>
      <c r="BI40" s="1276">
        <v>14</v>
      </c>
    </row>
    <row customHeight="1" ht="14.699999999999998">
      <c r="Q41" s="412"/>
      <c r="R41" s="497"/>
      <c r="S41" s="2394" t="s">
        <v>88</v>
      </c>
      <c r="T41" s="2330" t="s">
        <v>529</v>
      </c>
      <c r="U41" s="422"/>
      <c r="V41" s="2395" t="s">
        <v>450</v>
      </c>
      <c r="W41" s="2396"/>
      <c r="X41" s="2396"/>
      <c r="Y41" s="2396"/>
      <c r="Z41" s="2396"/>
      <c r="AA41" s="2396"/>
      <c r="AB41" s="2397"/>
      <c r="AC41" s="2398" t="s">
        <v>451</v>
      </c>
      <c r="AD41" s="2449" t="s">
        <v>530</v>
      </c>
      <c r="AE41" s="2412"/>
      <c r="AF41" s="2412"/>
      <c r="AG41" s="2450"/>
      <c r="AH41" s="2449" t="s">
        <v>531</v>
      </c>
      <c r="AI41" s="2412"/>
      <c r="AJ41" s="2412"/>
      <c r="AK41" s="2450"/>
      <c r="AL41" s="2449" t="s">
        <v>532</v>
      </c>
      <c r="AM41" s="2412"/>
      <c r="AN41" s="2412"/>
      <c r="AO41" s="2450"/>
      <c r="AP41" s="2449" t="s">
        <v>533</v>
      </c>
      <c r="AQ41" s="2412"/>
      <c r="AR41" s="2412"/>
      <c r="AS41" s="2450"/>
      <c r="AT41" s="2395" t="s">
        <v>450</v>
      </c>
      <c r="AU41" s="2396"/>
      <c r="AV41" s="2396"/>
      <c r="AW41" s="2396"/>
      <c r="AX41" s="2396"/>
      <c r="AY41" s="2396"/>
      <c r="AZ41" s="2397"/>
      <c r="BA41" s="2398" t="s">
        <v>451</v>
      </c>
      <c r="BB41" s="2401" t="s">
        <v>453</v>
      </c>
      <c r="BC41" s="2248"/>
      <c r="BI41" s="1276">
        <v>14</v>
      </c>
    </row>
    <row customHeight="1" ht="35.699999999999996">
      <c r="Q42" s="412"/>
      <c r="R42" s="497"/>
      <c r="S42" s="2394"/>
      <c r="T42" s="2330"/>
      <c r="U42" s="1152"/>
      <c r="V42" s="2313" t="s">
        <v>534</v>
      </c>
      <c r="W42" s="2314"/>
      <c r="X42" s="2313" t="s">
        <v>535</v>
      </c>
      <c r="Y42" s="2314"/>
      <c r="Z42" s="2415" t="s">
        <v>536</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534</v>
      </c>
      <c r="AU42" s="2314"/>
      <c r="AV42" s="2313" t="s">
        <v>535</v>
      </c>
      <c r="AW42" s="2314"/>
      <c r="AX42" s="2415" t="s">
        <v>536</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148</v>
      </c>
      <c r="C44" s="1491" t="s">
        <v>149</v>
      </c>
      <c r="D44" s="1491" t="s">
        <v>150</v>
      </c>
      <c r="E44" s="1485" t="s">
        <v>458</v>
      </c>
      <c r="F44" s="1485" t="s">
        <v>459</v>
      </c>
      <c r="G44" s="1485" t="s">
        <v>460</v>
      </c>
      <c r="H44" s="1485" t="s">
        <v>461</v>
      </c>
      <c r="I44" s="1485" t="s">
        <v>462</v>
      </c>
      <c r="J44" s="1485" t="s">
        <v>463</v>
      </c>
      <c r="K44" s="1485" t="s">
        <v>464</v>
      </c>
      <c r="L44" s="1485" t="s">
        <v>439</v>
      </c>
      <c r="Q44" s="412"/>
      <c r="R44" s="497"/>
      <c r="S44" s="2394"/>
      <c r="T44" s="2330"/>
      <c r="U44" s="423"/>
      <c r="V44" s="1569" t="s">
        <v>500</v>
      </c>
      <c r="W44" s="1569" t="s">
        <v>501</v>
      </c>
      <c r="X44" s="1569" t="s">
        <v>500</v>
      </c>
      <c r="Y44" s="1569" t="s">
        <v>501</v>
      </c>
      <c r="Z44" s="1576" t="s">
        <v>467</v>
      </c>
      <c r="AA44" s="2391" t="s">
        <v>468</v>
      </c>
      <c r="AB44" s="2392"/>
      <c r="AC44" s="2400"/>
      <c r="AD44" s="2454"/>
      <c r="AE44" s="2455"/>
      <c r="AF44" s="2455"/>
      <c r="AG44" s="2456"/>
      <c r="AH44" s="2454"/>
      <c r="AI44" s="2455"/>
      <c r="AJ44" s="2455"/>
      <c r="AK44" s="2456"/>
      <c r="AL44" s="2454"/>
      <c r="AM44" s="2455"/>
      <c r="AN44" s="2455"/>
      <c r="AO44" s="2456"/>
      <c r="AP44" s="2454"/>
      <c r="AQ44" s="2455"/>
      <c r="AR44" s="2455"/>
      <c r="AS44" s="2456"/>
      <c r="AT44" s="1569" t="s">
        <v>500</v>
      </c>
      <c r="AU44" s="1569" t="s">
        <v>501</v>
      </c>
      <c r="AV44" s="1569" t="s">
        <v>500</v>
      </c>
      <c r="AW44" s="1569" t="s">
        <v>501</v>
      </c>
      <c r="AX44" s="1576" t="s">
        <v>467</v>
      </c>
      <c r="AY44" s="2391" t="s">
        <v>468</v>
      </c>
      <c r="AZ44" s="2392"/>
      <c r="BA44" s="2400"/>
      <c r="BB44" s="2403"/>
      <c r="BC44" s="2248"/>
      <c r="BI44" s="1276">
        <v>14</v>
      </c>
    </row>
    <row s="6812"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123</v>
      </c>
      <c r="T45" s="1376" t="s">
        <v>103</v>
      </c>
      <c r="U45" s="1366" t="str">
        <f>OFFSET(U45,0,-1)</f>
        <v>2</v>
      </c>
      <c r="V45" s="1572">
        <f>OFFSET(V45,0,-1)+1</f>
        <v>3</v>
      </c>
      <c r="W45" s="1572">
        <f>OFFSET(W45,0,-1)+1</f>
        <v>4</v>
      </c>
      <c r="X45" s="1572">
        <f>OFFSET(X45,0,-1)+1</f>
        <v>5</v>
      </c>
      <c r="Y45" s="1572">
        <f>OFFSET(Y45,0,-1)+1</f>
        <v>6</v>
      </c>
      <c r="Z45" s="1572">
        <f>OFFSET(Z45,0,-1)+1</f>
        <v>7</v>
      </c>
      <c r="AA45" s="2393">
        <f>OFFSET(AA45,0,-1)+1</f>
        <v>8</v>
      </c>
      <c r="AB45" s="2393"/>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3">
        <f>OFFSET(AY45,0,-1)+1</f>
        <v>3</v>
      </c>
      <c r="AZ45" s="2393"/>
      <c r="BA45" s="1572">
        <f>OFFSET(BA45,0,-2)+1</f>
        <v>4</v>
      </c>
      <c r="BB45" s="1366">
        <f>OFFSET(BB45,0,-1)</f>
        <v>4</v>
      </c>
      <c r="BC45" s="1572">
        <f>OFFSET(BC45,0,-1)+1</f>
        <v>5</v>
      </c>
      <c r="BD45" s="632"/>
      <c r="BE45" s="632"/>
      <c r="BF45" s="632"/>
      <c r="BG45" s="632"/>
      <c r="BH45" s="632"/>
      <c r="BI45" s="617">
        <v>0</v>
      </c>
    </row>
    <row customHeight="1" ht="22.049999999999997">
      <c r="A46" s="1484" t="s">
        <v>270</v>
      </c>
      <c r="B46" s="1484"/>
      <c r="C46" s="1484"/>
      <c r="D46" s="1484"/>
      <c r="E46" s="2379">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136</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270</v>
      </c>
      <c r="B47" s="1484" t="s">
        <v>271</v>
      </c>
      <c r="C47" s="1484"/>
      <c r="D47" s="1484"/>
      <c r="E47" s="2380"/>
      <c r="F47" s="2379">
        <v>1</v>
      </c>
      <c r="G47" s="1484"/>
      <c r="H47" s="1484"/>
      <c r="I47" s="1484"/>
      <c r="J47" s="1484"/>
      <c r="K47" s="1484"/>
      <c r="L47" s="1485"/>
      <c r="M47" s="1486"/>
      <c r="N47" s="1486"/>
      <c r="O47" s="1486"/>
      <c r="P47" s="1531"/>
      <c r="Q47" s="1532"/>
      <c r="R47" s="474"/>
      <c r="S47" s="1578" t="str">
        <f>INDEX(PT_DIFFERENTIATION_NUM_TER,MATCH(B47,PT_DIFFERENTIATION_TER_ID,0))</f>
        <v>.</v>
      </c>
      <c r="T47" s="429" t="s">
        <v>421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422</v>
      </c>
      <c r="BE47" s="621"/>
      <c r="BF47" s="621" t="str">
        <f>IF(T47="","",T47)</f>
        <v>Территория действия тарифа</v>
      </c>
      <c r="BG47" s="621"/>
      <c r="BH47" s="621"/>
      <c r="BI47" s="1276">
        <v>21</v>
      </c>
    </row>
    <row customHeight="1" ht="43.050000000000004">
      <c r="A48" s="1484" t="s">
        <v>270</v>
      </c>
      <c r="B48" s="1484" t="s">
        <v>271</v>
      </c>
      <c r="C48" s="1484" t="s">
        <v>272</v>
      </c>
      <c r="D48" s="1484"/>
      <c r="E48" s="2380"/>
      <c r="F48" s="2380"/>
      <c r="G48" s="2379">
        <v>1</v>
      </c>
      <c r="H48" s="1484"/>
      <c r="I48" s="1484"/>
      <c r="J48" s="1484"/>
      <c r="K48" s="1484"/>
      <c r="L48" s="1485"/>
      <c r="M48" s="1486"/>
      <c r="N48" s="1486"/>
      <c r="O48" s="1486"/>
      <c r="P48" s="1533"/>
      <c r="Q48" s="1532"/>
      <c r="R48" s="474"/>
      <c r="S48" s="1578" t="str">
        <f>INDEX(PT_DIFFERENTIATION_NUM_CS,MATCH(C48,PT_DIFFERENTIATION_CS_ID,0))</f>
        <v>..</v>
      </c>
      <c r="T48" s="430" t="s">
        <v>503</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504</v>
      </c>
      <c r="BE48" s="621"/>
      <c r="BF48" s="621" t="str">
        <f>IF(T48="","",T48)</f>
        <v>Наименование централизованной системы холодного водоснабжения</v>
      </c>
      <c r="BG48" s="621"/>
      <c r="BH48" s="621"/>
      <c r="BI48" s="1276">
        <v>41</v>
      </c>
    </row>
    <row s="7217" customFormat="1" customHeight="1" ht="0">
      <c r="A49" s="1464" t="s">
        <v>270</v>
      </c>
      <c r="B49" s="1464" t="s">
        <v>271</v>
      </c>
      <c r="C49" s="1464" t="s">
        <v>272</v>
      </c>
      <c r="D49" s="1464" t="s">
        <v>537</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426</v>
      </c>
      <c r="BE49" s="621"/>
      <c r="BF49" s="621" t="str">
        <f>IF(T49="","",T49)</f>
        <v/>
      </c>
      <c r="BG49" s="621"/>
      <c r="BH49" s="621"/>
      <c r="BI49" s="632">
        <v>0</v>
      </c>
    </row>
    <row s="7217" customFormat="1" customHeight="1" ht="0">
      <c r="A50" s="1464" t="s">
        <v>270</v>
      </c>
      <c r="B50" s="1464" t="s">
        <v>271</v>
      </c>
      <c r="C50" s="1464" t="s">
        <v>272</v>
      </c>
      <c r="D50" s="1464" t="s">
        <v>537</v>
      </c>
      <c r="E50" s="2380"/>
      <c r="F50" s="2380"/>
      <c r="G50" s="2380"/>
      <c r="H50" s="2380"/>
      <c r="I50" s="2377" t="str">
        <f>S49&amp;".1"</f>
        <v>.1</v>
      </c>
      <c r="J50" s="1464"/>
      <c r="K50" s="1464"/>
      <c r="L50" s="1467" t="s">
        <v>427</v>
      </c>
      <c r="M50" s="631"/>
      <c r="N50" s="631"/>
      <c r="O50" s="631"/>
      <c r="P50" s="2378">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17" customFormat="1" customHeight="1" ht="0">
      <c r="A51" s="1464" t="s">
        <v>270</v>
      </c>
      <c r="B51" s="1464" t="s">
        <v>271</v>
      </c>
      <c r="C51" s="1464" t="s">
        <v>272</v>
      </c>
      <c r="D51" s="1464" t="s">
        <v>537</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270</v>
      </c>
      <c r="B52" s="1484" t="s">
        <v>271</v>
      </c>
      <c r="C52" s="1484" t="s">
        <v>272</v>
      </c>
      <c r="D52" s="1484" t="s">
        <v>537</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80" t="s">
        <v>66</v>
      </c>
      <c r="AB52" s="1855"/>
      <c r="AC52" s="158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584">
        <v>1</v>
      </c>
      <c r="AS52" s="1587" t="s">
        <v>28</v>
      </c>
      <c r="AT52" s="872"/>
      <c r="AU52" s="1378"/>
      <c r="AV52" s="872"/>
      <c r="AW52" s="1378"/>
      <c r="AX52" s="1855"/>
      <c r="AY52" s="1580" t="s">
        <v>66</v>
      </c>
      <c r="AZ52" s="1855"/>
      <c r="BA52" s="1580" t="s">
        <v>66</v>
      </c>
      <c r="BB52" s="1469"/>
      <c r="BC52" s="2374" t="s">
        <v>523</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524</v>
      </c>
      <c r="AT53" s="1514"/>
      <c r="AU53" s="1617"/>
      <c r="AV53" s="1514"/>
      <c r="AW53" s="1617"/>
      <c r="AX53" s="1514"/>
      <c r="AY53" s="1514"/>
      <c r="AZ53" s="1514"/>
      <c r="BA53" s="1514"/>
      <c r="BB53" s="1518"/>
      <c r="BC53" s="2375"/>
      <c r="BE53" s="621"/>
      <c r="BF53" s="621"/>
      <c r="BG53" s="621"/>
      <c r="BH53" s="621"/>
      <c r="BI53" s="1276">
        <v>11</v>
      </c>
    </row>
    <row customHeight="1" ht="11.549999999999999">
      <c r="A54" s="1484" t="s">
        <v>270</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525</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270</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526</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270</v>
      </c>
      <c r="B56" s="1484" t="s">
        <v>271</v>
      </c>
      <c r="C56" s="1484" t="s">
        <v>272</v>
      </c>
      <c r="D56" s="1484" t="s">
        <v>537</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527</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270</v>
      </c>
      <c r="B57" s="1484" t="s">
        <v>271</v>
      </c>
      <c r="C57" s="1484" t="s">
        <v>272</v>
      </c>
      <c r="D57" s="1484" t="s">
        <v>537</v>
      </c>
      <c r="E57" s="2380"/>
      <c r="F57" s="2380"/>
      <c r="G57" s="2380"/>
      <c r="H57" s="2380"/>
      <c r="I57" s="2407"/>
      <c r="J57" s="2377"/>
      <c r="K57" s="1484"/>
      <c r="L57" s="1485"/>
      <c r="P57" s="2378"/>
      <c r="Q57" s="2378"/>
      <c r="R57" s="477"/>
      <c r="S57" s="1399"/>
      <c r="T57" s="408" t="s">
        <v>490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17" customFormat="1" customHeight="1" ht="0">
      <c r="A58" s="1464" t="s">
        <v>270</v>
      </c>
      <c r="B58" s="1464" t="s">
        <v>271</v>
      </c>
      <c r="C58" s="1464" t="s">
        <v>272</v>
      </c>
      <c r="D58" s="1464" t="s">
        <v>537</v>
      </c>
      <c r="E58" s="2380"/>
      <c r="F58" s="2380"/>
      <c r="G58" s="2380"/>
      <c r="H58" s="2380"/>
      <c r="I58" s="2377"/>
      <c r="J58" s="1464"/>
      <c r="K58" s="1464"/>
      <c r="L58" s="1467"/>
      <c r="M58" s="631"/>
      <c r="N58" s="631"/>
      <c r="O58" s="631"/>
      <c r="P58" s="2378"/>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17" customFormat="1" customHeight="1" ht="0">
      <c r="A59" s="1464" t="s">
        <v>270</v>
      </c>
      <c r="B59" s="1464" t="s">
        <v>271</v>
      </c>
      <c r="C59" s="1464" t="s">
        <v>272</v>
      </c>
      <c r="D59" s="1464" t="s">
        <v>537</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17" customFormat="1" customHeight="1" ht="0">
      <c r="A60" s="1464" t="s">
        <v>270</v>
      </c>
      <c r="B60" s="1464" t="s">
        <v>271</v>
      </c>
      <c r="C60" s="1464" t="s">
        <v>272</v>
      </c>
      <c r="D60" s="1435"/>
      <c r="E60" s="2380"/>
      <c r="F60" s="2380"/>
      <c r="G60" s="2379"/>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17" customFormat="1" customHeight="1" ht="0">
      <c r="A61" s="1464" t="s">
        <v>270</v>
      </c>
      <c r="B61" s="1464" t="s">
        <v>271</v>
      </c>
      <c r="C61" s="1435"/>
      <c r="D61" s="1435"/>
      <c r="E61" s="2380"/>
      <c r="F61" s="2379"/>
      <c r="G61" s="1435"/>
      <c r="H61" s="1435"/>
      <c r="I61" s="1435"/>
      <c r="J61" s="1435"/>
      <c r="K61" s="1435"/>
      <c r="L61" s="1585"/>
      <c r="M61" s="1442"/>
      <c r="N61" s="1442"/>
      <c r="P61" s="1437"/>
      <c r="Q61" s="1438"/>
      <c r="R61" s="1437"/>
      <c r="S61" s="1443"/>
      <c r="T61" s="1446" t="s">
        <v>176</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17" customFormat="1" customHeight="1" ht="0">
      <c r="A62" s="1464" t="s">
        <v>270</v>
      </c>
      <c r="B62" s="1464"/>
      <c r="C62" s="1464"/>
      <c r="D62" s="1464"/>
      <c r="E62" s="2379"/>
      <c r="F62" s="1464"/>
      <c r="G62" s="1464"/>
      <c r="H62" s="1464"/>
      <c r="I62" s="1464"/>
      <c r="J62" s="1464"/>
      <c r="K62" s="1464"/>
      <c r="L62" s="1467"/>
      <c r="M62" s="1442"/>
      <c r="N62" s="1442"/>
      <c r="O62" s="639"/>
      <c r="P62" s="501"/>
      <c r="Q62" s="1465"/>
      <c r="R62" s="501"/>
      <c r="S62" s="1443"/>
      <c r="T62" s="1446" t="s">
        <v>177</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17"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183</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F85E7-4D93-5A1F-1C7B-0.52EE82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538</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539</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614">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99"/>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99"/>
      <c r="M19" s="1483"/>
      <c r="N19" s="1483"/>
      <c r="O19" s="1483"/>
      <c r="P19" s="1483"/>
      <c r="Q19" s="1492"/>
      <c r="R19" s="1492"/>
      <c r="S19" s="850"/>
      <c r="AB19" s="1487"/>
      <c r="AI19" s="1487"/>
      <c r="AL19" s="632"/>
      <c r="AM19" s="632"/>
      <c r="AN19" s="632"/>
      <c r="AO19" s="632"/>
      <c r="AP19" s="632"/>
      <c r="AQ19" s="1281">
        <v>0</v>
      </c>
    </row>
    <row s="7669" customFormat="1" customHeight="1" ht="12" hidden="1">
      <c r="L20" s="1599"/>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604" t="s">
        <v>511</v>
      </c>
      <c r="W38" s="2383" t="s">
        <v>456</v>
      </c>
      <c r="X38" s="2384"/>
      <c r="Y38" s="2383" t="s">
        <v>457</v>
      </c>
      <c r="Z38" s="2390"/>
      <c r="AA38" s="2384"/>
      <c r="AB38" s="2399"/>
      <c r="AC38" s="1604" t="s">
        <v>511</v>
      </c>
      <c r="AD38" s="2383" t="s">
        <v>456</v>
      </c>
      <c r="AE38" s="2384"/>
      <c r="AF38" s="2383" t="s">
        <v>457</v>
      </c>
      <c r="AG38" s="2390"/>
      <c r="AH38" s="2384"/>
      <c r="AI38" s="2399"/>
      <c r="AJ38" s="2402"/>
      <c r="AK38" s="2248"/>
      <c r="AQ38" s="1276">
        <v>34</v>
      </c>
    </row>
    <row customHeight="1" ht="90.3">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604" t="s">
        <v>540</v>
      </c>
      <c r="W39" s="1343" t="s">
        <v>541</v>
      </c>
      <c r="X39" s="1343" t="s">
        <v>516</v>
      </c>
      <c r="Y39" s="1610" t="s">
        <v>467</v>
      </c>
      <c r="Z39" s="2391" t="s">
        <v>468</v>
      </c>
      <c r="AA39" s="2392"/>
      <c r="AB39" s="2400"/>
      <c r="AC39" s="1604" t="s">
        <v>540</v>
      </c>
      <c r="AD39" s="1343" t="s">
        <v>541</v>
      </c>
      <c r="AE39" s="1343" t="s">
        <v>516</v>
      </c>
      <c r="AF39" s="1610" t="s">
        <v>467</v>
      </c>
      <c r="AG39" s="2391" t="s">
        <v>468</v>
      </c>
      <c r="AH39" s="2392"/>
      <c r="AI39" s="2400"/>
      <c r="AJ39" s="2403"/>
      <c r="AK39" s="2248"/>
      <c r="AQ39" s="1276">
        <v>86</v>
      </c>
    </row>
    <row s="6812"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290</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290</v>
      </c>
      <c r="B42" s="1484" t="s">
        <v>291</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290</v>
      </c>
      <c r="B43" s="1484" t="s">
        <v>291</v>
      </c>
      <c r="C43" s="1484" t="s">
        <v>292</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538</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539</v>
      </c>
      <c r="AM43" s="621"/>
      <c r="AN43" s="621" t="str">
        <f>IF(T43="","",T43)</f>
        <v>Наименование централизованной системы водоотведения</v>
      </c>
      <c r="AO43" s="621"/>
      <c r="AP43" s="621"/>
      <c r="AQ43" s="1276">
        <v>23</v>
      </c>
    </row>
    <row customHeight="1" ht="24">
      <c r="A44" s="1484" t="s">
        <v>290</v>
      </c>
      <c r="B44" s="1484" t="s">
        <v>291</v>
      </c>
      <c r="C44" s="1484" t="s">
        <v>292</v>
      </c>
      <c r="D44" s="1484" t="s">
        <v>542</v>
      </c>
      <c r="E44" s="2380"/>
      <c r="F44" s="2380"/>
      <c r="G44" s="2380"/>
      <c r="H44" s="2380"/>
      <c r="I44" s="2377" t="str">
        <f>S43&amp;".1"</f>
        <v>...1</v>
      </c>
      <c r="J44" s="1484"/>
      <c r="K44" s="1484"/>
      <c r="L44" s="1485"/>
      <c r="P44" s="2378">
        <v>1</v>
      </c>
      <c r="Q44" s="1602"/>
      <c r="R44" s="477"/>
      <c r="S44" s="1614"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290</v>
      </c>
      <c r="B45" s="1484" t="s">
        <v>291</v>
      </c>
      <c r="C45" s="1484" t="s">
        <v>292</v>
      </c>
      <c r="D45" s="1484" t="s">
        <v>542</v>
      </c>
      <c r="E45" s="2380"/>
      <c r="F45" s="2380"/>
      <c r="G45" s="2380"/>
      <c r="H45" s="2380"/>
      <c r="I45" s="2407"/>
      <c r="J45" s="2377" t="str">
        <f>I44&amp;".1"</f>
        <v>...1.1</v>
      </c>
      <c r="K45" s="1484"/>
      <c r="L45" s="1485" t="s">
        <v>430</v>
      </c>
      <c r="P45" s="2378"/>
      <c r="Q45" s="2378">
        <v>1</v>
      </c>
      <c r="R45" s="478"/>
      <c r="S45" s="1614"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290</v>
      </c>
      <c r="B46" s="1484" t="s">
        <v>291</v>
      </c>
      <c r="C46" s="1484" t="s">
        <v>292</v>
      </c>
      <c r="D46" s="1484" t="s">
        <v>542</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290</v>
      </c>
      <c r="B47" s="1484" t="s">
        <v>291</v>
      </c>
      <c r="C47" s="1484" t="s">
        <v>292</v>
      </c>
      <c r="D47" s="1484" t="s">
        <v>542</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290</v>
      </c>
      <c r="B48" s="1484" t="s">
        <v>291</v>
      </c>
      <c r="C48" s="1484" t="s">
        <v>292</v>
      </c>
      <c r="D48" s="1484" t="s">
        <v>542</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290</v>
      </c>
      <c r="B49" s="1484" t="s">
        <v>291</v>
      </c>
      <c r="C49" s="1484" t="s">
        <v>292</v>
      </c>
      <c r="D49" s="1484" t="s">
        <v>542</v>
      </c>
      <c r="E49" s="2380"/>
      <c r="F49" s="2380"/>
      <c r="G49" s="2380"/>
      <c r="H49" s="2380"/>
      <c r="I49" s="2377"/>
      <c r="J49" s="1484"/>
      <c r="K49" s="1484"/>
      <c r="L49" s="1485"/>
      <c r="P49" s="2378"/>
      <c r="Q49" s="1602"/>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290</v>
      </c>
      <c r="B50" s="1484" t="s">
        <v>291</v>
      </c>
      <c r="C50" s="1484" t="s">
        <v>292</v>
      </c>
      <c r="D50" s="1484" t="s">
        <v>542</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290</v>
      </c>
      <c r="B51" s="1464" t="s">
        <v>291</v>
      </c>
      <c r="C51" s="1435"/>
      <c r="D51" s="1435"/>
      <c r="E51" s="2380"/>
      <c r="F51" s="2379"/>
      <c r="G51" s="1435"/>
      <c r="H51" s="1435"/>
      <c r="I51" s="1435"/>
      <c r="J51" s="1435"/>
      <c r="K51" s="1435"/>
      <c r="L51" s="1615"/>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290</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CF189-1513-3D2D-51D6-0.4A31DB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4" style="7720" width="24.7109375" hidden="1" customWidth="1"/>
    <col min="25" max="25" style="7720" width="11.7109375" hidden="1" customWidth="1"/>
    <col min="26" max="26" style="7720" width="3.7109375" hidden="1" customWidth="1"/>
    <col min="27" max="27" style="7720" width="11.7109375" hidden="1" customWidth="1"/>
    <col min="28" max="28" style="7720" width="8.57421875" hidden="1" customWidth="1"/>
    <col min="29" max="29" style="7720" width="24.7109375" customWidth="1"/>
    <col min="30" max="31" style="7720" width="24.00390625" customWidth="1"/>
    <col min="32" max="32" style="7720" width="11.00390625" customWidth="1"/>
    <col min="33" max="33" style="7720" width="3.7109375" customWidth="1"/>
    <col min="34" max="34" style="7720" width="11.00390625" customWidth="1"/>
    <col min="35" max="35" style="7720" width="8.57421875" hidden="1" customWidth="1"/>
    <col min="36" max="36" style="7720" width="4.00390625" customWidth="1"/>
    <col min="37" max="37" style="7720" width="115.00390625" customWidth="1"/>
    <col min="38" max="42" style="7217" width="10.00390625" customWidth="1"/>
    <col min="43" max="43" style="7720"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136</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421</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422</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538</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539</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505</v>
      </c>
      <c r="U5" s="421"/>
      <c r="V5" s="2471"/>
      <c r="W5" s="2472"/>
      <c r="X5" s="2472"/>
      <c r="Y5" s="2472"/>
      <c r="Z5" s="2472"/>
      <c r="AA5" s="2472"/>
      <c r="AB5" s="2473"/>
      <c r="AC5" s="2474"/>
      <c r="AD5" s="2475"/>
      <c r="AE5" s="2475"/>
      <c r="AF5" s="2475"/>
      <c r="AG5" s="2475"/>
      <c r="AH5" s="2475"/>
      <c r="AI5" s="2475"/>
      <c r="AJ5" s="2476"/>
      <c r="AK5" s="1379" t="s">
        <v>506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430</v>
      </c>
      <c r="P6" s="2378"/>
      <c r="Q6" s="2378">
        <v>1</v>
      </c>
      <c r="R6" s="478"/>
      <c r="S6" s="1614">
        <f>$J6</f>
      </c>
      <c r="T6" s="407" t="s">
        <v>431</v>
      </c>
      <c r="U6" s="421"/>
      <c r="V6" s="2366"/>
      <c r="W6" s="2367"/>
      <c r="X6" s="2367"/>
      <c r="Y6" s="2367"/>
      <c r="Z6" s="2367"/>
      <c r="AA6" s="2367"/>
      <c r="AB6" s="2368"/>
      <c r="AC6" s="2366"/>
      <c r="AD6" s="2367"/>
      <c r="AE6" s="2367"/>
      <c r="AF6" s="2367"/>
      <c r="AG6" s="2367"/>
      <c r="AH6" s="2367"/>
      <c r="AI6" s="2367"/>
      <c r="AJ6" s="2368"/>
      <c r="AK6" s="1428" t="s">
        <v>507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66</v>
      </c>
      <c r="AA7" s="2386"/>
      <c r="AB7" s="2228" t="s">
        <v>66</v>
      </c>
      <c r="AC7" s="872"/>
      <c r="AD7" s="872"/>
      <c r="AE7" s="1378"/>
      <c r="AF7" s="2386"/>
      <c r="AG7" s="2228" t="s">
        <v>66</v>
      </c>
      <c r="AH7" s="2408"/>
      <c r="AI7" s="2228" t="s">
        <v>66</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488"/>
      <c r="X9" s="488"/>
      <c r="Y9" s="488"/>
      <c r="Z9" s="488"/>
      <c r="AA9" s="488"/>
      <c r="AB9" s="488"/>
      <c r="AC9" s="488"/>
      <c r="AD9" s="488"/>
      <c r="AE9" s="488"/>
      <c r="AF9" s="488"/>
      <c r="AG9" s="488"/>
      <c r="AH9" s="488"/>
      <c r="AI9" s="488"/>
      <c r="AJ9" s="488"/>
      <c r="AK9" s="1379" t="s">
        <v>509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436</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721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66</v>
      </c>
      <c r="AH15" s="2388"/>
      <c r="AI15" s="2389" t="s">
        <v>66</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669" customFormat="1" customHeight="1" ht="22.5" hidden="1">
      <c r="L18" s="1599"/>
      <c r="M18" s="1483"/>
      <c r="N18" s="1483"/>
      <c r="O18" s="1488" t="s">
        <v>438</v>
      </c>
      <c r="P18" s="1483"/>
      <c r="Q18" s="1492"/>
      <c r="R18" s="1492"/>
      <c r="S18" s="850"/>
      <c r="Y18" s="1488"/>
      <c r="AA18" s="1488"/>
      <c r="AB18" s="1487"/>
      <c r="AF18" s="1488"/>
      <c r="AH18" s="1488"/>
      <c r="AI18" s="1487"/>
      <c r="AL18" s="632"/>
      <c r="AM18" s="632"/>
      <c r="AN18" s="632"/>
      <c r="AO18" s="632"/>
      <c r="AP18" s="632"/>
      <c r="AQ18" s="1281">
        <v>0</v>
      </c>
    </row>
    <row s="7669" customFormat="1" customHeight="1" ht="14.25" hidden="1">
      <c r="L19" s="1599"/>
      <c r="M19" s="1483"/>
      <c r="N19" s="1483"/>
      <c r="O19" s="1483"/>
      <c r="P19" s="1483"/>
      <c r="Q19" s="1492"/>
      <c r="R19" s="1492"/>
      <c r="S19" s="850"/>
      <c r="AB19" s="1487"/>
      <c r="AI19" s="1487"/>
      <c r="AL19" s="632"/>
      <c r="AM19" s="632"/>
      <c r="AN19" s="632"/>
      <c r="AO19" s="632"/>
      <c r="AP19" s="632"/>
      <c r="AQ19" s="1281">
        <v>0</v>
      </c>
    </row>
    <row s="7669" customFormat="1" customHeight="1" ht="12" hidden="1">
      <c r="L20" s="1599"/>
      <c r="M20" s="1483"/>
      <c r="N20" s="1483"/>
      <c r="O20" s="1485" t="s">
        <v>439</v>
      </c>
      <c r="P20" s="1483"/>
      <c r="Q20" s="1563"/>
      <c r="R20" s="1563"/>
      <c r="S20" s="850"/>
      <c r="T20" s="1281" t="s">
        <v>440</v>
      </c>
      <c r="Z20" s="307" t="s">
        <v>441</v>
      </c>
      <c r="AB20" s="307" t="s">
        <v>442</v>
      </c>
      <c r="AC20" s="1281" t="s">
        <v>440</v>
      </c>
      <c r="AG20" s="307" t="s">
        <v>443</v>
      </c>
      <c r="AI20" s="307" t="s">
        <v>442</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447"/>
      <c r="AC28" s="2385" t="str">
        <f>IF(TITLE_DATE_PR_CHANGE="",IF(TITLE_DATE_PR="","",TITLE_DATE_PR),TITLE_DATE_PR_CHANGE)</f>
        <v>45777</v>
      </c>
      <c r="AD28" s="2385"/>
      <c r="AE28" s="2385"/>
      <c r="AF28" s="2385"/>
      <c r="AG28" s="2385"/>
      <c r="AH28" s="2385"/>
      <c r="AI28" s="447"/>
      <c r="AJ28" s="447"/>
      <c r="AK28" s="401"/>
      <c r="AL28" s="489"/>
      <c r="AM28" s="489"/>
      <c r="AN28" s="489"/>
      <c r="AO28" s="489"/>
      <c r="AP28" s="489"/>
      <c r="AQ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447"/>
      <c r="AC29" s="2372" t="str">
        <f>IF(TITLE_NUMBER_PR_CHANGE="",IF(TITLE_NUMBER_PR="","",TITLE_NUMBER_PR),TITLE_NUMBER_PR_CHANGE)</f>
        <v>33-01/80</v>
      </c>
      <c r="AD29" s="2372"/>
      <c r="AE29" s="2372"/>
      <c r="AF29" s="2372"/>
      <c r="AG29" s="2372"/>
      <c r="AH29" s="2372"/>
      <c r="AI29" s="447"/>
      <c r="AJ29" s="447"/>
      <c r="AK29" s="401"/>
      <c r="AL29" s="489"/>
      <c r="AM29" s="489"/>
      <c r="AN29" s="489"/>
      <c r="AO29" s="489"/>
      <c r="AP29" s="489"/>
      <c r="AQ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447"/>
      <c r="AC32" s="2385" t="str">
        <f>IF(TITLE_DATE_PR_CHANGE="",IF(TITLE_DATE_PR="","",TITLE_DATE_PR),TITLE_DATE_PR_CHANGE)</f>
        <v>45777</v>
      </c>
      <c r="AD32" s="2385"/>
      <c r="AE32" s="2385"/>
      <c r="AF32" s="2385"/>
      <c r="AG32" s="2385"/>
      <c r="AH32" s="2385"/>
      <c r="AI32" s="447"/>
      <c r="AJ32" s="447"/>
      <c r="AK32" s="401"/>
      <c r="AL32" s="489"/>
      <c r="AM32" s="489"/>
      <c r="AN32" s="489"/>
      <c r="AO32" s="489"/>
      <c r="AP32" s="489"/>
      <c r="AQ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447"/>
      <c r="AC33" s="2372" t="str">
        <f>IF(TITLE_NUMBER_PR_CHANGE="",IF(TITLE_NUMBER_PR="","",TITLE_NUMBER_PR),TITLE_NUMBER_PR_CHANGE)</f>
        <v>33-01/80</v>
      </c>
      <c r="AD33" s="2372"/>
      <c r="AE33" s="2372"/>
      <c r="AF33" s="2372"/>
      <c r="AG33" s="2372"/>
      <c r="AH33" s="2372"/>
      <c r="AI33" s="447"/>
      <c r="AJ33" s="447"/>
      <c r="AK33" s="401"/>
      <c r="AL33" s="489"/>
      <c r="AM33" s="489"/>
      <c r="AN33" s="489"/>
      <c r="AO33" s="489"/>
      <c r="AP33" s="489"/>
      <c r="AQ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448</v>
      </c>
      <c r="AC34" s="447"/>
      <c r="AD34" s="447"/>
      <c r="AE34" s="447"/>
      <c r="AF34" s="447"/>
      <c r="AG34" s="447"/>
      <c r="AH34" s="447"/>
      <c r="AI34" s="399" t="s">
        <v>448</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t="s">
        <v>325</v>
      </c>
      <c r="AQ36" s="1276">
        <v>14</v>
      </c>
    </row>
    <row customHeight="1" ht="14.699999999999998">
      <c r="Q37" s="497"/>
      <c r="R37" s="497"/>
      <c r="S37" s="2394" t="s">
        <v>88</v>
      </c>
      <c r="T37" s="2330" t="s">
        <v>449</v>
      </c>
      <c r="U37" s="422"/>
      <c r="V37" s="2395" t="s">
        <v>450</v>
      </c>
      <c r="W37" s="2396"/>
      <c r="X37" s="2396"/>
      <c r="Y37" s="2396"/>
      <c r="Z37" s="2396"/>
      <c r="AA37" s="2397"/>
      <c r="AB37" s="2398" t="s">
        <v>451</v>
      </c>
      <c r="AC37" s="2395" t="s">
        <v>450</v>
      </c>
      <c r="AD37" s="2396"/>
      <c r="AE37" s="2396"/>
      <c r="AF37" s="2396"/>
      <c r="AG37" s="2396"/>
      <c r="AH37" s="2397"/>
      <c r="AI37" s="2398" t="s">
        <v>452</v>
      </c>
      <c r="AJ37" s="2401" t="s">
        <v>453</v>
      </c>
      <c r="AK37" s="2248"/>
      <c r="AQ37" s="1276">
        <v>14</v>
      </c>
    </row>
    <row customHeight="1" ht="35.699999999999996">
      <c r="Q38" s="497"/>
      <c r="R38" s="497"/>
      <c r="S38" s="2394"/>
      <c r="T38" s="2330"/>
      <c r="U38" s="1152"/>
      <c r="V38" s="1604" t="s">
        <v>511</v>
      </c>
      <c r="W38" s="2383" t="s">
        <v>456</v>
      </c>
      <c r="X38" s="2384"/>
      <c r="Y38" s="2383" t="s">
        <v>457</v>
      </c>
      <c r="Z38" s="2390"/>
      <c r="AA38" s="2384"/>
      <c r="AB38" s="2399"/>
      <c r="AC38" s="1604" t="s">
        <v>511</v>
      </c>
      <c r="AD38" s="2383" t="s">
        <v>456</v>
      </c>
      <c r="AE38" s="2384"/>
      <c r="AF38" s="2383" t="s">
        <v>457</v>
      </c>
      <c r="AG38" s="2390"/>
      <c r="AH38" s="2384"/>
      <c r="AI38" s="2399"/>
      <c r="AJ38" s="2402"/>
      <c r="AK38" s="2248"/>
      <c r="AQ38" s="1276">
        <v>34</v>
      </c>
    </row>
    <row customHeight="1" ht="90.3">
      <c r="A39" s="1491"/>
      <c r="B39" s="1491" t="s">
        <v>148</v>
      </c>
      <c r="C39" s="1491" t="s">
        <v>149</v>
      </c>
      <c r="D39" s="1491" t="s">
        <v>150</v>
      </c>
      <c r="E39" s="1485" t="s">
        <v>458</v>
      </c>
      <c r="F39" s="1485" t="s">
        <v>459</v>
      </c>
      <c r="G39" s="1485" t="s">
        <v>460</v>
      </c>
      <c r="H39" s="1485"/>
      <c r="I39" s="1485" t="s">
        <v>512</v>
      </c>
      <c r="J39" s="1485" t="s">
        <v>463</v>
      </c>
      <c r="K39" s="1485" t="s">
        <v>513</v>
      </c>
      <c r="L39" s="1485" t="s">
        <v>439</v>
      </c>
      <c r="Q39" s="497"/>
      <c r="R39" s="497"/>
      <c r="S39" s="2394"/>
      <c r="T39" s="2330"/>
      <c r="U39" s="423"/>
      <c r="V39" s="1604" t="s">
        <v>540</v>
      </c>
      <c r="W39" s="1343" t="s">
        <v>541</v>
      </c>
      <c r="X39" s="1343" t="s">
        <v>516</v>
      </c>
      <c r="Y39" s="1610" t="s">
        <v>467</v>
      </c>
      <c r="Z39" s="2391" t="s">
        <v>468</v>
      </c>
      <c r="AA39" s="2392"/>
      <c r="AB39" s="2400"/>
      <c r="AC39" s="1604" t="s">
        <v>540</v>
      </c>
      <c r="AD39" s="1343" t="s">
        <v>541</v>
      </c>
      <c r="AE39" s="1343" t="s">
        <v>516</v>
      </c>
      <c r="AF39" s="1610" t="s">
        <v>467</v>
      </c>
      <c r="AG39" s="2391" t="s">
        <v>468</v>
      </c>
      <c r="AH39" s="2392"/>
      <c r="AI39" s="2400"/>
      <c r="AJ39" s="2403"/>
      <c r="AK39" s="2248"/>
      <c r="AQ39" s="1276">
        <v>86</v>
      </c>
    </row>
    <row s="681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123</v>
      </c>
      <c r="T40" s="1376" t="s">
        <v>103</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295</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136</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295</v>
      </c>
      <c r="B42" s="1484" t="s">
        <v>296</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421</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422</v>
      </c>
      <c r="AM42" s="621"/>
      <c r="AN42" s="621" t="str">
        <f>IF(T42="","",T42)</f>
        <v>Территория действия тарифа</v>
      </c>
      <c r="AO42" s="621"/>
      <c r="AP42" s="621"/>
      <c r="AQ42" s="1276">
        <v>23</v>
      </c>
    </row>
    <row customHeight="1" ht="24">
      <c r="A43" s="1484" t="s">
        <v>295</v>
      </c>
      <c r="B43" s="1484" t="s">
        <v>296</v>
      </c>
      <c r="C43" s="1484" t="s">
        <v>297</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538</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539</v>
      </c>
      <c r="AM43" s="621"/>
      <c r="AN43" s="621" t="str">
        <f>IF(T43="","",T43)</f>
        <v>Наименование централизованной системы водоотведения</v>
      </c>
      <c r="AO43" s="621"/>
      <c r="AP43" s="621"/>
      <c r="AQ43" s="1276">
        <v>23</v>
      </c>
    </row>
    <row customHeight="1" ht="24">
      <c r="A44" s="1484" t="s">
        <v>295</v>
      </c>
      <c r="B44" s="1484" t="s">
        <v>296</v>
      </c>
      <c r="C44" s="1484" t="s">
        <v>297</v>
      </c>
      <c r="D44" s="1484" t="s">
        <v>543</v>
      </c>
      <c r="E44" s="2380"/>
      <c r="F44" s="2380"/>
      <c r="G44" s="2380"/>
      <c r="H44" s="2380"/>
      <c r="I44" s="2377" t="str">
        <f>S43&amp;".1"</f>
        <v>...1</v>
      </c>
      <c r="J44" s="1484"/>
      <c r="K44" s="1484"/>
      <c r="L44" s="1485"/>
      <c r="P44" s="2378">
        <v>1</v>
      </c>
      <c r="Q44" s="1602"/>
      <c r="R44" s="477"/>
      <c r="S44" s="1614" t="str">
        <f>$I44</f>
        <v>...1</v>
      </c>
      <c r="T44" s="406" t="s">
        <v>505</v>
      </c>
      <c r="U44" s="421"/>
      <c r="V44" s="2471"/>
      <c r="W44" s="2472"/>
      <c r="X44" s="2472"/>
      <c r="Y44" s="2472"/>
      <c r="Z44" s="2472"/>
      <c r="AA44" s="2472"/>
      <c r="AB44" s="2473"/>
      <c r="AC44" s="2474"/>
      <c r="AD44" s="2475"/>
      <c r="AE44" s="2475"/>
      <c r="AF44" s="2475"/>
      <c r="AG44" s="2475"/>
      <c r="AH44" s="2475"/>
      <c r="AI44" s="2475"/>
      <c r="AJ44" s="2476"/>
      <c r="AK44" s="1379" t="s">
        <v>506</v>
      </c>
      <c r="AM44" s="621"/>
      <c r="AN44" s="621" t="str">
        <f>IF(T44="","",T44)</f>
        <v>Наименование признака дифференциации</v>
      </c>
      <c r="AO44" s="621"/>
      <c r="AP44" s="621"/>
      <c r="AQ44" s="1276">
        <v>23</v>
      </c>
    </row>
    <row customHeight="1" ht="24">
      <c r="A45" s="1484" t="s">
        <v>295</v>
      </c>
      <c r="B45" s="1484" t="s">
        <v>296</v>
      </c>
      <c r="C45" s="1484" t="s">
        <v>297</v>
      </c>
      <c r="D45" s="1484" t="s">
        <v>543</v>
      </c>
      <c r="E45" s="2380"/>
      <c r="F45" s="2380"/>
      <c r="G45" s="2380"/>
      <c r="H45" s="2380"/>
      <c r="I45" s="2407"/>
      <c r="J45" s="2377" t="str">
        <f>I44&amp;".1"</f>
        <v>...1.1</v>
      </c>
      <c r="K45" s="1484"/>
      <c r="L45" s="1485" t="s">
        <v>430</v>
      </c>
      <c r="P45" s="2378"/>
      <c r="Q45" s="2378">
        <v>1</v>
      </c>
      <c r="R45" s="478"/>
      <c r="S45" s="1614" t="str">
        <f>$J45</f>
        <v>...1.1</v>
      </c>
      <c r="T45" s="407" t="s">
        <v>431</v>
      </c>
      <c r="U45" s="421"/>
      <c r="V45" s="2366"/>
      <c r="W45" s="2367"/>
      <c r="X45" s="2367"/>
      <c r="Y45" s="2367"/>
      <c r="Z45" s="2367"/>
      <c r="AA45" s="2367"/>
      <c r="AB45" s="2368"/>
      <c r="AC45" s="2366"/>
      <c r="AD45" s="2367"/>
      <c r="AE45" s="2367"/>
      <c r="AF45" s="2367"/>
      <c r="AG45" s="2367"/>
      <c r="AH45" s="2367"/>
      <c r="AI45" s="2367"/>
      <c r="AJ45" s="2368"/>
      <c r="AK45" s="1428" t="s">
        <v>507</v>
      </c>
      <c r="AM45" s="621"/>
      <c r="AN45" s="621" t="str">
        <f>IF(T45="","",T45)</f>
        <v>Группа потребителей</v>
      </c>
      <c r="AO45" s="621"/>
      <c r="AP45" s="621"/>
      <c r="AQ45" s="1276">
        <v>23</v>
      </c>
    </row>
    <row customHeight="1" ht="24">
      <c r="A46" s="1484" t="s">
        <v>295</v>
      </c>
      <c r="B46" s="1484" t="s">
        <v>296</v>
      </c>
      <c r="C46" s="1484" t="s">
        <v>297</v>
      </c>
      <c r="D46" s="1484" t="s">
        <v>543</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66</v>
      </c>
      <c r="AA46" s="2388"/>
      <c r="AB46" s="2389" t="s">
        <v>66</v>
      </c>
      <c r="AC46" s="872"/>
      <c r="AD46" s="872"/>
      <c r="AE46" s="1378"/>
      <c r="AF46" s="2386"/>
      <c r="AG46" s="2228" t="s">
        <v>66</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295</v>
      </c>
      <c r="B47" s="1484" t="s">
        <v>296</v>
      </c>
      <c r="C47" s="1484" t="s">
        <v>297</v>
      </c>
      <c r="D47" s="1484" t="s">
        <v>543</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295</v>
      </c>
      <c r="B48" s="1484" t="s">
        <v>296</v>
      </c>
      <c r="C48" s="1484" t="s">
        <v>297</v>
      </c>
      <c r="D48" s="1484" t="s">
        <v>543</v>
      </c>
      <c r="E48" s="2380"/>
      <c r="F48" s="2380"/>
      <c r="G48" s="2380"/>
      <c r="H48" s="2380"/>
      <c r="I48" s="2407"/>
      <c r="J48" s="2377"/>
      <c r="K48" s="1484"/>
      <c r="L48" s="1485"/>
      <c r="P48" s="2378"/>
      <c r="Q48" s="2378"/>
      <c r="R48" s="477"/>
      <c r="S48" s="1399"/>
      <c r="T48" s="408" t="s">
        <v>508</v>
      </c>
      <c r="U48" s="488"/>
      <c r="V48" s="488"/>
      <c r="W48" s="488"/>
      <c r="X48" s="488"/>
      <c r="Y48" s="488"/>
      <c r="Z48" s="488"/>
      <c r="AA48" s="488"/>
      <c r="AB48" s="488"/>
      <c r="AC48" s="488"/>
      <c r="AD48" s="488"/>
      <c r="AE48" s="488"/>
      <c r="AF48" s="488"/>
      <c r="AG48" s="488"/>
      <c r="AH48" s="488"/>
      <c r="AI48" s="488"/>
      <c r="AJ48" s="488"/>
      <c r="AK48" s="1379" t="s">
        <v>509</v>
      </c>
      <c r="AM48" s="621"/>
      <c r="AN48" s="621" t="str">
        <f>IF(T48="","",T48)</f>
        <v>Добавить значение признака дифференциации</v>
      </c>
      <c r="AO48" s="621"/>
      <c r="AP48" s="621"/>
      <c r="AQ48" s="1276">
        <v>20</v>
      </c>
    </row>
    <row customHeight="1" ht="22.049999999999997">
      <c r="A49" s="1484" t="s">
        <v>295</v>
      </c>
      <c r="B49" s="1484" t="s">
        <v>296</v>
      </c>
      <c r="C49" s="1484" t="s">
        <v>297</v>
      </c>
      <c r="D49" s="1484" t="s">
        <v>543</v>
      </c>
      <c r="E49" s="2380"/>
      <c r="F49" s="2380"/>
      <c r="G49" s="2380"/>
      <c r="H49" s="2380"/>
      <c r="I49" s="2377"/>
      <c r="J49" s="1484"/>
      <c r="K49" s="1484"/>
      <c r="L49" s="1485"/>
      <c r="P49" s="2378"/>
      <c r="Q49" s="1602"/>
      <c r="R49" s="477"/>
      <c r="S49" s="1399"/>
      <c r="T49" s="486" t="s">
        <v>436</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295</v>
      </c>
      <c r="B50" s="1484" t="s">
        <v>296</v>
      </c>
      <c r="C50" s="1484" t="s">
        <v>297</v>
      </c>
      <c r="D50" s="1484" t="s">
        <v>543</v>
      </c>
      <c r="E50" s="2380"/>
      <c r="F50" s="2380"/>
      <c r="G50" s="2380"/>
      <c r="H50" s="2379"/>
      <c r="I50" s="1484"/>
      <c r="J50" s="1484"/>
      <c r="K50" s="1484"/>
      <c r="L50" s="1485"/>
      <c r="M50" s="1486"/>
      <c r="N50" s="1486"/>
      <c r="O50" s="658"/>
      <c r="P50" s="481"/>
      <c r="Q50" s="496"/>
      <c r="R50" s="476"/>
      <c r="S50" s="1399"/>
      <c r="T50" s="493" t="s">
        <v>510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7217" customFormat="1" customHeight="1" ht="0">
      <c r="A51" s="1464" t="s">
        <v>295</v>
      </c>
      <c r="B51" s="1464" t="s">
        <v>296</v>
      </c>
      <c r="C51" s="1435"/>
      <c r="D51" s="1435"/>
      <c r="E51" s="2380"/>
      <c r="F51" s="2379"/>
      <c r="G51" s="1435"/>
      <c r="H51" s="1435"/>
      <c r="I51" s="1435"/>
      <c r="J51" s="1435"/>
      <c r="K51" s="1435"/>
      <c r="L51" s="1615"/>
      <c r="M51" s="1442"/>
      <c r="N51" s="1442"/>
      <c r="P51" s="1437"/>
      <c r="Q51" s="1438"/>
      <c r="R51" s="1437"/>
      <c r="S51" s="1443"/>
      <c r="T51" s="1446" t="s">
        <v>176</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7217" customFormat="1" customHeight="1" ht="0">
      <c r="A52" s="1464" t="s">
        <v>295</v>
      </c>
      <c r="B52" s="1464"/>
      <c r="C52" s="1464"/>
      <c r="D52" s="1464"/>
      <c r="E52" s="2379"/>
      <c r="F52" s="1464"/>
      <c r="G52" s="1464"/>
      <c r="H52" s="1464"/>
      <c r="I52" s="1464"/>
      <c r="J52" s="1464"/>
      <c r="K52" s="1464"/>
      <c r="L52" s="1467"/>
      <c r="M52" s="1442"/>
      <c r="N52" s="1442"/>
      <c r="O52" s="639"/>
      <c r="P52" s="501"/>
      <c r="Q52" s="1465"/>
      <c r="R52" s="501"/>
      <c r="S52" s="1443"/>
      <c r="T52" s="1446" t="s">
        <v>177</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7217"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183</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82</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87E59-44D4-FF9F-E185-0.7B99AC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669" width="11.57421875" hidden="1" customWidth="1"/>
    <col min="2" max="2" style="7669" width="11.00390625" hidden="1" customWidth="1"/>
    <col min="3" max="3" style="7669" width="10.57421875" hidden="1"/>
    <col min="4" max="4" style="7669" width="12.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6894" width="3.7109375" hidden="1" customWidth="1"/>
    <col min="17" max="17" style="6960" width="3.7109375" hidden="1" customWidth="1"/>
    <col min="18" max="18" style="7739" width="3.00390625" customWidth="1"/>
    <col min="19" max="19" style="8401" width="12.00390625" customWidth="1"/>
    <col min="20" max="20" style="7720" width="31.00390625" customWidth="1"/>
    <col min="21" max="21" style="7720" width="0.140625" customWidth="1"/>
    <col min="22" max="25" style="7720" width="21.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3.7109375" customWidth="1"/>
    <col min="31" max="32" style="7720" width="3.00390625" customWidth="1"/>
    <col min="33" max="33" style="7720" width="24.00390625" customWidth="1"/>
    <col min="34" max="34" style="7720" width="3.7109375" customWidth="1"/>
    <col min="35" max="36" style="7720" width="3.00390625" customWidth="1"/>
    <col min="37" max="37" style="7720" width="24.00390625" customWidth="1"/>
    <col min="38" max="38" style="7720" width="3.7109375" customWidth="1"/>
    <col min="39" max="40" style="7720" width="3.00390625" customWidth="1"/>
    <col min="41" max="41" style="7720" width="18.00390625" customWidth="1"/>
    <col min="42" max="42" style="7720" width="3.7109375" customWidth="1"/>
    <col min="43" max="44" style="7720" width="3.00390625" customWidth="1"/>
    <col min="45" max="45" style="7720" width="18.00390625" customWidth="1"/>
    <col min="46" max="49" style="7720" width="21.00390625" customWidth="1"/>
    <col min="50" max="50" style="7720" width="11.00390625" customWidth="1"/>
    <col min="51" max="51" style="7720" width="3.7109375" customWidth="1"/>
    <col min="52" max="52" style="7720" width="11.00390625" customWidth="1"/>
    <col min="53" max="53" style="7720" width="8.57421875" hidden="1" customWidth="1"/>
    <col min="54" max="54" style="7720" width="4.00390625" customWidth="1"/>
    <col min="55" max="55" style="7720" width="115.00390625" customWidth="1"/>
    <col min="56" max="60" style="7217" width="10.00390625" customWidth="1"/>
    <col min="61" max="61" style="7720"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136</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421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422</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538</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539</v>
      </c>
      <c r="BE4" s="621"/>
      <c r="BF4" s="621" t="str">
        <f>IF(T4="","",T4)</f>
        <v>Наименование централизованной системы водоотведения</v>
      </c>
      <c r="BG4" s="621"/>
      <c r="BH4" s="621"/>
      <c r="BI4" s="1276">
        <v>0</v>
      </c>
    </row>
    <row s="721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426</v>
      </c>
      <c r="BE5" s="621"/>
      <c r="BF5" s="621" t="str">
        <f>IF(T5="","",T5)</f>
        <v/>
      </c>
      <c r="BG5" s="621"/>
      <c r="BH5" s="621"/>
      <c r="BI5" s="632">
        <v>0</v>
      </c>
    </row>
    <row s="7217" customFormat="1" customHeight="1" ht="14.25" hidden="1">
      <c r="A6" s="1464"/>
      <c r="B6" s="1464"/>
      <c r="C6" s="1464"/>
      <c r="D6" s="1464"/>
      <c r="E6" s="2380"/>
      <c r="F6" s="2380"/>
      <c r="G6" s="2380"/>
      <c r="H6" s="2380"/>
      <c r="I6" s="2377" t="str">
        <f>S5&amp;".1"</f>
        <v>.1</v>
      </c>
      <c r="J6" s="1464"/>
      <c r="K6" s="1464"/>
      <c r="L6" s="1467" t="s">
        <v>427</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1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523</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524</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544</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545</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527</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490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17"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1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17"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17"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176</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1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177</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438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935" customFormat="1" customHeight="1" ht="14.25" hidden="1">
      <c r="M24" s="1629"/>
      <c r="N24" s="1629"/>
      <c r="O24" s="1630" t="s">
        <v>439</v>
      </c>
      <c r="P24" s="1629"/>
      <c r="Q24" s="1631"/>
      <c r="R24" s="1631"/>
      <c r="AA24" s="1628" t="s">
        <v>441</v>
      </c>
      <c r="AC24" s="1628" t="s">
        <v>442</v>
      </c>
      <c r="AD24" s="1628" t="s">
        <v>491</v>
      </c>
      <c r="AH24" s="1628" t="s">
        <v>491</v>
      </c>
      <c r="AK24" s="1628" t="s">
        <v>528</v>
      </c>
      <c r="AL24" s="1628" t="s">
        <v>491</v>
      </c>
      <c r="AP24" s="1628" t="s">
        <v>491</v>
      </c>
      <c r="AY24" s="1628" t="s">
        <v>441</v>
      </c>
      <c r="BA24" s="1628" t="s">
        <v>442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ПАО "ТГК-1" филиал "Невский"</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00"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00"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444</v>
      </c>
      <c r="T32" s="2371"/>
      <c r="U32" s="1493"/>
      <c r="V32" s="2385" t="str">
        <f>IF(TITLE_DATE_PR_CHANGE="",IF(TITLE_DATE_PR="","",TITLE_DATE_PR),TITLE_DATE_PR_CHANGE)</f>
        <v>45777</v>
      </c>
      <c r="W32" s="2385"/>
      <c r="X32" s="2385"/>
      <c r="Y32" s="2385"/>
      <c r="Z32" s="2385"/>
      <c r="AA32" s="2385"/>
      <c r="AB32" s="2385"/>
      <c r="AC32" s="447"/>
      <c r="AD32" s="2385" t="str">
        <f>IF(TITLE_DATE_PR_CHANGE="",IF(TITLE_DATE_PR="","",TITLE_DATE_PR),TITLE_DATE_PR_CHANGE)</f>
        <v>45777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00"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445</v>
      </c>
      <c r="T33" s="2371"/>
      <c r="U33" s="1493"/>
      <c r="V33" s="2372" t="str">
        <f>IF(TITLE_NUMBER_PR_CHANGE="",IF(TITLE_NUMBER_PR="","",TITLE_NUMBER_PR),TITLE_NUMBER_PR_CHANGE)</f>
        <v>33-01/80</v>
      </c>
      <c r="W33" s="2372"/>
      <c r="X33" s="2372"/>
      <c r="Y33" s="2372"/>
      <c r="Z33" s="2372"/>
      <c r="AA33" s="2372"/>
      <c r="AB33" s="2372"/>
      <c r="AC33" s="447"/>
      <c r="AD33" s="2372" t="str">
        <f>IF(TITLE_NUMBER_PR_CHANGE="",IF(TITLE_NUMBER_PR="","",TITLE_NUMBER_PR),TITLE_NUMBER_PR_CHANGE)</f>
        <v>33-01/80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00"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00" customFormat="1" customHeight="1" ht="18.75">
      <c r="A36" s="1489"/>
      <c r="B36" s="1489"/>
      <c r="C36" s="1489"/>
      <c r="D36" s="1489"/>
      <c r="E36" s="1489"/>
      <c r="F36" s="1489"/>
      <c r="G36" s="1489"/>
      <c r="H36" s="1489"/>
      <c r="I36" s="1489"/>
      <c r="J36" s="1489"/>
      <c r="K36" s="1489"/>
      <c r="L36" s="1490"/>
      <c r="M36" s="1489"/>
      <c r="N36" s="1489"/>
      <c r="O36" s="1489"/>
      <c r="P36" s="1489"/>
      <c r="Q36" s="1489"/>
      <c r="S36" s="2371" t="s">
        <v>444</v>
      </c>
      <c r="T36" s="2371"/>
      <c r="U36" s="1493"/>
      <c r="V36" s="2385" t="str">
        <f>IF(TITLE_DATE_PR_CHANGE="",IF(TITLE_DATE_PR="","",TITLE_DATE_PR),TITLE_DATE_PR_CHANGE)</f>
        <v>45777</v>
      </c>
      <c r="W36" s="2385"/>
      <c r="X36" s="2385"/>
      <c r="Y36" s="2385"/>
      <c r="Z36" s="2385"/>
      <c r="AA36" s="2385"/>
      <c r="AB36" s="2385"/>
      <c r="AC36" s="447"/>
      <c r="AD36" s="2385" t="str">
        <f>IF(TITLE_DATE_PR_CHANGE="",IF(TITLE_DATE_PR="","",TITLE_DATE_PR),TITLE_DATE_PR_CHANGE)</f>
        <v>45777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00" customFormat="1" customHeight="1" ht="18.75">
      <c r="A37" s="1489"/>
      <c r="B37" s="1489"/>
      <c r="C37" s="1489"/>
      <c r="D37" s="1489"/>
      <c r="E37" s="1489"/>
      <c r="F37" s="1489"/>
      <c r="G37" s="1489"/>
      <c r="H37" s="1489"/>
      <c r="I37" s="1489"/>
      <c r="J37" s="1489"/>
      <c r="K37" s="1489"/>
      <c r="L37" s="1490"/>
      <c r="M37" s="1489"/>
      <c r="N37" s="1489"/>
      <c r="O37" s="1489"/>
      <c r="P37" s="1489"/>
      <c r="Q37" s="1489"/>
      <c r="S37" s="2371" t="s">
        <v>445</v>
      </c>
      <c r="T37" s="2371"/>
      <c r="U37" s="1493"/>
      <c r="V37" s="2372" t="str">
        <f>IF(TITLE_NUMBER_PR_CHANGE="",IF(TITLE_NUMBER_PR="","",TITLE_NUMBER_PR),TITLE_NUMBER_PR_CHANGE)</f>
        <v>33-01/80</v>
      </c>
      <c r="W37" s="2372"/>
      <c r="X37" s="2372"/>
      <c r="Y37" s="2372"/>
      <c r="Z37" s="2372"/>
      <c r="AA37" s="2372"/>
      <c r="AB37" s="2372"/>
      <c r="AC37" s="447"/>
      <c r="AD37" s="2372" t="str">
        <f>IF(TITLE_NUMBER_PR_CHANGE="",IF(TITLE_NUMBER_PR="","",TITLE_NUMBER_PR),TITLE_NUMBER_PR_CHANGE)</f>
        <v>33-01/80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00"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448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448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324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325</v>
      </c>
      <c r="BI40" s="1276">
        <v>14</v>
      </c>
    </row>
    <row customHeight="1" ht="14.699999999999998">
      <c r="Q41" s="412"/>
      <c r="R41" s="497"/>
      <c r="S41" s="2394" t="s">
        <v>88</v>
      </c>
      <c r="T41" s="2330" t="s">
        <v>529</v>
      </c>
      <c r="U41" s="422"/>
      <c r="V41" s="2395" t="s">
        <v>450</v>
      </c>
      <c r="W41" s="2396"/>
      <c r="X41" s="2396"/>
      <c r="Y41" s="2396"/>
      <c r="Z41" s="2396"/>
      <c r="AA41" s="2396"/>
      <c r="AB41" s="2397"/>
      <c r="AC41" s="2398" t="s">
        <v>451</v>
      </c>
      <c r="AD41" s="2449" t="s">
        <v>546</v>
      </c>
      <c r="AE41" s="2412"/>
      <c r="AF41" s="2412"/>
      <c r="AG41" s="2450"/>
      <c r="AH41" s="2449" t="s">
        <v>547</v>
      </c>
      <c r="AI41" s="2412"/>
      <c r="AJ41" s="2412"/>
      <c r="AK41" s="2450"/>
      <c r="AL41" s="2449" t="s">
        <v>548</v>
      </c>
      <c r="AM41" s="2412"/>
      <c r="AN41" s="2412"/>
      <c r="AO41" s="2450"/>
      <c r="AP41" s="2449" t="s">
        <v>533</v>
      </c>
      <c r="AQ41" s="2412"/>
      <c r="AR41" s="2412"/>
      <c r="AS41" s="2450"/>
      <c r="AT41" s="2395" t="s">
        <v>450</v>
      </c>
      <c r="AU41" s="2396"/>
      <c r="AV41" s="2396"/>
      <c r="AW41" s="2396"/>
      <c r="AX41" s="2396"/>
      <c r="AY41" s="2396"/>
      <c r="AZ41" s="2397"/>
      <c r="BA41" s="2398" t="s">
        <v>451</v>
      </c>
      <c r="BB41" s="2401" t="s">
        <v>453</v>
      </c>
      <c r="BC41" s="2248"/>
      <c r="BI41" s="1276">
        <v>14</v>
      </c>
    </row>
    <row customHeight="1" ht="35.699999999999996">
      <c r="Q42" s="412"/>
      <c r="R42" s="497"/>
      <c r="S42" s="2394"/>
      <c r="T42" s="2330"/>
      <c r="U42" s="1152"/>
      <c r="V42" s="2313" t="s">
        <v>534</v>
      </c>
      <c r="W42" s="2314"/>
      <c r="X42" s="2313" t="s">
        <v>535</v>
      </c>
      <c r="Y42" s="2314"/>
      <c r="Z42" s="2415" t="s">
        <v>536</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549</v>
      </c>
      <c r="AU42" s="2314"/>
      <c r="AV42" s="2313" t="s">
        <v>550</v>
      </c>
      <c r="AW42" s="2314"/>
      <c r="AX42" s="2415" t="s">
        <v>536</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148</v>
      </c>
      <c r="C44" s="1491" t="s">
        <v>149</v>
      </c>
      <c r="D44" s="1491" t="s">
        <v>150</v>
      </c>
      <c r="E44" s="1485" t="s">
        <v>458</v>
      </c>
      <c r="F44" s="1485" t="s">
        <v>459</v>
      </c>
      <c r="G44" s="1485" t="s">
        <v>460</v>
      </c>
      <c r="H44" s="1485" t="s">
        <v>461</v>
      </c>
      <c r="I44" s="1485" t="s">
        <v>462</v>
      </c>
      <c r="J44" s="1485" t="s">
        <v>463</v>
      </c>
      <c r="K44" s="1485" t="s">
        <v>464</v>
      </c>
      <c r="L44" s="1485" t="s">
        <v>439</v>
      </c>
      <c r="Q44" s="412"/>
      <c r="R44" s="497"/>
      <c r="S44" s="2394"/>
      <c r="T44" s="2330"/>
      <c r="U44" s="423"/>
      <c r="V44" s="1600" t="s">
        <v>500</v>
      </c>
      <c r="W44" s="1600" t="s">
        <v>501</v>
      </c>
      <c r="X44" s="1600" t="s">
        <v>500</v>
      </c>
      <c r="Y44" s="1600" t="s">
        <v>501</v>
      </c>
      <c r="Z44" s="1610" t="s">
        <v>467</v>
      </c>
      <c r="AA44" s="2391" t="s">
        <v>468</v>
      </c>
      <c r="AB44" s="2392"/>
      <c r="AC44" s="2400"/>
      <c r="AD44" s="2454"/>
      <c r="AE44" s="2455"/>
      <c r="AF44" s="2455"/>
      <c r="AG44" s="2456"/>
      <c r="AH44" s="2454"/>
      <c r="AI44" s="2455"/>
      <c r="AJ44" s="2455"/>
      <c r="AK44" s="2456"/>
      <c r="AL44" s="2454"/>
      <c r="AM44" s="2455"/>
      <c r="AN44" s="2455"/>
      <c r="AO44" s="2456"/>
      <c r="AP44" s="2454"/>
      <c r="AQ44" s="2455"/>
      <c r="AR44" s="2455"/>
      <c r="AS44" s="2456"/>
      <c r="AT44" s="1600" t="s">
        <v>500</v>
      </c>
      <c r="AU44" s="1600" t="s">
        <v>501</v>
      </c>
      <c r="AV44" s="1600" t="s">
        <v>500</v>
      </c>
      <c r="AW44" s="1600" t="s">
        <v>501</v>
      </c>
      <c r="AX44" s="1610" t="s">
        <v>467</v>
      </c>
      <c r="AY44" s="2391" t="s">
        <v>468</v>
      </c>
      <c r="AZ44" s="2392"/>
      <c r="BA44" s="2400"/>
      <c r="BB44" s="2403"/>
      <c r="BC44" s="2248"/>
      <c r="BI44" s="1276">
        <v>14</v>
      </c>
    </row>
    <row s="6812"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123</v>
      </c>
      <c r="T45" s="1376" t="s">
        <v>103</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300</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136</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300</v>
      </c>
      <c r="B47" s="1484" t="s">
        <v>301</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421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422</v>
      </c>
      <c r="BE47" s="621"/>
      <c r="BF47" s="621" t="str">
        <f>IF(T47="","",T47)</f>
        <v>Территория действия тарифа</v>
      </c>
      <c r="BG47" s="621"/>
      <c r="BH47" s="621"/>
      <c r="BI47" s="1276">
        <v>21</v>
      </c>
    </row>
    <row customHeight="1" ht="35.699999999999996">
      <c r="A48" s="1484" t="s">
        <v>300</v>
      </c>
      <c r="B48" s="1484" t="s">
        <v>301</v>
      </c>
      <c r="C48" s="1484" t="s">
        <v>302</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538</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539</v>
      </c>
      <c r="BE48" s="621"/>
      <c r="BF48" s="621" t="str">
        <f>IF(T48="","",T48)</f>
        <v>Наименование централизованной системы водоотведения</v>
      </c>
      <c r="BG48" s="621"/>
      <c r="BH48" s="621"/>
      <c r="BI48" s="1276">
        <v>34</v>
      </c>
    </row>
    <row s="7217" customFormat="1" customHeight="1" ht="0">
      <c r="A49" s="1464" t="s">
        <v>300</v>
      </c>
      <c r="B49" s="1464" t="s">
        <v>301</v>
      </c>
      <c r="C49" s="1464" t="s">
        <v>302</v>
      </c>
      <c r="D49" s="1464" t="s">
        <v>551</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426</v>
      </c>
      <c r="BE49" s="621"/>
      <c r="BF49" s="621" t="str">
        <f>IF(T49="","",T49)</f>
        <v/>
      </c>
      <c r="BG49" s="621"/>
      <c r="BH49" s="621"/>
      <c r="BI49" s="632">
        <v>0</v>
      </c>
    </row>
    <row s="7217" customFormat="1" customHeight="1" ht="0">
      <c r="A50" s="1464" t="s">
        <v>300</v>
      </c>
      <c r="B50" s="1464" t="s">
        <v>301</v>
      </c>
      <c r="C50" s="1464" t="s">
        <v>302</v>
      </c>
      <c r="D50" s="1464" t="s">
        <v>551</v>
      </c>
      <c r="E50" s="2380"/>
      <c r="F50" s="2380"/>
      <c r="G50" s="2380"/>
      <c r="H50" s="2380"/>
      <c r="I50" s="2377" t="str">
        <f>S49&amp;".1"</f>
        <v>.1</v>
      </c>
      <c r="J50" s="1464"/>
      <c r="K50" s="1464"/>
      <c r="L50" s="1467" t="s">
        <v>427</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17" customFormat="1" customHeight="1" ht="0">
      <c r="A51" s="1464" t="s">
        <v>300</v>
      </c>
      <c r="B51" s="1464" t="s">
        <v>301</v>
      </c>
      <c r="C51" s="1464" t="s">
        <v>302</v>
      </c>
      <c r="D51" s="1464" t="s">
        <v>551</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300</v>
      </c>
      <c r="B52" s="1484" t="s">
        <v>301</v>
      </c>
      <c r="C52" s="1484" t="s">
        <v>302</v>
      </c>
      <c r="D52" s="1484" t="s">
        <v>551</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523</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524</v>
      </c>
      <c r="AT53" s="1514"/>
      <c r="AU53" s="1617"/>
      <c r="AV53" s="1514"/>
      <c r="AW53" s="1617"/>
      <c r="AX53" s="1514"/>
      <c r="AY53" s="1514"/>
      <c r="AZ53" s="1514"/>
      <c r="BA53" s="1514"/>
      <c r="BB53" s="1518"/>
      <c r="BC53" s="2375"/>
      <c r="BE53" s="621"/>
      <c r="BF53" s="621"/>
      <c r="BG53" s="621"/>
      <c r="BH53" s="621"/>
      <c r="BI53" s="1276">
        <v>11</v>
      </c>
    </row>
    <row customHeight="1" ht="11.549999999999999">
      <c r="A54" s="1484" t="s">
        <v>300</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544</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300</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545</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300</v>
      </c>
      <c r="B56" s="1484" t="s">
        <v>301</v>
      </c>
      <c r="C56" s="1484" t="s">
        <v>302</v>
      </c>
      <c r="D56" s="1484" t="s">
        <v>551</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527</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300</v>
      </c>
      <c r="B57" s="1484" t="s">
        <v>301</v>
      </c>
      <c r="C57" s="1484" t="s">
        <v>302</v>
      </c>
      <c r="D57" s="1484" t="s">
        <v>551</v>
      </c>
      <c r="E57" s="2380"/>
      <c r="F57" s="2380"/>
      <c r="G57" s="2380"/>
      <c r="H57" s="2380"/>
      <c r="I57" s="2407"/>
      <c r="J57" s="2377"/>
      <c r="K57" s="1484"/>
      <c r="L57" s="1485"/>
      <c r="P57" s="2378"/>
      <c r="Q57" s="2378"/>
      <c r="R57" s="477"/>
      <c r="S57" s="1399"/>
      <c r="T57" s="408" t="s">
        <v>490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17" customFormat="1" customHeight="1" ht="0">
      <c r="A58" s="1464" t="s">
        <v>300</v>
      </c>
      <c r="B58" s="1464" t="s">
        <v>301</v>
      </c>
      <c r="C58" s="1464" t="s">
        <v>302</v>
      </c>
      <c r="D58" s="1464" t="s">
        <v>551</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17" customFormat="1" customHeight="1" ht="0">
      <c r="A59" s="1464" t="s">
        <v>300</v>
      </c>
      <c r="B59" s="1464" t="s">
        <v>301</v>
      </c>
      <c r="C59" s="1464" t="s">
        <v>302</v>
      </c>
      <c r="D59" s="1464" t="s">
        <v>551</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17" customFormat="1" customHeight="1" ht="0">
      <c r="A60" s="1464" t="s">
        <v>300</v>
      </c>
      <c r="B60" s="1464" t="s">
        <v>301</v>
      </c>
      <c r="C60" s="1464" t="s">
        <v>302</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17" customFormat="1" customHeight="1" ht="0">
      <c r="A61" s="1464" t="s">
        <v>300</v>
      </c>
      <c r="B61" s="1464" t="s">
        <v>301</v>
      </c>
      <c r="C61" s="1435"/>
      <c r="D61" s="1435"/>
      <c r="E61" s="2380"/>
      <c r="F61" s="2379"/>
      <c r="G61" s="1435"/>
      <c r="H61" s="1435"/>
      <c r="I61" s="1435"/>
      <c r="J61" s="1435"/>
      <c r="K61" s="1435"/>
      <c r="L61" s="1615"/>
      <c r="M61" s="1442"/>
      <c r="N61" s="1442"/>
      <c r="P61" s="1437"/>
      <c r="Q61" s="1438"/>
      <c r="R61" s="1437"/>
      <c r="S61" s="1443"/>
      <c r="T61" s="1446" t="s">
        <v>176</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17" customFormat="1" customHeight="1" ht="0">
      <c r="A62" s="1464" t="s">
        <v>300</v>
      </c>
      <c r="B62" s="1464"/>
      <c r="C62" s="1464"/>
      <c r="D62" s="1464"/>
      <c r="E62" s="2379"/>
      <c r="F62" s="1464"/>
      <c r="G62" s="1464"/>
      <c r="H62" s="1464"/>
      <c r="I62" s="1464"/>
      <c r="J62" s="1464"/>
      <c r="K62" s="1464"/>
      <c r="L62" s="1467"/>
      <c r="M62" s="1442"/>
      <c r="N62" s="1442"/>
      <c r="O62" s="639"/>
      <c r="P62" s="501"/>
      <c r="Q62" s="1465"/>
      <c r="R62" s="501"/>
      <c r="S62" s="1443"/>
      <c r="T62" s="1446" t="s">
        <v>177</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17"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183</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14</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09A3-6B3F-F46B-3203-0.E61ACE5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8" style="7720" width="19.7109375" hidden="1" customWidth="1"/>
    <col min="29" max="29" style="7720" width="11.7109375" hidden="1" customWidth="1"/>
    <col min="30" max="30" style="7720" width="3.7109375" hidden="1" customWidth="1"/>
    <col min="31" max="31" style="7720" width="11.7109375" hidden="1" customWidth="1"/>
    <col min="32" max="32" style="7720" width="8.57421875" hidden="1" customWidth="1"/>
    <col min="33" max="33" style="7720" width="19.7109375" customWidth="1"/>
    <col min="34" max="39" style="7720" width="19.00390625" customWidth="1"/>
    <col min="40" max="40" style="7720" width="11.00390625" customWidth="1"/>
    <col min="41" max="41" style="7720" width="3.7109375" customWidth="1"/>
    <col min="42" max="42" style="7720" width="11.00390625" customWidth="1"/>
    <col min="43" max="43" style="7720" width="8.57421875" hidden="1" customWidth="1"/>
    <col min="44" max="44" style="7720" width="4.00390625" customWidth="1"/>
    <col min="45" max="45" style="7720" width="115.00390625" customWidth="1"/>
    <col min="46" max="50" style="7217" width="10.00390625" customWidth="1"/>
    <col min="51" max="51" style="7720" width="10.57421875" hidden="1"/>
  </cols>
  <sheetData>
    <row customHeight="1" ht="22.5" hidden="1">
      <c r="AC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136</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421</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422</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552</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553</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505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506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430</v>
      </c>
      <c r="P6" s="2378"/>
      <c r="Q6" s="2378">
        <v>1</v>
      </c>
      <c r="R6" s="478"/>
      <c r="S6" s="1614">
        <f>$J6</f>
      </c>
      <c r="T6" s="407" t="s">
        <v>431</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507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872"/>
      <c r="AC7" s="2386"/>
      <c r="AD7" s="2228" t="s">
        <v>66</v>
      </c>
      <c r="AE7" s="2386"/>
      <c r="AF7" s="2228" t="s">
        <v>66</v>
      </c>
      <c r="AG7" s="872"/>
      <c r="AH7" s="872"/>
      <c r="AI7" s="872"/>
      <c r="AJ7" s="872"/>
      <c r="AK7" s="872"/>
      <c r="AL7" s="872"/>
      <c r="AM7" s="872"/>
      <c r="AN7" s="2386"/>
      <c r="AO7" s="2228" t="s">
        <v>66</v>
      </c>
      <c r="AP7" s="2408"/>
      <c r="AQ7" s="2228" t="s">
        <v>66</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6"/>
      <c r="AC8" s="2387"/>
      <c r="AD8" s="2228"/>
      <c r="AE8" s="2387"/>
      <c r="AF8" s="2228"/>
      <c r="AG8" s="446"/>
      <c r="AH8" s="446"/>
      <c r="AI8" s="446"/>
      <c r="AJ8" s="446"/>
      <c r="AK8" s="446"/>
      <c r="AL8" s="446"/>
      <c r="AM8" s="446"/>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509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436</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721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388"/>
      <c r="AO15" s="2389" t="s">
        <v>66</v>
      </c>
      <c r="AP15" s="2388"/>
      <c r="AQ15" s="2389" t="s">
        <v>66</v>
      </c>
      <c r="AY15" s="1276">
        <v>0</v>
      </c>
    </row>
    <row customHeight="1" ht="14.25" hidden="1">
      <c r="AG16" s="1481"/>
      <c r="AH16" s="1481"/>
      <c r="AI16" s="1481"/>
      <c r="AJ16" s="1481"/>
      <c r="AK16" s="1481"/>
      <c r="AL16" s="1481"/>
      <c r="AM16" s="1481"/>
      <c r="AN16" s="2389"/>
      <c r="AO16" s="2389"/>
      <c r="AP16" s="2389"/>
      <c r="AQ16" s="2389"/>
      <c r="AY16" s="1276">
        <v>0</v>
      </c>
    </row>
    <row customHeight="1" ht="14.25" hidden="1">
      <c r="AQ17" s="448"/>
      <c r="AY17" s="1276">
        <v>0</v>
      </c>
    </row>
    <row s="7669" customFormat="1" customHeight="1" ht="22.5" hidden="1">
      <c r="L18" s="1599"/>
      <c r="M18" s="1483"/>
      <c r="N18" s="1483"/>
      <c r="O18" s="1488" t="s">
        <v>438</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669"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669" customFormat="1" customHeight="1" ht="12" hidden="1">
      <c r="L20" s="1599"/>
      <c r="M20" s="1483"/>
      <c r="N20" s="1483"/>
      <c r="O20" s="1485" t="s">
        <v>439</v>
      </c>
      <c r="P20" s="1483"/>
      <c r="Q20" s="1563"/>
      <c r="R20" s="1563"/>
      <c r="S20" s="850"/>
      <c r="T20" s="1281" t="s">
        <v>440</v>
      </c>
      <c r="W20" s="1487"/>
      <c r="X20" s="1487"/>
      <c r="Y20" s="1487"/>
      <c r="Z20" s="1487"/>
      <c r="AA20" s="1487"/>
      <c r="AB20" s="1487"/>
      <c r="AD20" s="307" t="s">
        <v>441</v>
      </c>
      <c r="AF20" s="307" t="s">
        <v>442</v>
      </c>
      <c r="AG20" s="1281" t="s">
        <v>440</v>
      </c>
      <c r="AH20" s="1487"/>
      <c r="AI20" s="1487"/>
      <c r="AJ20" s="1487"/>
      <c r="AK20" s="1487"/>
      <c r="AL20" s="1487"/>
      <c r="AO20" s="307" t="s">
        <v>443</v>
      </c>
      <c r="AQ20" s="307" t="s">
        <v>442</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2385"/>
      <c r="AC28" s="2385"/>
      <c r="AD28" s="2385"/>
      <c r="AE28" s="2385"/>
      <c r="AF28" s="447"/>
      <c r="AG28" s="2385" t="str">
        <f>IF(TITLE_DATE_PR_CHANGE="",IF(TITLE_DATE_PR="","",TITLE_DATE_PR),TITLE_DATE_PR_CHANGE)</f>
        <v>45777</v>
      </c>
      <c r="AH28" s="2385"/>
      <c r="AI28" s="2385"/>
      <c r="AJ28" s="2385"/>
      <c r="AK28" s="2385"/>
      <c r="AL28" s="2385"/>
      <c r="AM28" s="2385"/>
      <c r="AN28" s="2385"/>
      <c r="AO28" s="2385"/>
      <c r="AP28" s="2385"/>
      <c r="AQ28" s="447"/>
      <c r="AR28" s="447"/>
      <c r="AS28" s="401"/>
      <c r="AT28" s="489"/>
      <c r="AU28" s="489"/>
      <c r="AV28" s="489"/>
      <c r="AW28" s="489"/>
      <c r="AX28" s="489"/>
      <c r="AY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2372"/>
      <c r="AC29" s="2372"/>
      <c r="AD29" s="2372"/>
      <c r="AE29" s="2372"/>
      <c r="AF29" s="447"/>
      <c r="AG29" s="2372" t="str">
        <f>IF(TITLE_NUMBER_PR_CHANGE="",IF(TITLE_NUMBER_PR="","",TITLE_NUMBER_PR),TITLE_NUMBER_PR_CHANGE)</f>
        <v>33-01/80</v>
      </c>
      <c r="AH29" s="2372"/>
      <c r="AI29" s="2372"/>
      <c r="AJ29" s="2372"/>
      <c r="AK29" s="2372"/>
      <c r="AL29" s="2372"/>
      <c r="AM29" s="2372"/>
      <c r="AN29" s="2372"/>
      <c r="AO29" s="2372"/>
      <c r="AP29" s="2372"/>
      <c r="AQ29" s="447"/>
      <c r="AR29" s="447"/>
      <c r="AS29" s="401"/>
      <c r="AT29" s="489"/>
      <c r="AU29" s="489"/>
      <c r="AV29" s="489"/>
      <c r="AW29" s="489"/>
      <c r="AX29" s="489"/>
      <c r="AY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2385"/>
      <c r="AC32" s="2385"/>
      <c r="AD32" s="2385"/>
      <c r="AE32" s="2385"/>
      <c r="AF32" s="447"/>
      <c r="AG32" s="2385" t="str">
        <f>IF(TITLE_DATE_PR_CHANGE="",IF(TITLE_DATE_PR="","",TITLE_DATE_PR),TITLE_DATE_PR_CHANGE)</f>
        <v>45777</v>
      </c>
      <c r="AH32" s="2385"/>
      <c r="AI32" s="2385"/>
      <c r="AJ32" s="2385"/>
      <c r="AK32" s="2385"/>
      <c r="AL32" s="2385"/>
      <c r="AM32" s="2385"/>
      <c r="AN32" s="2385"/>
      <c r="AO32" s="2385"/>
      <c r="AP32" s="2385"/>
      <c r="AQ32" s="447"/>
      <c r="AR32" s="447"/>
      <c r="AS32" s="401"/>
      <c r="AT32" s="489"/>
      <c r="AU32" s="489"/>
      <c r="AV32" s="489"/>
      <c r="AW32" s="489"/>
      <c r="AX32" s="489"/>
      <c r="AY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2372"/>
      <c r="AC33" s="2372"/>
      <c r="AD33" s="2372"/>
      <c r="AE33" s="2372"/>
      <c r="AF33" s="447"/>
      <c r="AG33" s="2372" t="str">
        <f>IF(TITLE_NUMBER_PR_CHANGE="",IF(TITLE_NUMBER_PR="","",TITLE_NUMBER_PR),TITLE_NUMBER_PR_CHANGE)</f>
        <v>33-01/80</v>
      </c>
      <c r="AH33" s="2372"/>
      <c r="AI33" s="2372"/>
      <c r="AJ33" s="2372"/>
      <c r="AK33" s="2372"/>
      <c r="AL33" s="2372"/>
      <c r="AM33" s="2372"/>
      <c r="AN33" s="2372"/>
      <c r="AO33" s="2372"/>
      <c r="AP33" s="2372"/>
      <c r="AQ33" s="447"/>
      <c r="AR33" s="447"/>
      <c r="AS33" s="401"/>
      <c r="AT33" s="489"/>
      <c r="AU33" s="489"/>
      <c r="AV33" s="489"/>
      <c r="AW33" s="489"/>
      <c r="AX33" s="489"/>
      <c r="AY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448</v>
      </c>
      <c r="AG34" s="447"/>
      <c r="AH34" s="1756"/>
      <c r="AI34" s="1756"/>
      <c r="AJ34" s="1756"/>
      <c r="AK34" s="1756"/>
      <c r="AL34" s="1756"/>
      <c r="AM34" s="447"/>
      <c r="AN34" s="447"/>
      <c r="AO34" s="447"/>
      <c r="AP34" s="447"/>
      <c r="AQ34" s="399" t="s">
        <v>448</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325</v>
      </c>
      <c r="AY36" s="1276">
        <v>14</v>
      </c>
    </row>
    <row customHeight="1" ht="14.699999999999998">
      <c r="Q37" s="497"/>
      <c r="R37" s="497"/>
      <c r="S37" s="2394" t="s">
        <v>88</v>
      </c>
      <c r="T37" s="2330" t="s">
        <v>449</v>
      </c>
      <c r="U37" s="422"/>
      <c r="V37" s="2395" t="s">
        <v>450</v>
      </c>
      <c r="W37" s="2412"/>
      <c r="X37" s="2412"/>
      <c r="Y37" s="2412"/>
      <c r="Z37" s="2412"/>
      <c r="AA37" s="2412"/>
      <c r="AB37" s="2412"/>
      <c r="AC37" s="2396"/>
      <c r="AD37" s="2396"/>
      <c r="AE37" s="2397"/>
      <c r="AF37" s="2398" t="s">
        <v>451</v>
      </c>
      <c r="AG37" s="2395" t="s">
        <v>450</v>
      </c>
      <c r="AH37" s="2396"/>
      <c r="AI37" s="2396"/>
      <c r="AJ37" s="2396"/>
      <c r="AK37" s="2396"/>
      <c r="AL37" s="2396"/>
      <c r="AM37" s="2396"/>
      <c r="AN37" s="2396"/>
      <c r="AO37" s="2396"/>
      <c r="AP37" s="2397"/>
      <c r="AQ37" s="2398" t="s">
        <v>452</v>
      </c>
      <c r="AR37" s="2401" t="s">
        <v>453</v>
      </c>
      <c r="AS37" s="2248"/>
      <c r="AY37" s="1276">
        <v>14</v>
      </c>
    </row>
    <row customHeight="1" ht="19.95">
      <c r="Q38" s="497"/>
      <c r="R38" s="497"/>
      <c r="S38" s="2394"/>
      <c r="T38" s="2330"/>
      <c r="U38" s="1152"/>
      <c r="V38" s="2487" t="s">
        <v>554</v>
      </c>
      <c r="W38" s="2486" t="s">
        <v>555</v>
      </c>
      <c r="X38" s="2486"/>
      <c r="Y38" s="2486"/>
      <c r="Z38" s="2486" t="s">
        <v>556</v>
      </c>
      <c r="AA38" s="2486"/>
      <c r="AB38" s="2486"/>
      <c r="AC38" s="2415" t="s">
        <v>457</v>
      </c>
      <c r="AD38" s="2434"/>
      <c r="AE38" s="2435"/>
      <c r="AF38" s="2399"/>
      <c r="AG38" s="2487" t="s">
        <v>554</v>
      </c>
      <c r="AH38" s="2486" t="s">
        <v>555</v>
      </c>
      <c r="AI38" s="2486"/>
      <c r="AJ38" s="2486"/>
      <c r="AK38" s="2486" t="s">
        <v>556</v>
      </c>
      <c r="AL38" s="2486"/>
      <c r="AM38" s="2486"/>
      <c r="AN38" s="2415" t="s">
        <v>457</v>
      </c>
      <c r="AO38" s="2434"/>
      <c r="AP38" s="2435"/>
      <c r="AQ38" s="2399"/>
      <c r="AR38" s="2402"/>
      <c r="AS38" s="2248"/>
      <c r="AY38" s="1276">
        <v>19</v>
      </c>
    </row>
    <row s="7720" customFormat="1" customHeight="1" ht="19.95">
      <c r="A39" s="1487"/>
      <c r="B39" s="1487"/>
      <c r="C39" s="1487"/>
      <c r="D39" s="1487"/>
      <c r="E39" s="1487"/>
      <c r="F39" s="1487"/>
      <c r="G39" s="1487"/>
      <c r="H39" s="1487"/>
      <c r="I39" s="1487"/>
      <c r="J39" s="1487"/>
      <c r="K39" s="1487"/>
      <c r="L39" s="2072"/>
      <c r="M39" s="1483"/>
      <c r="N39" s="1483"/>
      <c r="O39" s="1483"/>
      <c r="P39" s="2086"/>
      <c r="Q39" s="497"/>
      <c r="R39" s="497"/>
      <c r="S39" s="2394"/>
      <c r="T39" s="2330"/>
      <c r="U39" s="1152"/>
      <c r="V39" s="2487"/>
      <c r="W39" s="2486" t="s">
        <v>557</v>
      </c>
      <c r="X39" s="2486" t="s">
        <v>558</v>
      </c>
      <c r="Y39" s="2486"/>
      <c r="Z39" s="2486" t="s">
        <v>559</v>
      </c>
      <c r="AA39" s="2486" t="s">
        <v>558</v>
      </c>
      <c r="AB39" s="2486"/>
      <c r="AC39" s="2416"/>
      <c r="AD39" s="2436"/>
      <c r="AE39" s="2437"/>
      <c r="AF39" s="2399"/>
      <c r="AG39" s="2487"/>
      <c r="AH39" s="2486" t="s">
        <v>557</v>
      </c>
      <c r="AI39" s="2486" t="s">
        <v>558</v>
      </c>
      <c r="AJ39" s="2486"/>
      <c r="AK39" s="2486" t="s">
        <v>559</v>
      </c>
      <c r="AL39" s="2486" t="s">
        <v>558</v>
      </c>
      <c r="AM39" s="2486"/>
      <c r="AN39" s="2416"/>
      <c r="AO39" s="2436"/>
      <c r="AP39" s="2437"/>
      <c r="AQ39" s="2399"/>
      <c r="AR39" s="2402"/>
      <c r="AS39" s="2248"/>
      <c r="AT39" s="1757"/>
      <c r="AU39" s="1757"/>
      <c r="AV39" s="1757"/>
      <c r="AW39" s="1757"/>
      <c r="AX39" s="1757"/>
      <c r="AY39" s="1752">
        <v>19</v>
      </c>
    </row>
    <row customHeight="1" ht="61.949999999999996">
      <c r="A40" s="1491"/>
      <c r="B40" s="1491" t="s">
        <v>148</v>
      </c>
      <c r="C40" s="1491" t="s">
        <v>149</v>
      </c>
      <c r="D40" s="1491" t="s">
        <v>150</v>
      </c>
      <c r="E40" s="1485" t="s">
        <v>458</v>
      </c>
      <c r="F40" s="1485" t="s">
        <v>459</v>
      </c>
      <c r="G40" s="1485" t="s">
        <v>460</v>
      </c>
      <c r="H40" s="1485"/>
      <c r="I40" s="1485" t="s">
        <v>512</v>
      </c>
      <c r="J40" s="1485" t="s">
        <v>463</v>
      </c>
      <c r="K40" s="1485" t="s">
        <v>513</v>
      </c>
      <c r="L40" s="1485" t="s">
        <v>439</v>
      </c>
      <c r="Q40" s="497"/>
      <c r="R40" s="497"/>
      <c r="S40" s="2394"/>
      <c r="T40" s="2330"/>
      <c r="U40" s="423"/>
      <c r="V40" s="2487"/>
      <c r="W40" s="2486"/>
      <c r="X40" s="2104" t="s">
        <v>560</v>
      </c>
      <c r="Y40" s="2104" t="s">
        <v>561</v>
      </c>
      <c r="Z40" s="2486"/>
      <c r="AA40" s="2104" t="s">
        <v>562</v>
      </c>
      <c r="AB40" s="2104" t="s">
        <v>563</v>
      </c>
      <c r="AC40" s="1610" t="s">
        <v>467</v>
      </c>
      <c r="AD40" s="2391" t="s">
        <v>468</v>
      </c>
      <c r="AE40" s="2392"/>
      <c r="AF40" s="2400"/>
      <c r="AG40" s="2487"/>
      <c r="AH40" s="2486"/>
      <c r="AI40" s="2104" t="s">
        <v>560</v>
      </c>
      <c r="AJ40" s="2104" t="s">
        <v>561</v>
      </c>
      <c r="AK40" s="2486"/>
      <c r="AL40" s="2104" t="s">
        <v>562</v>
      </c>
      <c r="AM40" s="2104" t="s">
        <v>563</v>
      </c>
      <c r="AN40" s="1610" t="s">
        <v>467</v>
      </c>
      <c r="AO40" s="2391" t="s">
        <v>468</v>
      </c>
      <c r="AP40" s="2392"/>
      <c r="AQ40" s="2400"/>
      <c r="AR40" s="2403"/>
      <c r="AS40" s="2248"/>
      <c r="AY40" s="1276">
        <v>59</v>
      </c>
    </row>
    <row s="6812"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123</v>
      </c>
      <c r="T41" s="1376" t="s">
        <v>103</v>
      </c>
      <c r="U41" s="1366" t="str">
        <f>OFFSET(U41,0,-1)</f>
        <v>2</v>
      </c>
      <c r="V41" s="1603">
        <f>OFFSET(V41,0,-1)+1</f>
        <v>3</v>
      </c>
      <c r="W41" s="1462"/>
      <c r="X41" s="1462"/>
      <c r="Y41" s="1462"/>
      <c r="Z41" s="1462"/>
      <c r="AA41" s="1462"/>
      <c r="AB41" s="1462"/>
      <c r="AC41" s="1603">
        <f>OFFSET(AC41,0,-1)+1</f>
        <v>1</v>
      </c>
      <c r="AD41" s="2393">
        <f>OFFSET(AD41,0,-1)+1</f>
        <v>2</v>
      </c>
      <c r="AE41" s="2393"/>
      <c r="AF41" s="1603">
        <f>OFFSET(AF41,0,-2)+1</f>
        <v>3</v>
      </c>
      <c r="AG41" s="1603">
        <f>OFFSET(AG41,0,-1)+1</f>
        <v>4</v>
      </c>
      <c r="AH41" s="2077"/>
      <c r="AI41" s="2077"/>
      <c r="AJ41" s="2077"/>
      <c r="AK41" s="2077"/>
      <c r="AL41" s="2077"/>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275</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136</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275</v>
      </c>
      <c r="B43" s="1484" t="s">
        <v>276</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421</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422</v>
      </c>
      <c r="AU43" s="621"/>
      <c r="AV43" s="621" t="str">
        <f>IF(T43="","",T43)</f>
        <v>Территория действия тарифа</v>
      </c>
      <c r="AW43" s="621"/>
      <c r="AX43" s="621"/>
      <c r="AY43" s="1276">
        <v>23</v>
      </c>
    </row>
    <row customHeight="1" ht="24">
      <c r="A44" s="1484" t="s">
        <v>275</v>
      </c>
      <c r="B44" s="1484" t="s">
        <v>276</v>
      </c>
      <c r="C44" s="1484" t="s">
        <v>277</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552</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553</v>
      </c>
      <c r="AU44" s="621"/>
      <c r="AV44" s="621" t="str">
        <f>IF(T44="","",T44)</f>
        <v>Наименование централизованной системы горячего водоснабжения</v>
      </c>
      <c r="AW44" s="621"/>
      <c r="AX44" s="621"/>
      <c r="AY44" s="1276">
        <v>23</v>
      </c>
    </row>
    <row customHeight="1" ht="24">
      <c r="A45" s="1484" t="s">
        <v>275</v>
      </c>
      <c r="B45" s="1484" t="s">
        <v>276</v>
      </c>
      <c r="C45" s="1484" t="s">
        <v>277</v>
      </c>
      <c r="D45" s="1484" t="s">
        <v>564</v>
      </c>
      <c r="E45" s="2380"/>
      <c r="F45" s="2380"/>
      <c r="G45" s="2380"/>
      <c r="H45" s="2380"/>
      <c r="I45" s="2377" t="str">
        <f>S44&amp;".1"</f>
        <v>...1</v>
      </c>
      <c r="J45" s="1484"/>
      <c r="K45" s="1484"/>
      <c r="L45" s="1485"/>
      <c r="P45" s="2378">
        <v>1</v>
      </c>
      <c r="Q45" s="1602"/>
      <c r="R45" s="477"/>
      <c r="S45" s="1614" t="str">
        <f>$I45</f>
        <v>...1</v>
      </c>
      <c r="T45" s="406" t="s">
        <v>505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506</v>
      </c>
      <c r="AU45" s="621"/>
      <c r="AV45" s="621" t="str">
        <f>IF(T45="","",T45)</f>
        <v>Наименование признака дифференциации</v>
      </c>
      <c r="AW45" s="621"/>
      <c r="AX45" s="621"/>
      <c r="AY45" s="1276">
        <v>23</v>
      </c>
    </row>
    <row customHeight="1" ht="24">
      <c r="A46" s="1484" t="s">
        <v>275</v>
      </c>
      <c r="B46" s="1484" t="s">
        <v>276</v>
      </c>
      <c r="C46" s="1484" t="s">
        <v>277</v>
      </c>
      <c r="D46" s="1484" t="s">
        <v>564</v>
      </c>
      <c r="E46" s="2380"/>
      <c r="F46" s="2380"/>
      <c r="G46" s="2380"/>
      <c r="H46" s="2380"/>
      <c r="I46" s="2407"/>
      <c r="J46" s="2377" t="str">
        <f>I45&amp;".1"</f>
        <v>...1.1</v>
      </c>
      <c r="K46" s="1484"/>
      <c r="L46" s="1485" t="s">
        <v>430</v>
      </c>
      <c r="P46" s="2378"/>
      <c r="Q46" s="2378">
        <v>1</v>
      </c>
      <c r="R46" s="478"/>
      <c r="S46" s="1614" t="str">
        <f>$J46</f>
        <v>...1.1</v>
      </c>
      <c r="T46" s="407" t="s">
        <v>431</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507</v>
      </c>
      <c r="AU46" s="621"/>
      <c r="AV46" s="621" t="str">
        <f>IF(T46="","",T46)</f>
        <v>Группа потребителей</v>
      </c>
      <c r="AW46" s="621"/>
      <c r="AX46" s="621"/>
      <c r="AY46" s="1276">
        <v>23</v>
      </c>
    </row>
    <row customHeight="1" ht="24">
      <c r="A47" s="1484" t="s">
        <v>275</v>
      </c>
      <c r="B47" s="1484" t="s">
        <v>276</v>
      </c>
      <c r="C47" s="1484" t="s">
        <v>277</v>
      </c>
      <c r="D47" s="1484" t="s">
        <v>564</v>
      </c>
      <c r="E47" s="2380"/>
      <c r="F47" s="2380"/>
      <c r="G47" s="2380"/>
      <c r="H47" s="2380"/>
      <c r="I47" s="2407"/>
      <c r="J47" s="2407"/>
      <c r="K47" s="2377" t="str">
        <f>J46&amp;".1"</f>
        <v>...1.1.1</v>
      </c>
      <c r="L47" s="1485"/>
      <c r="P47" s="2378"/>
      <c r="Q47" s="2378"/>
      <c r="R47" s="478">
        <v>1</v>
      </c>
      <c r="S47" s="1614" t="str">
        <f>$K47</f>
        <v>...1.1.1</v>
      </c>
      <c r="T47" s="1558"/>
      <c r="U47" s="421"/>
      <c r="V47" s="872"/>
      <c r="W47" s="872"/>
      <c r="X47" s="872"/>
      <c r="Y47" s="872"/>
      <c r="Z47" s="872"/>
      <c r="AA47" s="872"/>
      <c r="AB47" s="872"/>
      <c r="AC47" s="2388"/>
      <c r="AD47" s="2389" t="s">
        <v>66</v>
      </c>
      <c r="AE47" s="2388"/>
      <c r="AF47" s="2389" t="s">
        <v>66</v>
      </c>
      <c r="AG47" s="872"/>
      <c r="AH47" s="872"/>
      <c r="AI47" s="872"/>
      <c r="AJ47" s="872"/>
      <c r="AK47" s="872"/>
      <c r="AL47" s="872"/>
      <c r="AM47" s="872"/>
      <c r="AN47" s="2386"/>
      <c r="AO47" s="2228" t="s">
        <v>66</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275</v>
      </c>
      <c r="B48" s="1484" t="s">
        <v>276</v>
      </c>
      <c r="C48" s="1484" t="s">
        <v>277</v>
      </c>
      <c r="D48" s="1484" t="s">
        <v>564</v>
      </c>
      <c r="E48" s="2380"/>
      <c r="F48" s="2380"/>
      <c r="G48" s="2380"/>
      <c r="H48" s="2380"/>
      <c r="I48" s="2407"/>
      <c r="J48" s="2407"/>
      <c r="K48" s="2377"/>
      <c r="L48" s="1485"/>
      <c r="P48" s="2378"/>
      <c r="Q48" s="2378"/>
      <c r="R48" s="478"/>
      <c r="S48" s="1611"/>
      <c r="T48" s="421"/>
      <c r="U48" s="421"/>
      <c r="V48" s="1481"/>
      <c r="W48" s="1481"/>
      <c r="X48" s="1481"/>
      <c r="Y48" s="1481"/>
      <c r="Z48" s="1481"/>
      <c r="AA48" s="1481"/>
      <c r="AB48" s="1481"/>
      <c r="AC48" s="2389"/>
      <c r="AD48" s="2389"/>
      <c r="AE48" s="2389"/>
      <c r="AF48" s="2389"/>
      <c r="AG48" s="446"/>
      <c r="AH48" s="446"/>
      <c r="AI48" s="446"/>
      <c r="AJ48" s="446"/>
      <c r="AK48" s="446"/>
      <c r="AL48" s="446"/>
      <c r="AM48" s="446"/>
      <c r="AN48" s="2387"/>
      <c r="AO48" s="2228"/>
      <c r="AP48" s="2409"/>
      <c r="AQ48" s="2228"/>
      <c r="AR48" s="1560"/>
      <c r="AS48" s="2470"/>
      <c r="AU48" s="621"/>
      <c r="AV48" s="621" t="str">
        <f>IF(T48="","",T48)</f>
        <v/>
      </c>
      <c r="AW48" s="621"/>
      <c r="AX48" s="621"/>
      <c r="AY48" s="1276">
        <v>0</v>
      </c>
    </row>
    <row customHeight="1" ht="21">
      <c r="A49" s="1484" t="s">
        <v>275</v>
      </c>
      <c r="B49" s="1484" t="s">
        <v>276</v>
      </c>
      <c r="C49" s="1484" t="s">
        <v>277</v>
      </c>
      <c r="D49" s="1484" t="s">
        <v>564</v>
      </c>
      <c r="E49" s="2380"/>
      <c r="F49" s="2380"/>
      <c r="G49" s="2380"/>
      <c r="H49" s="2380"/>
      <c r="I49" s="2407"/>
      <c r="J49" s="2377"/>
      <c r="K49" s="1484"/>
      <c r="L49" s="1485"/>
      <c r="P49" s="2378"/>
      <c r="Q49" s="2378"/>
      <c r="R49" s="477"/>
      <c r="S49" s="1399"/>
      <c r="T49" s="408" t="s">
        <v>508</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509</v>
      </c>
      <c r="AU49" s="621"/>
      <c r="AV49" s="621" t="str">
        <f>IF(T49="","",T49)</f>
        <v>Добавить значение признака дифференциации</v>
      </c>
      <c r="AW49" s="621"/>
      <c r="AX49" s="621"/>
      <c r="AY49" s="1276">
        <v>20</v>
      </c>
    </row>
    <row customHeight="1" ht="22.049999999999997">
      <c r="A50" s="1484" t="s">
        <v>275</v>
      </c>
      <c r="B50" s="1484" t="s">
        <v>276</v>
      </c>
      <c r="C50" s="1484" t="s">
        <v>277</v>
      </c>
      <c r="D50" s="1484" t="s">
        <v>564</v>
      </c>
      <c r="E50" s="2380"/>
      <c r="F50" s="2380"/>
      <c r="G50" s="2380"/>
      <c r="H50" s="2380"/>
      <c r="I50" s="2377"/>
      <c r="J50" s="1484"/>
      <c r="K50" s="1484"/>
      <c r="L50" s="1485"/>
      <c r="P50" s="2378"/>
      <c r="Q50" s="1602"/>
      <c r="R50" s="477"/>
      <c r="S50" s="1399"/>
      <c r="T50" s="486" t="s">
        <v>436</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275</v>
      </c>
      <c r="B51" s="1484" t="s">
        <v>276</v>
      </c>
      <c r="C51" s="1484" t="s">
        <v>277</v>
      </c>
      <c r="D51" s="1484" t="s">
        <v>564</v>
      </c>
      <c r="E51" s="2380"/>
      <c r="F51" s="2380"/>
      <c r="G51" s="2380"/>
      <c r="H51" s="2379"/>
      <c r="I51" s="1484"/>
      <c r="J51" s="1484"/>
      <c r="K51" s="1484"/>
      <c r="L51" s="1485"/>
      <c r="M51" s="1486"/>
      <c r="N51" s="1486"/>
      <c r="O51" s="658"/>
      <c r="P51" s="481"/>
      <c r="Q51" s="496"/>
      <c r="R51" s="476"/>
      <c r="S51" s="1399"/>
      <c r="T51" s="493" t="s">
        <v>510</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7217" customFormat="1" customHeight="1" ht="0">
      <c r="A52" s="1464" t="s">
        <v>275</v>
      </c>
      <c r="B52" s="1464" t="s">
        <v>276</v>
      </c>
      <c r="C52" s="1435"/>
      <c r="D52" s="1435"/>
      <c r="E52" s="2380"/>
      <c r="F52" s="2379"/>
      <c r="G52" s="1435"/>
      <c r="H52" s="1435"/>
      <c r="I52" s="1435"/>
      <c r="J52" s="1435"/>
      <c r="K52" s="1435"/>
      <c r="L52" s="1615"/>
      <c r="M52" s="1442"/>
      <c r="N52" s="1442"/>
      <c r="P52" s="1437"/>
      <c r="Q52" s="1438"/>
      <c r="R52" s="1437"/>
      <c r="S52" s="1443"/>
      <c r="T52" s="1446" t="s">
        <v>176</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7217" customFormat="1" customHeight="1" ht="0">
      <c r="A53" s="1464" t="s">
        <v>275</v>
      </c>
      <c r="B53" s="1464"/>
      <c r="C53" s="1464"/>
      <c r="D53" s="1464"/>
      <c r="E53" s="2379"/>
      <c r="F53" s="1464"/>
      <c r="G53" s="1464"/>
      <c r="H53" s="1464"/>
      <c r="I53" s="1464"/>
      <c r="J53" s="1464"/>
      <c r="K53" s="1464"/>
      <c r="L53" s="1467"/>
      <c r="M53" s="1442"/>
      <c r="N53" s="1442"/>
      <c r="O53" s="639"/>
      <c r="P53" s="501"/>
      <c r="Q53" s="1465"/>
      <c r="R53" s="501"/>
      <c r="S53" s="1443"/>
      <c r="T53" s="1446" t="s">
        <v>177</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7217"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183</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13F46-EFF1-4D78-A715-0.6DAECF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4.140625" hidden="1" customWidth="1"/>
    <col min="10" max="10" style="7669" width="9.8515625" hidden="1" customWidth="1"/>
    <col min="11" max="11" style="7669" width="14.7109375" hidden="1" customWidth="1"/>
    <col min="12" max="12" style="8409" width="19.140625" hidden="1" customWidth="1"/>
    <col min="13" max="14" style="6894" width="12.28125" hidden="1" customWidth="1"/>
    <col min="15" max="15" style="6894" width="23.421875" hidden="1" customWidth="1"/>
    <col min="16" max="16" style="8429" width="3.00390625" customWidth="1"/>
    <col min="17" max="18" style="7739" width="3.00390625" customWidth="1"/>
    <col min="19" max="19" style="8401" width="12.00390625" customWidth="1"/>
    <col min="20" max="20" style="7720" width="35.00390625" customWidth="1"/>
    <col min="21" max="21" style="7720" width="0.140625" customWidth="1"/>
    <col min="22" max="28" style="7720" width="19.7109375" hidden="1" customWidth="1"/>
    <col min="29" max="29" style="7720" width="11.7109375" hidden="1" customWidth="1"/>
    <col min="30" max="30" style="7720" width="3.7109375" hidden="1" customWidth="1"/>
    <col min="31" max="31" style="7720" width="11.7109375" hidden="1" customWidth="1"/>
    <col min="32" max="32" style="7720" width="8.57421875" hidden="1" customWidth="1"/>
    <col min="33" max="33" style="7720" width="19.7109375" customWidth="1"/>
    <col min="34" max="39" style="7720" width="19.00390625" customWidth="1"/>
    <col min="40" max="40" style="7720" width="11.00390625" customWidth="1"/>
    <col min="41" max="41" style="7720" width="3.7109375" customWidth="1"/>
    <col min="42" max="42" style="7720" width="11.00390625" customWidth="1"/>
    <col min="43" max="43" style="7720" width="8.57421875" hidden="1" customWidth="1"/>
    <col min="44" max="44" style="7720" width="4.00390625" customWidth="1"/>
    <col min="45" max="45" style="7720" width="115.00390625" customWidth="1"/>
    <col min="46" max="50" style="7217" width="10.00390625" customWidth="1"/>
    <col min="51" max="51" style="7720" width="10.57421875" hidden="1"/>
  </cols>
  <sheetData>
    <row customHeight="1" ht="22.5" hidden="1">
      <c r="AB1" s="448"/>
      <c r="AC1" s="448"/>
      <c r="AM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136</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421</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422</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552</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553</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505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506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430</v>
      </c>
      <c r="P6" s="2378"/>
      <c r="Q6" s="2378">
        <v>1</v>
      </c>
      <c r="R6" s="478"/>
      <c r="S6" s="1614">
        <f>$J6</f>
      </c>
      <c r="T6" s="407" t="s">
        <v>431</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507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1378"/>
      <c r="AC7" s="2386"/>
      <c r="AD7" s="2228" t="s">
        <v>66</v>
      </c>
      <c r="AE7" s="2386"/>
      <c r="AF7" s="2228" t="s">
        <v>66</v>
      </c>
      <c r="AG7" s="872"/>
      <c r="AH7" s="872"/>
      <c r="AI7" s="872"/>
      <c r="AJ7" s="872"/>
      <c r="AK7" s="872"/>
      <c r="AL7" s="872"/>
      <c r="AM7" s="1378"/>
      <c r="AN7" s="2386"/>
      <c r="AO7" s="2228" t="s">
        <v>66</v>
      </c>
      <c r="AP7" s="2408"/>
      <c r="AQ7" s="2228" t="s">
        <v>66</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9" t="str">
        <f>AC7&amp;"-"&amp;AE7</f>
        <v>-</v>
      </c>
      <c r="AC8" s="2387"/>
      <c r="AD8" s="2228"/>
      <c r="AE8" s="2387"/>
      <c r="AF8" s="2228"/>
      <c r="AG8" s="446"/>
      <c r="AH8" s="446"/>
      <c r="AI8" s="446"/>
      <c r="AJ8" s="446"/>
      <c r="AK8" s="446"/>
      <c r="AL8" s="446"/>
      <c r="AM8" s="449" t="str">
        <f>AN7&amp;"-"&amp;AP7</f>
        <v>-</v>
      </c>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508</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509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436</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510</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7217"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176</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7217"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177</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88"/>
      <c r="AO15" s="2389" t="s">
        <v>66</v>
      </c>
      <c r="AP15" s="2388"/>
      <c r="AQ15" s="2389" t="s">
        <v>66</v>
      </c>
      <c r="AY15" s="1276">
        <v>0</v>
      </c>
    </row>
    <row customHeight="1" ht="14.25" hidden="1">
      <c r="AG16" s="1481"/>
      <c r="AH16" s="1481"/>
      <c r="AI16" s="1481"/>
      <c r="AJ16" s="1481"/>
      <c r="AK16" s="1481"/>
      <c r="AL16" s="1481"/>
      <c r="AM16" s="449" t="str">
        <f>AN15&amp;"-"&amp;AP15</f>
        <v>-</v>
      </c>
      <c r="AN16" s="2389"/>
      <c r="AO16" s="2389"/>
      <c r="AP16" s="2389"/>
      <c r="AQ16" s="2389"/>
      <c r="AY16" s="1276">
        <v>0</v>
      </c>
    </row>
    <row customHeight="1" ht="14.25" hidden="1">
      <c r="AQ17" s="448"/>
      <c r="AY17" s="1276">
        <v>0</v>
      </c>
    </row>
    <row s="7669" customFormat="1" customHeight="1" ht="22.5" hidden="1">
      <c r="L18" s="1599"/>
      <c r="M18" s="1483"/>
      <c r="N18" s="1483"/>
      <c r="O18" s="1488" t="s">
        <v>438</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669"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669" customFormat="1" customHeight="1" ht="12" hidden="1">
      <c r="L20" s="1599"/>
      <c r="M20" s="1483"/>
      <c r="N20" s="1483"/>
      <c r="O20" s="1485" t="s">
        <v>439</v>
      </c>
      <c r="P20" s="1483"/>
      <c r="Q20" s="1563"/>
      <c r="R20" s="1563"/>
      <c r="S20" s="850"/>
      <c r="T20" s="1281" t="s">
        <v>440</v>
      </c>
      <c r="W20" s="1487"/>
      <c r="X20" s="1487"/>
      <c r="Y20" s="1487"/>
      <c r="Z20" s="1487"/>
      <c r="AA20" s="1487"/>
      <c r="AD20" s="307" t="s">
        <v>441</v>
      </c>
      <c r="AF20" s="307" t="s">
        <v>442</v>
      </c>
      <c r="AG20" s="1281" t="s">
        <v>440</v>
      </c>
      <c r="AH20" s="1487"/>
      <c r="AI20" s="1487"/>
      <c r="AJ20" s="1487"/>
      <c r="AK20" s="1487"/>
      <c r="AL20" s="1487"/>
      <c r="AO20" s="307" t="s">
        <v>443</v>
      </c>
      <c r="AQ20" s="307" t="s">
        <v>442</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ПАО "ТГК-1" филиал "Невский"</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8300"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8300" customFormat="1" customHeight="1" ht="18.75" hidden="1">
      <c r="A28" s="1489"/>
      <c r="B28" s="1489"/>
      <c r="C28" s="1489"/>
      <c r="D28" s="1489"/>
      <c r="E28" s="1489"/>
      <c r="F28" s="1489"/>
      <c r="G28" s="1489"/>
      <c r="H28" s="1489"/>
      <c r="I28" s="1489"/>
      <c r="J28" s="1489"/>
      <c r="K28" s="1489"/>
      <c r="L28" s="1490"/>
      <c r="M28" s="1489"/>
      <c r="N28" s="1489"/>
      <c r="O28" s="1489"/>
      <c r="S28" s="2371" t="s">
        <v>444</v>
      </c>
      <c r="T28" s="2371"/>
      <c r="U28" s="1493"/>
      <c r="V28" s="2385" t="str">
        <f>IF(TITLE_DATE_PR_CHANGE="",IF(TITLE_DATE_PR="","",TITLE_DATE_PR),TITLE_DATE_PR_CHANGE)</f>
        <v>45777</v>
      </c>
      <c r="W28" s="2385"/>
      <c r="X28" s="2385"/>
      <c r="Y28" s="2385"/>
      <c r="Z28" s="2385"/>
      <c r="AA28" s="2385"/>
      <c r="AB28" s="2385"/>
      <c r="AC28" s="2385"/>
      <c r="AD28" s="2385"/>
      <c r="AE28" s="2385"/>
      <c r="AF28" s="447"/>
      <c r="AG28" s="2385" t="str">
        <f>IF(TITLE_DATE_PR_CHANGE="",IF(TITLE_DATE_PR="","",TITLE_DATE_PR),TITLE_DATE_PR_CHANGE)</f>
        <v>45777</v>
      </c>
      <c r="AH28" s="2385"/>
      <c r="AI28" s="2385"/>
      <c r="AJ28" s="2385"/>
      <c r="AK28" s="2385"/>
      <c r="AL28" s="2385"/>
      <c r="AM28" s="2385"/>
      <c r="AN28" s="2385"/>
      <c r="AO28" s="2385"/>
      <c r="AP28" s="2385"/>
      <c r="AQ28" s="447"/>
      <c r="AR28" s="447"/>
      <c r="AS28" s="401"/>
      <c r="AT28" s="489"/>
      <c r="AU28" s="489"/>
      <c r="AV28" s="489"/>
      <c r="AW28" s="489"/>
      <c r="AX28" s="489"/>
      <c r="AY28" s="539">
        <v>0</v>
      </c>
    </row>
    <row s="8300" customFormat="1" customHeight="1" ht="18.75" hidden="1">
      <c r="A29" s="1489"/>
      <c r="B29" s="1489"/>
      <c r="C29" s="1489"/>
      <c r="D29" s="1489"/>
      <c r="E29" s="1489"/>
      <c r="F29" s="1489"/>
      <c r="G29" s="1489"/>
      <c r="H29" s="1489"/>
      <c r="I29" s="1489"/>
      <c r="J29" s="1489"/>
      <c r="K29" s="1489"/>
      <c r="L29" s="1490"/>
      <c r="M29" s="1489"/>
      <c r="N29" s="1489"/>
      <c r="O29" s="1489"/>
      <c r="S29" s="2371" t="s">
        <v>445</v>
      </c>
      <c r="T29" s="2371"/>
      <c r="U29" s="1493"/>
      <c r="V29" s="2372" t="str">
        <f>IF(TITLE_NUMBER_PR_CHANGE="",IF(TITLE_NUMBER_PR="","",TITLE_NUMBER_PR),TITLE_NUMBER_PR_CHANGE)</f>
        <v>33-01/80</v>
      </c>
      <c r="W29" s="2372"/>
      <c r="X29" s="2372"/>
      <c r="Y29" s="2372"/>
      <c r="Z29" s="2372"/>
      <c r="AA29" s="2372"/>
      <c r="AB29" s="2372"/>
      <c r="AC29" s="2372"/>
      <c r="AD29" s="2372"/>
      <c r="AE29" s="2372"/>
      <c r="AF29" s="447"/>
      <c r="AG29" s="2372" t="str">
        <f>IF(TITLE_NUMBER_PR_CHANGE="",IF(TITLE_NUMBER_PR="","",TITLE_NUMBER_PR),TITLE_NUMBER_PR_CHANGE)</f>
        <v>33-01/80</v>
      </c>
      <c r="AH29" s="2372"/>
      <c r="AI29" s="2372"/>
      <c r="AJ29" s="2372"/>
      <c r="AK29" s="2372"/>
      <c r="AL29" s="2372"/>
      <c r="AM29" s="2372"/>
      <c r="AN29" s="2372"/>
      <c r="AO29" s="2372"/>
      <c r="AP29" s="2372"/>
      <c r="AQ29" s="447"/>
      <c r="AR29" s="447"/>
      <c r="AS29" s="401"/>
      <c r="AT29" s="489"/>
      <c r="AU29" s="489"/>
      <c r="AV29" s="489"/>
      <c r="AW29" s="489"/>
      <c r="AX29" s="489"/>
      <c r="AY29" s="539">
        <v>0</v>
      </c>
    </row>
    <row s="8300"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8300" customFormat="1" customHeight="1" ht="18.75">
      <c r="A32" s="1489"/>
      <c r="B32" s="1489"/>
      <c r="C32" s="1489"/>
      <c r="D32" s="1489"/>
      <c r="E32" s="1489"/>
      <c r="F32" s="1489"/>
      <c r="G32" s="1489"/>
      <c r="H32" s="1489"/>
      <c r="I32" s="1489"/>
      <c r="J32" s="1489"/>
      <c r="K32" s="1489"/>
      <c r="L32" s="1490"/>
      <c r="M32" s="1489"/>
      <c r="N32" s="1489"/>
      <c r="O32" s="1489"/>
      <c r="S32" s="2371" t="s">
        <v>446</v>
      </c>
      <c r="T32" s="2371"/>
      <c r="U32" s="1493"/>
      <c r="V32" s="2385" t="str">
        <f>IF(TITLE_DATE_PR_CHANGE="",IF(TITLE_DATE_PR="","",TITLE_DATE_PR),TITLE_DATE_PR_CHANGE)</f>
        <v>45777</v>
      </c>
      <c r="W32" s="2385"/>
      <c r="X32" s="2385"/>
      <c r="Y32" s="2385"/>
      <c r="Z32" s="2385"/>
      <c r="AA32" s="2385"/>
      <c r="AB32" s="2385"/>
      <c r="AC32" s="2385"/>
      <c r="AD32" s="2385"/>
      <c r="AE32" s="2385"/>
      <c r="AF32" s="447"/>
      <c r="AG32" s="2385" t="str">
        <f>IF(TITLE_DATE_PR_CHANGE="",IF(TITLE_DATE_PR="","",TITLE_DATE_PR),TITLE_DATE_PR_CHANGE)</f>
        <v>45777</v>
      </c>
      <c r="AH32" s="2385"/>
      <c r="AI32" s="2385"/>
      <c r="AJ32" s="2385"/>
      <c r="AK32" s="2385"/>
      <c r="AL32" s="2385"/>
      <c r="AM32" s="2385"/>
      <c r="AN32" s="2385"/>
      <c r="AO32" s="2385"/>
      <c r="AP32" s="2385"/>
      <c r="AQ32" s="447"/>
      <c r="AR32" s="447"/>
      <c r="AS32" s="401"/>
      <c r="AT32" s="489"/>
      <c r="AU32" s="489"/>
      <c r="AV32" s="489"/>
      <c r="AW32" s="489"/>
      <c r="AX32" s="489"/>
      <c r="AY32" s="539">
        <v>0</v>
      </c>
    </row>
    <row s="8300" customFormat="1" customHeight="1" ht="18.75">
      <c r="A33" s="1489"/>
      <c r="B33" s="1489"/>
      <c r="C33" s="1489"/>
      <c r="D33" s="1489"/>
      <c r="E33" s="1489"/>
      <c r="F33" s="1489"/>
      <c r="G33" s="1489"/>
      <c r="H33" s="1489"/>
      <c r="I33" s="1489"/>
      <c r="J33" s="1489"/>
      <c r="K33" s="1489"/>
      <c r="L33" s="1490"/>
      <c r="M33" s="1489"/>
      <c r="N33" s="1489"/>
      <c r="O33" s="1489"/>
      <c r="S33" s="2371" t="s">
        <v>447</v>
      </c>
      <c r="T33" s="2371"/>
      <c r="U33" s="1493"/>
      <c r="V33" s="2372" t="str">
        <f>IF(TITLE_NUMBER_PR_CHANGE="",IF(TITLE_NUMBER_PR="","",TITLE_NUMBER_PR),TITLE_NUMBER_PR_CHANGE)</f>
        <v>33-01/80</v>
      </c>
      <c r="W33" s="2372"/>
      <c r="X33" s="2372"/>
      <c r="Y33" s="2372"/>
      <c r="Z33" s="2372"/>
      <c r="AA33" s="2372"/>
      <c r="AB33" s="2372"/>
      <c r="AC33" s="2372"/>
      <c r="AD33" s="2372"/>
      <c r="AE33" s="2372"/>
      <c r="AF33" s="447"/>
      <c r="AG33" s="2372" t="str">
        <f>IF(TITLE_NUMBER_PR_CHANGE="",IF(TITLE_NUMBER_PR="","",TITLE_NUMBER_PR),TITLE_NUMBER_PR_CHANGE)</f>
        <v>33-01/80</v>
      </c>
      <c r="AH33" s="2372"/>
      <c r="AI33" s="2372"/>
      <c r="AJ33" s="2372"/>
      <c r="AK33" s="2372"/>
      <c r="AL33" s="2372"/>
      <c r="AM33" s="2372"/>
      <c r="AN33" s="2372"/>
      <c r="AO33" s="2372"/>
      <c r="AP33" s="2372"/>
      <c r="AQ33" s="447"/>
      <c r="AR33" s="447"/>
      <c r="AS33" s="401"/>
      <c r="AT33" s="489"/>
      <c r="AU33" s="489"/>
      <c r="AV33" s="489"/>
      <c r="AW33" s="489"/>
      <c r="AX33" s="489"/>
      <c r="AY33" s="539">
        <v>0</v>
      </c>
    </row>
    <row s="8300"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448</v>
      </c>
      <c r="AG34" s="447"/>
      <c r="AH34" s="1756"/>
      <c r="AI34" s="1756"/>
      <c r="AJ34" s="1756"/>
      <c r="AK34" s="1756"/>
      <c r="AL34" s="1756"/>
      <c r="AM34" s="447"/>
      <c r="AN34" s="447"/>
      <c r="AO34" s="447"/>
      <c r="AP34" s="447"/>
      <c r="AQ34" s="399" t="s">
        <v>448</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324</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325</v>
      </c>
      <c r="AY36" s="1276">
        <v>14</v>
      </c>
    </row>
    <row customHeight="1" ht="14.699999999999998">
      <c r="Q37" s="497"/>
      <c r="R37" s="497"/>
      <c r="S37" s="2394" t="s">
        <v>88</v>
      </c>
      <c r="T37" s="2330" t="s">
        <v>449</v>
      </c>
      <c r="U37" s="422"/>
      <c r="V37" s="2395" t="s">
        <v>450</v>
      </c>
      <c r="W37" s="2396"/>
      <c r="X37" s="2396"/>
      <c r="Y37" s="2396"/>
      <c r="Z37" s="2396"/>
      <c r="AA37" s="2396"/>
      <c r="AB37" s="2396"/>
      <c r="AC37" s="2396"/>
      <c r="AD37" s="2396"/>
      <c r="AE37" s="2397"/>
      <c r="AF37" s="2398" t="s">
        <v>451</v>
      </c>
      <c r="AG37" s="2395" t="s">
        <v>450</v>
      </c>
      <c r="AH37" s="2396"/>
      <c r="AI37" s="2396"/>
      <c r="AJ37" s="2396"/>
      <c r="AK37" s="2396"/>
      <c r="AL37" s="2396"/>
      <c r="AM37" s="2396"/>
      <c r="AN37" s="2396"/>
      <c r="AO37" s="2396"/>
      <c r="AP37" s="2397"/>
      <c r="AQ37" s="2398" t="s">
        <v>452</v>
      </c>
      <c r="AR37" s="2401" t="s">
        <v>453</v>
      </c>
      <c r="AS37" s="2248"/>
      <c r="AY37" s="1276">
        <v>14</v>
      </c>
    </row>
    <row s="7720" customFormat="1" customHeight="1" ht="19.95">
      <c r="A38" s="1487"/>
      <c r="B38" s="1487"/>
      <c r="C38" s="1487"/>
      <c r="D38" s="1487"/>
      <c r="E38" s="1487"/>
      <c r="F38" s="1487"/>
      <c r="G38" s="1487"/>
      <c r="H38" s="1487"/>
      <c r="I38" s="1487"/>
      <c r="J38" s="1487"/>
      <c r="K38" s="1487"/>
      <c r="L38" s="2101"/>
      <c r="M38" s="1483"/>
      <c r="N38" s="1483"/>
      <c r="O38" s="1483"/>
      <c r="P38" s="2102"/>
      <c r="Q38" s="497"/>
      <c r="R38" s="497"/>
      <c r="S38" s="2394"/>
      <c r="T38" s="2330"/>
      <c r="U38" s="1152"/>
      <c r="V38" s="2487" t="s">
        <v>554</v>
      </c>
      <c r="W38" s="2486" t="s">
        <v>555</v>
      </c>
      <c r="X38" s="2486"/>
      <c r="Y38" s="2486"/>
      <c r="Z38" s="2486" t="s">
        <v>556</v>
      </c>
      <c r="AA38" s="2486"/>
      <c r="AB38" s="2486"/>
      <c r="AC38" s="2415" t="s">
        <v>457</v>
      </c>
      <c r="AD38" s="2434"/>
      <c r="AE38" s="2435"/>
      <c r="AF38" s="2399"/>
      <c r="AG38" s="2487" t="s">
        <v>554</v>
      </c>
      <c r="AH38" s="2486" t="s">
        <v>555</v>
      </c>
      <c r="AI38" s="2486"/>
      <c r="AJ38" s="2486"/>
      <c r="AK38" s="2486" t="s">
        <v>556</v>
      </c>
      <c r="AL38" s="2486"/>
      <c r="AM38" s="2486"/>
      <c r="AN38" s="2415" t="s">
        <v>457</v>
      </c>
      <c r="AO38" s="2434"/>
      <c r="AP38" s="2435"/>
      <c r="AQ38" s="2399"/>
      <c r="AR38" s="2402"/>
      <c r="AS38" s="2248"/>
      <c r="AT38" s="1757"/>
      <c r="AU38" s="1757"/>
      <c r="AV38" s="1757"/>
      <c r="AW38" s="1757"/>
      <c r="AX38" s="1757"/>
      <c r="AY38" s="1752">
        <v>19</v>
      </c>
    </row>
    <row customHeight="1" ht="19.95">
      <c r="Q39" s="497"/>
      <c r="R39" s="497"/>
      <c r="S39" s="2394"/>
      <c r="T39" s="2330"/>
      <c r="U39" s="1152"/>
      <c r="V39" s="2487"/>
      <c r="W39" s="2486" t="s">
        <v>557</v>
      </c>
      <c r="X39" s="2486" t="s">
        <v>558</v>
      </c>
      <c r="Y39" s="2486"/>
      <c r="Z39" s="2486" t="s">
        <v>559</v>
      </c>
      <c r="AA39" s="2486" t="s">
        <v>558</v>
      </c>
      <c r="AB39" s="2486"/>
      <c r="AC39" s="2416"/>
      <c r="AD39" s="2436"/>
      <c r="AE39" s="2437"/>
      <c r="AF39" s="2399"/>
      <c r="AG39" s="2487"/>
      <c r="AH39" s="2486" t="s">
        <v>557</v>
      </c>
      <c r="AI39" s="2486" t="s">
        <v>558</v>
      </c>
      <c r="AJ39" s="2486"/>
      <c r="AK39" s="2486" t="s">
        <v>559</v>
      </c>
      <c r="AL39" s="2486" t="s">
        <v>558</v>
      </c>
      <c r="AM39" s="2486"/>
      <c r="AN39" s="2416"/>
      <c r="AO39" s="2436"/>
      <c r="AP39" s="2437"/>
      <c r="AQ39" s="2399"/>
      <c r="AR39" s="2402"/>
      <c r="AS39" s="2248"/>
      <c r="AY39" s="1276">
        <v>19</v>
      </c>
    </row>
    <row customHeight="1" ht="61.949999999999996">
      <c r="A40" s="1491"/>
      <c r="B40" s="1491" t="s">
        <v>148</v>
      </c>
      <c r="C40" s="1491" t="s">
        <v>149</v>
      </c>
      <c r="D40" s="1491" t="s">
        <v>150</v>
      </c>
      <c r="E40" s="1485" t="s">
        <v>458</v>
      </c>
      <c r="F40" s="1485" t="s">
        <v>459</v>
      </c>
      <c r="G40" s="1485" t="s">
        <v>460</v>
      </c>
      <c r="H40" s="1485"/>
      <c r="I40" s="1485" t="s">
        <v>512</v>
      </c>
      <c r="J40" s="1485" t="s">
        <v>463</v>
      </c>
      <c r="K40" s="1485" t="s">
        <v>513</v>
      </c>
      <c r="L40" s="1485" t="s">
        <v>439</v>
      </c>
      <c r="Q40" s="497"/>
      <c r="R40" s="497"/>
      <c r="S40" s="2394"/>
      <c r="T40" s="2330"/>
      <c r="U40" s="423"/>
      <c r="V40" s="2487"/>
      <c r="W40" s="2486"/>
      <c r="X40" s="2104" t="s">
        <v>560</v>
      </c>
      <c r="Y40" s="2104" t="s">
        <v>561</v>
      </c>
      <c r="Z40" s="2486"/>
      <c r="AA40" s="2104" t="s">
        <v>562</v>
      </c>
      <c r="AB40" s="2104" t="s">
        <v>563</v>
      </c>
      <c r="AC40" s="1610" t="s">
        <v>467</v>
      </c>
      <c r="AD40" s="2391" t="s">
        <v>468</v>
      </c>
      <c r="AE40" s="2392"/>
      <c r="AF40" s="2400"/>
      <c r="AG40" s="2487"/>
      <c r="AH40" s="2486"/>
      <c r="AI40" s="2104" t="s">
        <v>560</v>
      </c>
      <c r="AJ40" s="2104" t="s">
        <v>561</v>
      </c>
      <c r="AK40" s="2486"/>
      <c r="AL40" s="2104" t="s">
        <v>562</v>
      </c>
      <c r="AM40" s="2104" t="s">
        <v>563</v>
      </c>
      <c r="AN40" s="1610" t="s">
        <v>467</v>
      </c>
      <c r="AO40" s="2391" t="s">
        <v>468</v>
      </c>
      <c r="AP40" s="2392"/>
      <c r="AQ40" s="2400"/>
      <c r="AR40" s="2403"/>
      <c r="AS40" s="2248"/>
      <c r="AY40" s="1276">
        <v>59</v>
      </c>
    </row>
    <row s="6812"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123</v>
      </c>
      <c r="T41" s="1376" t="s">
        <v>103</v>
      </c>
      <c r="U41" s="1366" t="str">
        <f>OFFSET(U41,0,-1)</f>
        <v>2</v>
      </c>
      <c r="V41" s="1603">
        <f>OFFSET(V41,0,-1)+1</f>
        <v>3</v>
      </c>
      <c r="W41" s="2100"/>
      <c r="X41" s="2100"/>
      <c r="Y41" s="2100"/>
      <c r="Z41" s="2100"/>
      <c r="AA41" s="2100"/>
      <c r="AB41" s="1603">
        <f>OFFSET(AB41,0,-1)+1</f>
        <v>1</v>
      </c>
      <c r="AC41" s="1603">
        <f>OFFSET(AC41,0,-1)+1</f>
        <v>2</v>
      </c>
      <c r="AD41" s="2393">
        <f>OFFSET(AD41,0,-1)+1</f>
        <v>3</v>
      </c>
      <c r="AE41" s="2393"/>
      <c r="AF41" s="1603">
        <f>OFFSET(AF41,0,-2)+1</f>
        <v>4</v>
      </c>
      <c r="AG41" s="1603">
        <f>OFFSET(AG41,0,-1)+1</f>
        <v>5</v>
      </c>
      <c r="AH41" s="2100"/>
      <c r="AI41" s="2100"/>
      <c r="AJ41" s="2100"/>
      <c r="AK41" s="2100"/>
      <c r="AL41" s="2100"/>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280</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136</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280</v>
      </c>
      <c r="B43" s="1484" t="s">
        <v>281</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421</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422</v>
      </c>
      <c r="AU43" s="621"/>
      <c r="AV43" s="621" t="str">
        <f>IF(T43="","",T43)</f>
        <v>Территория действия тарифа</v>
      </c>
      <c r="AW43" s="621"/>
      <c r="AX43" s="621"/>
      <c r="AY43" s="1276">
        <v>23</v>
      </c>
    </row>
    <row customHeight="1" ht="24">
      <c r="A44" s="1484" t="s">
        <v>280</v>
      </c>
      <c r="B44" s="1484" t="s">
        <v>281</v>
      </c>
      <c r="C44" s="1484" t="s">
        <v>282</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552</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553</v>
      </c>
      <c r="AU44" s="621"/>
      <c r="AV44" s="621" t="str">
        <f>IF(T44="","",T44)</f>
        <v>Наименование централизованной системы горячего водоснабжения</v>
      </c>
      <c r="AW44" s="621"/>
      <c r="AX44" s="621"/>
      <c r="AY44" s="1276">
        <v>23</v>
      </c>
    </row>
    <row customHeight="1" ht="24">
      <c r="A45" s="1484" t="s">
        <v>280</v>
      </c>
      <c r="B45" s="1484" t="s">
        <v>281</v>
      </c>
      <c r="C45" s="1484" t="s">
        <v>282</v>
      </c>
      <c r="D45" s="1484" t="s">
        <v>565</v>
      </c>
      <c r="E45" s="2380"/>
      <c r="F45" s="2380"/>
      <c r="G45" s="2380"/>
      <c r="H45" s="2380"/>
      <c r="I45" s="2377" t="str">
        <f>S44&amp;".1"</f>
        <v>...1</v>
      </c>
      <c r="J45" s="1484"/>
      <c r="K45" s="1484"/>
      <c r="L45" s="1485"/>
      <c r="P45" s="2378">
        <v>1</v>
      </c>
      <c r="Q45" s="1602"/>
      <c r="R45" s="477"/>
      <c r="S45" s="1614" t="str">
        <f>$I45</f>
        <v>...1</v>
      </c>
      <c r="T45" s="406" t="s">
        <v>505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506</v>
      </c>
      <c r="AU45" s="621"/>
      <c r="AV45" s="621" t="str">
        <f>IF(T45="","",T45)</f>
        <v>Наименование признака дифференциации</v>
      </c>
      <c r="AW45" s="621"/>
      <c r="AX45" s="621"/>
      <c r="AY45" s="1276">
        <v>23</v>
      </c>
    </row>
    <row customHeight="1" ht="24">
      <c r="A46" s="1484" t="s">
        <v>280</v>
      </c>
      <c r="B46" s="1484" t="s">
        <v>281</v>
      </c>
      <c r="C46" s="1484" t="s">
        <v>282</v>
      </c>
      <c r="D46" s="1484" t="s">
        <v>565</v>
      </c>
      <c r="E46" s="2380"/>
      <c r="F46" s="2380"/>
      <c r="G46" s="2380"/>
      <c r="H46" s="2380"/>
      <c r="I46" s="2407"/>
      <c r="J46" s="2377" t="str">
        <f>I45&amp;".1"</f>
        <v>...1.1</v>
      </c>
      <c r="K46" s="1484"/>
      <c r="L46" s="1485" t="s">
        <v>430</v>
      </c>
      <c r="P46" s="2378"/>
      <c r="Q46" s="2378">
        <v>1</v>
      </c>
      <c r="R46" s="478"/>
      <c r="S46" s="1614" t="str">
        <f>$J46</f>
        <v>...1.1</v>
      </c>
      <c r="T46" s="407" t="s">
        <v>431</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507</v>
      </c>
      <c r="AU46" s="621"/>
      <c r="AV46" s="621" t="str">
        <f>IF(T46="","",T46)</f>
        <v>Группа потребителей</v>
      </c>
      <c r="AW46" s="621"/>
      <c r="AX46" s="621"/>
      <c r="AY46" s="1276">
        <v>23</v>
      </c>
    </row>
    <row customHeight="1" ht="24">
      <c r="A47" s="1484" t="s">
        <v>280</v>
      </c>
      <c r="B47" s="1484" t="s">
        <v>281</v>
      </c>
      <c r="C47" s="1484" t="s">
        <v>282</v>
      </c>
      <c r="D47" s="1484" t="s">
        <v>565</v>
      </c>
      <c r="E47" s="2380"/>
      <c r="F47" s="2380"/>
      <c r="G47" s="2380"/>
      <c r="H47" s="2380"/>
      <c r="I47" s="2407"/>
      <c r="J47" s="2407"/>
      <c r="K47" s="2377" t="str">
        <f>J46&amp;".1"</f>
        <v>...1.1.1</v>
      </c>
      <c r="L47" s="1485"/>
      <c r="P47" s="2378"/>
      <c r="Q47" s="2378"/>
      <c r="R47" s="478">
        <v>1</v>
      </c>
      <c r="S47" s="1614" t="str">
        <f>$K47</f>
        <v>...1.1.1</v>
      </c>
      <c r="T47" s="1558"/>
      <c r="U47" s="421"/>
      <c r="V47" s="1481"/>
      <c r="W47" s="1481"/>
      <c r="X47" s="1481"/>
      <c r="Y47" s="1481"/>
      <c r="Z47" s="1481"/>
      <c r="AA47" s="1481"/>
      <c r="AB47" s="1482"/>
      <c r="AC47" s="2388"/>
      <c r="AD47" s="2389" t="s">
        <v>66</v>
      </c>
      <c r="AE47" s="2388"/>
      <c r="AF47" s="2389" t="s">
        <v>66</v>
      </c>
      <c r="AG47" s="872"/>
      <c r="AH47" s="872"/>
      <c r="AI47" s="872"/>
      <c r="AJ47" s="872"/>
      <c r="AK47" s="872"/>
      <c r="AL47" s="872"/>
      <c r="AM47" s="1378"/>
      <c r="AN47" s="2386"/>
      <c r="AO47" s="2228" t="s">
        <v>66</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280</v>
      </c>
      <c r="B48" s="1484" t="s">
        <v>281</v>
      </c>
      <c r="C48" s="1484" t="s">
        <v>282</v>
      </c>
      <c r="D48" s="1484" t="s">
        <v>565</v>
      </c>
      <c r="E48" s="2380"/>
      <c r="F48" s="2380"/>
      <c r="G48" s="2380"/>
      <c r="H48" s="2380"/>
      <c r="I48" s="2407"/>
      <c r="J48" s="2407"/>
      <c r="K48" s="2377"/>
      <c r="L48" s="1485"/>
      <c r="P48" s="2378"/>
      <c r="Q48" s="2378"/>
      <c r="R48" s="478"/>
      <c r="S48" s="1611"/>
      <c r="T48" s="421"/>
      <c r="U48" s="421"/>
      <c r="V48" s="1481"/>
      <c r="W48" s="1481"/>
      <c r="X48" s="1481"/>
      <c r="Y48" s="1481"/>
      <c r="Z48" s="1481"/>
      <c r="AA48" s="1481"/>
      <c r="AB48" s="449" t="str">
        <f>AC47&amp;"-"&amp;AE47</f>
        <v>-</v>
      </c>
      <c r="AC48" s="2389"/>
      <c r="AD48" s="2389"/>
      <c r="AE48" s="2389"/>
      <c r="AF48" s="2389"/>
      <c r="AG48" s="446"/>
      <c r="AH48" s="446"/>
      <c r="AI48" s="446"/>
      <c r="AJ48" s="446"/>
      <c r="AK48" s="446"/>
      <c r="AL48" s="446"/>
      <c r="AM48" s="449" t="str">
        <f>AN47&amp;"-"&amp;AP47</f>
        <v>-</v>
      </c>
      <c r="AN48" s="2387"/>
      <c r="AO48" s="2228"/>
      <c r="AP48" s="2409"/>
      <c r="AQ48" s="2228"/>
      <c r="AR48" s="1560"/>
      <c r="AS48" s="2470"/>
      <c r="AU48" s="621"/>
      <c r="AV48" s="621" t="str">
        <f>IF(T48="","",T48)</f>
        <v/>
      </c>
      <c r="AW48" s="621"/>
      <c r="AX48" s="621"/>
      <c r="AY48" s="1276">
        <v>0</v>
      </c>
    </row>
    <row customHeight="1" ht="21">
      <c r="A49" s="1484" t="s">
        <v>280</v>
      </c>
      <c r="B49" s="1484" t="s">
        <v>281</v>
      </c>
      <c r="C49" s="1484" t="s">
        <v>282</v>
      </c>
      <c r="D49" s="1484" t="s">
        <v>565</v>
      </c>
      <c r="E49" s="2380"/>
      <c r="F49" s="2380"/>
      <c r="G49" s="2380"/>
      <c r="H49" s="2380"/>
      <c r="I49" s="2407"/>
      <c r="J49" s="2377"/>
      <c r="K49" s="1484"/>
      <c r="L49" s="1485"/>
      <c r="P49" s="2378"/>
      <c r="Q49" s="2378"/>
      <c r="R49" s="477"/>
      <c r="S49" s="1399"/>
      <c r="T49" s="408" t="s">
        <v>508</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509</v>
      </c>
      <c r="AU49" s="621"/>
      <c r="AV49" s="621" t="str">
        <f>IF(T49="","",T49)</f>
        <v>Добавить значение признака дифференциации</v>
      </c>
      <c r="AW49" s="621"/>
      <c r="AX49" s="621"/>
      <c r="AY49" s="1276">
        <v>20</v>
      </c>
    </row>
    <row customHeight="1" ht="22.049999999999997">
      <c r="A50" s="1484" t="s">
        <v>280</v>
      </c>
      <c r="B50" s="1484" t="s">
        <v>281</v>
      </c>
      <c r="C50" s="1484" t="s">
        <v>282</v>
      </c>
      <c r="D50" s="1484" t="s">
        <v>565</v>
      </c>
      <c r="E50" s="2380"/>
      <c r="F50" s="2380"/>
      <c r="G50" s="2380"/>
      <c r="H50" s="2380"/>
      <c r="I50" s="2377"/>
      <c r="J50" s="1484"/>
      <c r="K50" s="1484"/>
      <c r="L50" s="1485"/>
      <c r="P50" s="2378"/>
      <c r="Q50" s="1602"/>
      <c r="R50" s="477"/>
      <c r="S50" s="1399"/>
      <c r="T50" s="486" t="s">
        <v>436</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280</v>
      </c>
      <c r="B51" s="1484" t="s">
        <v>281</v>
      </c>
      <c r="C51" s="1484" t="s">
        <v>282</v>
      </c>
      <c r="D51" s="1484" t="s">
        <v>565</v>
      </c>
      <c r="E51" s="2380"/>
      <c r="F51" s="2380"/>
      <c r="G51" s="2380"/>
      <c r="H51" s="2379"/>
      <c r="I51" s="1484"/>
      <c r="J51" s="1484"/>
      <c r="K51" s="1484"/>
      <c r="L51" s="1485"/>
      <c r="M51" s="1486"/>
      <c r="N51" s="1486"/>
      <c r="O51" s="658"/>
      <c r="P51" s="481"/>
      <c r="Q51" s="496"/>
      <c r="R51" s="476"/>
      <c r="S51" s="1399"/>
      <c r="T51" s="493" t="s">
        <v>510</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7217" customFormat="1" customHeight="1" ht="0">
      <c r="A52" s="1464" t="s">
        <v>280</v>
      </c>
      <c r="B52" s="1464" t="s">
        <v>281</v>
      </c>
      <c r="C52" s="1435"/>
      <c r="D52" s="1435"/>
      <c r="E52" s="2380"/>
      <c r="F52" s="2379"/>
      <c r="G52" s="1435"/>
      <c r="H52" s="1435"/>
      <c r="I52" s="1435"/>
      <c r="J52" s="1435"/>
      <c r="K52" s="1435"/>
      <c r="L52" s="1615"/>
      <c r="M52" s="1442"/>
      <c r="N52" s="1442"/>
      <c r="P52" s="1437"/>
      <c r="Q52" s="1438"/>
      <c r="R52" s="1437"/>
      <c r="S52" s="1443"/>
      <c r="T52" s="1446" t="s">
        <v>176</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7217" customFormat="1" customHeight="1" ht="0">
      <c r="A53" s="1464" t="s">
        <v>280</v>
      </c>
      <c r="B53" s="1464"/>
      <c r="C53" s="1464"/>
      <c r="D53" s="1464"/>
      <c r="E53" s="2379"/>
      <c r="F53" s="1464"/>
      <c r="G53" s="1464"/>
      <c r="H53" s="1464"/>
      <c r="I53" s="1464"/>
      <c r="J53" s="1464"/>
      <c r="K53" s="1464"/>
      <c r="L53" s="1467"/>
      <c r="M53" s="1442"/>
      <c r="N53" s="1442"/>
      <c r="O53" s="639"/>
      <c r="P53" s="501"/>
      <c r="Q53" s="1465"/>
      <c r="R53" s="501"/>
      <c r="S53" s="1443"/>
      <c r="T53" s="1446" t="s">
        <v>177</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7217"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183</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82</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B1518-A187-63DB-433C-0.16D8057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669" width="11.57421875" hidden="1" customWidth="1"/>
    <col min="2" max="2" style="7669" width="11.00390625" hidden="1" customWidth="1"/>
    <col min="3" max="3" style="7669" width="10.57421875" hidden="1"/>
    <col min="4" max="4" style="7669" width="12.8515625" hidden="1" customWidth="1"/>
    <col min="5" max="5" style="7669" width="10.00390625" hidden="1" customWidth="1"/>
    <col min="6" max="6" style="7669" width="8.7109375" hidden="1" customWidth="1"/>
    <col min="7" max="7" style="7669" width="7.57421875" hidden="1" customWidth="1"/>
    <col min="8" max="8" style="7669" width="11.421875" hidden="1" customWidth="1"/>
    <col min="9" max="9" style="7669" width="12.00390625" hidden="1" customWidth="1"/>
    <col min="10" max="10" style="7669" width="9.8515625" hidden="1" customWidth="1"/>
    <col min="11" max="11" style="7669" width="11.421875" hidden="1" customWidth="1"/>
    <col min="12" max="12" style="8409" width="19.140625" hidden="1" customWidth="1"/>
    <col min="13" max="14" style="6894" width="12.28125" hidden="1" customWidth="1"/>
    <col min="15" max="15" style="6894" width="23.421875" hidden="1" customWidth="1"/>
    <col min="16" max="16" style="6894" width="3.7109375" hidden="1" customWidth="1"/>
    <col min="17" max="17" style="6960" width="3.7109375" hidden="1" customWidth="1"/>
    <col min="18" max="18" style="7739" width="3.00390625" customWidth="1"/>
    <col min="19" max="19" style="8401" width="12.00390625" customWidth="1"/>
    <col min="20" max="20" style="7720" width="31.00390625" customWidth="1"/>
    <col min="21" max="21" style="7720" width="0.140625" customWidth="1"/>
    <col min="22" max="25" style="7720" width="21.7109375" hidden="1" customWidth="1"/>
    <col min="26" max="26" style="7720" width="11.7109375" hidden="1" customWidth="1"/>
    <col min="27" max="27" style="7720" width="3.7109375" hidden="1" customWidth="1"/>
    <col min="28" max="28" style="7720" width="11.7109375" hidden="1" customWidth="1"/>
    <col min="29" max="29" style="7720" width="8.57421875" hidden="1" customWidth="1"/>
    <col min="30" max="30" style="7720" width="3.7109375" customWidth="1"/>
    <col min="31" max="32" style="7720" width="3.00390625" customWidth="1"/>
    <col min="33" max="33" style="7720" width="24.00390625" customWidth="1"/>
    <col min="34" max="34" style="7720" width="3.7109375" customWidth="1"/>
    <col min="35" max="36" style="7720" width="3.00390625" customWidth="1"/>
    <col min="37" max="37" style="7720" width="24.00390625" customWidth="1"/>
    <col min="38" max="38" style="7720" width="3.7109375" customWidth="1"/>
    <col min="39" max="40" style="7720" width="3.00390625" customWidth="1"/>
    <col min="41" max="41" style="7720" width="18.00390625" customWidth="1"/>
    <col min="42" max="42" style="7720" width="3.7109375" customWidth="1"/>
    <col min="43" max="44" style="7720" width="3.00390625" customWidth="1"/>
    <col min="45" max="45" style="7720" width="18.00390625" customWidth="1"/>
    <col min="46" max="49" style="7720" width="21.00390625" customWidth="1"/>
    <col min="50" max="50" style="7720" width="11.00390625" customWidth="1"/>
    <col min="51" max="51" style="7720" width="3.7109375" customWidth="1"/>
    <col min="52" max="52" style="7720" width="11.00390625" customWidth="1"/>
    <col min="53" max="53" style="7720" width="8.57421875" hidden="1" customWidth="1"/>
    <col min="54" max="54" style="7720" width="4.00390625" customWidth="1"/>
    <col min="55" max="55" style="7720" width="115.00390625" customWidth="1"/>
    <col min="56" max="60" style="7217" width="10.00390625" customWidth="1"/>
    <col min="61" max="61" style="7720"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136</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421</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422</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552</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553</v>
      </c>
      <c r="BE4" s="621"/>
      <c r="BF4" s="621" t="str">
        <f>IF(T4="","",T4)</f>
        <v>Наименование централизованной системы горячего водоснабжения</v>
      </c>
      <c r="BG4" s="621"/>
      <c r="BH4" s="621"/>
      <c r="BI4" s="1276">
        <v>0</v>
      </c>
    </row>
    <row s="7217"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426</v>
      </c>
      <c r="BE5" s="621"/>
      <c r="BF5" s="621" t="str">
        <f>IF(T5="","",T5)</f>
        <v/>
      </c>
      <c r="BG5" s="621"/>
      <c r="BH5" s="621"/>
      <c r="BI5" s="632">
        <v>0</v>
      </c>
    </row>
    <row s="7217" customFormat="1" customHeight="1" ht="14.25" hidden="1">
      <c r="A6" s="1464"/>
      <c r="B6" s="1464"/>
      <c r="C6" s="1464"/>
      <c r="D6" s="1464"/>
      <c r="E6" s="2380"/>
      <c r="F6" s="2380"/>
      <c r="G6" s="2380"/>
      <c r="H6" s="2380"/>
      <c r="I6" s="2377" t="str">
        <f>S5&amp;".1"</f>
        <v>.1</v>
      </c>
      <c r="J6" s="1464"/>
      <c r="K6" s="1464"/>
      <c r="L6" s="1467" t="s">
        <v>427</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7217"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66</v>
      </c>
      <c r="AB8" s="1855"/>
      <c r="AC8" s="1590" t="s">
        <v>66</v>
      </c>
      <c r="AD8" s="2306" t="s">
        <v>66</v>
      </c>
      <c r="AE8" s="2447"/>
      <c r="AF8" s="2326">
        <v>1</v>
      </c>
      <c r="AG8" s="2484"/>
      <c r="AH8" s="2228" t="s">
        <v>66</v>
      </c>
      <c r="AI8" s="2447"/>
      <c r="AJ8" s="2326">
        <v>1</v>
      </c>
      <c r="AK8" s="2448" t="s">
        <v>28</v>
      </c>
      <c r="AL8" s="2228" t="s">
        <v>66</v>
      </c>
      <c r="AM8" s="2313"/>
      <c r="AN8" s="2326">
        <v>1</v>
      </c>
      <c r="AO8" s="2478"/>
      <c r="AP8" s="2479" t="s">
        <v>66</v>
      </c>
      <c r="AQ8" s="432"/>
      <c r="AR8" s="1607">
        <v>1</v>
      </c>
      <c r="AS8" s="1613" t="s">
        <v>28</v>
      </c>
      <c r="AT8" s="872"/>
      <c r="AU8" s="1378"/>
      <c r="AV8" s="872"/>
      <c r="AW8" s="1378"/>
      <c r="AX8" s="1855"/>
      <c r="AY8" s="1590" t="s">
        <v>66</v>
      </c>
      <c r="AZ8" s="1855"/>
      <c r="BA8" s="1590" t="s">
        <v>66</v>
      </c>
      <c r="BB8" s="1469"/>
      <c r="BC8" s="2374" t="s">
        <v>523</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524</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525</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526</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527</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490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7217"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7217"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7217"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7217"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176</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7217"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177</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66</v>
      </c>
      <c r="AZ20" s="1857"/>
      <c r="BA20" s="1606" t="s">
        <v>66</v>
      </c>
      <c r="BI20" s="1276">
        <v>0</v>
      </c>
    </row>
    <row customHeight="1" ht="14.25" hidden="1">
      <c r="BD21" s="617"/>
      <c r="BE21" s="617"/>
      <c r="BF21" s="617"/>
      <c r="BG21" s="617"/>
      <c r="BH21" s="617"/>
      <c r="BI21" s="1276">
        <v>0</v>
      </c>
    </row>
    <row customHeight="1" ht="14.25" hidden="1">
      <c r="O22" s="1488" t="s">
        <v>438</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935" customFormat="1" customHeight="1" ht="14.25" hidden="1">
      <c r="M24" s="1629"/>
      <c r="N24" s="1629"/>
      <c r="O24" s="1630" t="s">
        <v>439</v>
      </c>
      <c r="P24" s="1629"/>
      <c r="Q24" s="1631"/>
      <c r="R24" s="1631"/>
      <c r="AA24" s="1628" t="s">
        <v>441</v>
      </c>
      <c r="AC24" s="1628" t="s">
        <v>442</v>
      </c>
      <c r="AD24" s="1628" t="s">
        <v>491</v>
      </c>
      <c r="AH24" s="1628" t="s">
        <v>491</v>
      </c>
      <c r="AK24" s="1628" t="s">
        <v>528</v>
      </c>
      <c r="AL24" s="1628" t="s">
        <v>491</v>
      </c>
      <c r="AP24" s="1628" t="s">
        <v>491</v>
      </c>
      <c r="AY24" s="1628" t="s">
        <v>441</v>
      </c>
      <c r="BA24" s="1628" t="s">
        <v>442</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ПАО "ТГК-1" филиал "Невский"</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8300"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8300"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444</v>
      </c>
      <c r="T32" s="2371"/>
      <c r="U32" s="1493"/>
      <c r="V32" s="2385" t="str">
        <f>IF(TITLE_DATE_PR_CHANGE="",IF(TITLE_DATE_PR="","",TITLE_DATE_PR),TITLE_DATE_PR_CHANGE)</f>
        <v>45777</v>
      </c>
      <c r="W32" s="2385"/>
      <c r="X32" s="2385"/>
      <c r="Y32" s="2385"/>
      <c r="Z32" s="2385"/>
      <c r="AA32" s="2385"/>
      <c r="AB32" s="2385"/>
      <c r="AC32" s="447"/>
      <c r="AD32" s="2385" t="str">
        <f>IF(TITLE_DATE_PR_CHANGE="",IF(TITLE_DATE_PR="","",TITLE_DATE_PR),TITLE_DATE_PR_CHANGE)</f>
        <v>45777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8300"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445</v>
      </c>
      <c r="T33" s="2371"/>
      <c r="U33" s="1493"/>
      <c r="V33" s="2372" t="str">
        <f>IF(TITLE_NUMBER_PR_CHANGE="",IF(TITLE_NUMBER_PR="","",TITLE_NUMBER_PR),TITLE_NUMBER_PR_CHANGE)</f>
        <v>33-01/80</v>
      </c>
      <c r="W33" s="2372"/>
      <c r="X33" s="2372"/>
      <c r="Y33" s="2372"/>
      <c r="Z33" s="2372"/>
      <c r="AA33" s="2372"/>
      <c r="AB33" s="2372"/>
      <c r="AC33" s="447"/>
      <c r="AD33" s="2372" t="str">
        <f>IF(TITLE_NUMBER_PR_CHANGE="",IF(TITLE_NUMBER_PR="","",TITLE_NUMBER_PR),TITLE_NUMBER_PR_CHANGE)</f>
        <v>33-01/80</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8300"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8300" customFormat="1" customHeight="1" ht="18.75">
      <c r="A36" s="1489"/>
      <c r="B36" s="1489"/>
      <c r="C36" s="1489"/>
      <c r="D36" s="1489"/>
      <c r="E36" s="1489"/>
      <c r="F36" s="1489"/>
      <c r="G36" s="1489"/>
      <c r="H36" s="1489"/>
      <c r="I36" s="1489"/>
      <c r="J36" s="1489"/>
      <c r="K36" s="1489"/>
      <c r="L36" s="1490"/>
      <c r="M36" s="1489"/>
      <c r="N36" s="1489"/>
      <c r="O36" s="1489"/>
      <c r="P36" s="1489"/>
      <c r="Q36" s="1489"/>
      <c r="S36" s="2371" t="s">
        <v>444</v>
      </c>
      <c r="T36" s="2371"/>
      <c r="U36" s="1493"/>
      <c r="V36" s="2385" t="str">
        <f>IF(TITLE_DATE_PR_CHANGE="",IF(TITLE_DATE_PR="","",TITLE_DATE_PR),TITLE_DATE_PR_CHANGE)</f>
        <v>45777</v>
      </c>
      <c r="W36" s="2385"/>
      <c r="X36" s="2385"/>
      <c r="Y36" s="2385"/>
      <c r="Z36" s="2385"/>
      <c r="AA36" s="2385"/>
      <c r="AB36" s="2385"/>
      <c r="AC36" s="447"/>
      <c r="AD36" s="2385" t="str">
        <f>IF(TITLE_DATE_PR_CHANGE="",IF(TITLE_DATE_PR="","",TITLE_DATE_PR),TITLE_DATE_PR_CHANGE)</f>
        <v>45777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8300" customFormat="1" customHeight="1" ht="18.75">
      <c r="A37" s="1489"/>
      <c r="B37" s="1489"/>
      <c r="C37" s="1489"/>
      <c r="D37" s="1489"/>
      <c r="E37" s="1489"/>
      <c r="F37" s="1489"/>
      <c r="G37" s="1489"/>
      <c r="H37" s="1489"/>
      <c r="I37" s="1489"/>
      <c r="J37" s="1489"/>
      <c r="K37" s="1489"/>
      <c r="L37" s="1490"/>
      <c r="M37" s="1489"/>
      <c r="N37" s="1489"/>
      <c r="O37" s="1489"/>
      <c r="P37" s="1489"/>
      <c r="Q37" s="1489"/>
      <c r="S37" s="2371" t="s">
        <v>445</v>
      </c>
      <c r="T37" s="2371"/>
      <c r="U37" s="1493"/>
      <c r="V37" s="2372" t="str">
        <f>IF(TITLE_NUMBER_PR_CHANGE="",IF(TITLE_NUMBER_PR="","",TITLE_NUMBER_PR),TITLE_NUMBER_PR_CHANGE)</f>
        <v>33-01/80</v>
      </c>
      <c r="W37" s="2372"/>
      <c r="X37" s="2372"/>
      <c r="Y37" s="2372"/>
      <c r="Z37" s="2372"/>
      <c r="AA37" s="2372"/>
      <c r="AB37" s="2372"/>
      <c r="AC37" s="447"/>
      <c r="AD37" s="2372" t="str">
        <f>IF(TITLE_NUMBER_PR_CHANGE="",IF(TITLE_NUMBER_PR="","",TITLE_NUMBER_PR),TITLE_NUMBER_PR_CHANGE)</f>
        <v>33-01/80</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8300"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448</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448</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324</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325</v>
      </c>
      <c r="BI40" s="1276">
        <v>14</v>
      </c>
    </row>
    <row customHeight="1" ht="14.699999999999998">
      <c r="Q41" s="412"/>
      <c r="R41" s="497"/>
      <c r="S41" s="2394" t="s">
        <v>88</v>
      </c>
      <c r="T41" s="2330" t="s">
        <v>529</v>
      </c>
      <c r="U41" s="422"/>
      <c r="V41" s="2395" t="s">
        <v>450</v>
      </c>
      <c r="W41" s="2396"/>
      <c r="X41" s="2396"/>
      <c r="Y41" s="2396"/>
      <c r="Z41" s="2396"/>
      <c r="AA41" s="2396"/>
      <c r="AB41" s="2397"/>
      <c r="AC41" s="2398" t="s">
        <v>451</v>
      </c>
      <c r="AD41" s="2449" t="s">
        <v>530</v>
      </c>
      <c r="AE41" s="2412"/>
      <c r="AF41" s="2412"/>
      <c r="AG41" s="2450"/>
      <c r="AH41" s="2449" t="s">
        <v>531</v>
      </c>
      <c r="AI41" s="2412"/>
      <c r="AJ41" s="2412"/>
      <c r="AK41" s="2450"/>
      <c r="AL41" s="2449" t="s">
        <v>532</v>
      </c>
      <c r="AM41" s="2412"/>
      <c r="AN41" s="2412"/>
      <c r="AO41" s="2450"/>
      <c r="AP41" s="2449" t="s">
        <v>533</v>
      </c>
      <c r="AQ41" s="2412"/>
      <c r="AR41" s="2412"/>
      <c r="AS41" s="2450"/>
      <c r="AT41" s="2395" t="s">
        <v>450</v>
      </c>
      <c r="AU41" s="2396"/>
      <c r="AV41" s="2396"/>
      <c r="AW41" s="2396"/>
      <c r="AX41" s="2396"/>
      <c r="AY41" s="2396"/>
      <c r="AZ41" s="2397"/>
      <c r="BA41" s="2398" t="s">
        <v>451</v>
      </c>
      <c r="BB41" s="2401" t="s">
        <v>453</v>
      </c>
      <c r="BC41" s="2248"/>
      <c r="BI41" s="1276">
        <v>14</v>
      </c>
    </row>
    <row customHeight="1" ht="35.699999999999996">
      <c r="Q42" s="412"/>
      <c r="R42" s="497"/>
      <c r="S42" s="2394"/>
      <c r="T42" s="2330"/>
      <c r="U42" s="1152"/>
      <c r="V42" s="2313" t="s">
        <v>534</v>
      </c>
      <c r="W42" s="2314"/>
      <c r="X42" s="2313" t="s">
        <v>535</v>
      </c>
      <c r="Y42" s="2314"/>
      <c r="Z42" s="2415" t="s">
        <v>536</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534</v>
      </c>
      <c r="AU42" s="2314"/>
      <c r="AV42" s="2313" t="s">
        <v>535</v>
      </c>
      <c r="AW42" s="2314"/>
      <c r="AX42" s="2415" t="s">
        <v>536</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148</v>
      </c>
      <c r="C44" s="1491" t="s">
        <v>149</v>
      </c>
      <c r="D44" s="1491" t="s">
        <v>150</v>
      </c>
      <c r="E44" s="1485" t="s">
        <v>458</v>
      </c>
      <c r="F44" s="1485" t="s">
        <v>459</v>
      </c>
      <c r="G44" s="1485" t="s">
        <v>460</v>
      </c>
      <c r="H44" s="1485" t="s">
        <v>461</v>
      </c>
      <c r="I44" s="1485" t="s">
        <v>462</v>
      </c>
      <c r="J44" s="1485" t="s">
        <v>463</v>
      </c>
      <c r="K44" s="1485" t="s">
        <v>464</v>
      </c>
      <c r="L44" s="1485" t="s">
        <v>439</v>
      </c>
      <c r="Q44" s="412"/>
      <c r="R44" s="497"/>
      <c r="S44" s="2394"/>
      <c r="T44" s="2330"/>
      <c r="U44" s="423"/>
      <c r="V44" s="1600" t="s">
        <v>500</v>
      </c>
      <c r="W44" s="1600" t="s">
        <v>501</v>
      </c>
      <c r="X44" s="1600" t="s">
        <v>500</v>
      </c>
      <c r="Y44" s="1600" t="s">
        <v>501</v>
      </c>
      <c r="Z44" s="1610" t="s">
        <v>467</v>
      </c>
      <c r="AA44" s="2391" t="s">
        <v>468</v>
      </c>
      <c r="AB44" s="2392"/>
      <c r="AC44" s="2400"/>
      <c r="AD44" s="2454"/>
      <c r="AE44" s="2455"/>
      <c r="AF44" s="2455"/>
      <c r="AG44" s="2456"/>
      <c r="AH44" s="2454"/>
      <c r="AI44" s="2455"/>
      <c r="AJ44" s="2455"/>
      <c r="AK44" s="2456"/>
      <c r="AL44" s="2454"/>
      <c r="AM44" s="2455"/>
      <c r="AN44" s="2455"/>
      <c r="AO44" s="2456"/>
      <c r="AP44" s="2454"/>
      <c r="AQ44" s="2455"/>
      <c r="AR44" s="2455"/>
      <c r="AS44" s="2456"/>
      <c r="AT44" s="1600" t="s">
        <v>500</v>
      </c>
      <c r="AU44" s="1600" t="s">
        <v>501</v>
      </c>
      <c r="AV44" s="1600" t="s">
        <v>500</v>
      </c>
      <c r="AW44" s="1600" t="s">
        <v>501</v>
      </c>
      <c r="AX44" s="1610" t="s">
        <v>467</v>
      </c>
      <c r="AY44" s="2391" t="s">
        <v>468</v>
      </c>
      <c r="AZ44" s="2392"/>
      <c r="BA44" s="2400"/>
      <c r="BB44" s="2403"/>
      <c r="BC44" s="2248"/>
      <c r="BI44" s="1276">
        <v>14</v>
      </c>
    </row>
    <row s="6812"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123</v>
      </c>
      <c r="T45" s="1376" t="s">
        <v>103</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285</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136</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285</v>
      </c>
      <c r="B47" s="1484" t="s">
        <v>286</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421</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422</v>
      </c>
      <c r="BE47" s="621"/>
      <c r="BF47" s="621" t="str">
        <f>IF(T47="","",T47)</f>
        <v>Территория действия тарифа</v>
      </c>
      <c r="BG47" s="621"/>
      <c r="BH47" s="621"/>
      <c r="BI47" s="1276">
        <v>21</v>
      </c>
    </row>
    <row customHeight="1" ht="35.699999999999996">
      <c r="A48" s="1484" t="s">
        <v>285</v>
      </c>
      <c r="B48" s="1484" t="s">
        <v>286</v>
      </c>
      <c r="C48" s="1484" t="s">
        <v>287</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552</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553</v>
      </c>
      <c r="BE48" s="621"/>
      <c r="BF48" s="621" t="str">
        <f>IF(T48="","",T48)</f>
        <v>Наименование централизованной системы горячего водоснабжения</v>
      </c>
      <c r="BG48" s="621"/>
      <c r="BH48" s="621"/>
      <c r="BI48" s="1276">
        <v>34</v>
      </c>
    </row>
    <row s="7217" customFormat="1" customHeight="1" ht="0">
      <c r="A49" s="1464" t="s">
        <v>285</v>
      </c>
      <c r="B49" s="1464" t="s">
        <v>286</v>
      </c>
      <c r="C49" s="1464" t="s">
        <v>287</v>
      </c>
      <c r="D49" s="1464" t="s">
        <v>566</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426</v>
      </c>
      <c r="BE49" s="621"/>
      <c r="BF49" s="621" t="str">
        <f>IF(T49="","",T49)</f>
        <v/>
      </c>
      <c r="BG49" s="621"/>
      <c r="BH49" s="621"/>
      <c r="BI49" s="632">
        <v>0</v>
      </c>
    </row>
    <row s="7217" customFormat="1" customHeight="1" ht="0">
      <c r="A50" s="1464" t="s">
        <v>285</v>
      </c>
      <c r="B50" s="1464" t="s">
        <v>286</v>
      </c>
      <c r="C50" s="1464" t="s">
        <v>287</v>
      </c>
      <c r="D50" s="1464" t="s">
        <v>566</v>
      </c>
      <c r="E50" s="2380"/>
      <c r="F50" s="2380"/>
      <c r="G50" s="2380"/>
      <c r="H50" s="2380"/>
      <c r="I50" s="2377" t="str">
        <f>S49&amp;".1"</f>
        <v>.1</v>
      </c>
      <c r="J50" s="1464"/>
      <c r="K50" s="1464"/>
      <c r="L50" s="1467" t="s">
        <v>427</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7217" customFormat="1" customHeight="1" ht="0">
      <c r="A51" s="1464" t="s">
        <v>285</v>
      </c>
      <c r="B51" s="1464" t="s">
        <v>286</v>
      </c>
      <c r="C51" s="1464" t="s">
        <v>287</v>
      </c>
      <c r="D51" s="1464" t="s">
        <v>566</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285</v>
      </c>
      <c r="B52" s="1484" t="s">
        <v>286</v>
      </c>
      <c r="C52" s="1484" t="s">
        <v>287</v>
      </c>
      <c r="D52" s="1484" t="s">
        <v>566</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66</v>
      </c>
      <c r="AB52" s="1855"/>
      <c r="AC52" s="1590" t="s">
        <v>66</v>
      </c>
      <c r="AD52" s="2306" t="s">
        <v>66</v>
      </c>
      <c r="AE52" s="2447"/>
      <c r="AF52" s="2326">
        <v>1</v>
      </c>
      <c r="AG52" s="2484"/>
      <c r="AH52" s="2228" t="s">
        <v>66</v>
      </c>
      <c r="AI52" s="2447"/>
      <c r="AJ52" s="2326">
        <v>1</v>
      </c>
      <c r="AK52" s="2448" t="s">
        <v>28</v>
      </c>
      <c r="AL52" s="2228" t="s">
        <v>66</v>
      </c>
      <c r="AM52" s="2313"/>
      <c r="AN52" s="2326">
        <v>1</v>
      </c>
      <c r="AO52" s="2478"/>
      <c r="AP52" s="2479" t="s">
        <v>66</v>
      </c>
      <c r="AQ52" s="432"/>
      <c r="AR52" s="1607">
        <v>1</v>
      </c>
      <c r="AS52" s="1613" t="s">
        <v>28</v>
      </c>
      <c r="AT52" s="872"/>
      <c r="AU52" s="1378"/>
      <c r="AV52" s="872"/>
      <c r="AW52" s="1378"/>
      <c r="AX52" s="1855"/>
      <c r="AY52" s="1590" t="s">
        <v>66</v>
      </c>
      <c r="AZ52" s="1855"/>
      <c r="BA52" s="1590" t="s">
        <v>66</v>
      </c>
      <c r="BB52" s="1469"/>
      <c r="BC52" s="2374" t="s">
        <v>523</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524</v>
      </c>
      <c r="AT53" s="1514"/>
      <c r="AU53" s="1617"/>
      <c r="AV53" s="1514"/>
      <c r="AW53" s="1617"/>
      <c r="AX53" s="1514"/>
      <c r="AY53" s="1514"/>
      <c r="AZ53" s="1514"/>
      <c r="BA53" s="1514"/>
      <c r="BB53" s="1518"/>
      <c r="BC53" s="2375"/>
      <c r="BE53" s="621"/>
      <c r="BF53" s="621"/>
      <c r="BG53" s="621"/>
      <c r="BH53" s="621"/>
      <c r="BI53" s="1276">
        <v>11</v>
      </c>
    </row>
    <row customHeight="1" ht="11.549999999999999">
      <c r="A54" s="1484" t="s">
        <v>285</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525</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285</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526</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285</v>
      </c>
      <c r="B56" s="1484" t="s">
        <v>286</v>
      </c>
      <c r="C56" s="1484" t="s">
        <v>287</v>
      </c>
      <c r="D56" s="1484" t="s">
        <v>566</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527</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285</v>
      </c>
      <c r="B57" s="1484" t="s">
        <v>286</v>
      </c>
      <c r="C57" s="1484" t="s">
        <v>287</v>
      </c>
      <c r="D57" s="1484" t="s">
        <v>566</v>
      </c>
      <c r="E57" s="2380"/>
      <c r="F57" s="2380"/>
      <c r="G57" s="2380"/>
      <c r="H57" s="2380"/>
      <c r="I57" s="2407"/>
      <c r="J57" s="2377"/>
      <c r="K57" s="1484"/>
      <c r="L57" s="1485"/>
      <c r="P57" s="2378"/>
      <c r="Q57" s="2378"/>
      <c r="R57" s="477"/>
      <c r="S57" s="1399"/>
      <c r="T57" s="408" t="s">
        <v>490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7217" customFormat="1" customHeight="1" ht="0">
      <c r="A58" s="1464" t="s">
        <v>285</v>
      </c>
      <c r="B58" s="1464" t="s">
        <v>286</v>
      </c>
      <c r="C58" s="1464" t="s">
        <v>287</v>
      </c>
      <c r="D58" s="1464" t="s">
        <v>566</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7217" customFormat="1" customHeight="1" ht="0">
      <c r="A59" s="1464" t="s">
        <v>285</v>
      </c>
      <c r="B59" s="1464" t="s">
        <v>286</v>
      </c>
      <c r="C59" s="1464" t="s">
        <v>287</v>
      </c>
      <c r="D59" s="1464" t="s">
        <v>566</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7217" customFormat="1" customHeight="1" ht="0">
      <c r="A60" s="1464" t="s">
        <v>285</v>
      </c>
      <c r="B60" s="1464" t="s">
        <v>286</v>
      </c>
      <c r="C60" s="1464" t="s">
        <v>287</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7217" customFormat="1" customHeight="1" ht="0">
      <c r="A61" s="1464" t="s">
        <v>285</v>
      </c>
      <c r="B61" s="1464" t="s">
        <v>286</v>
      </c>
      <c r="C61" s="1435"/>
      <c r="D61" s="1435"/>
      <c r="E61" s="2380"/>
      <c r="F61" s="2379"/>
      <c r="G61" s="1435"/>
      <c r="H61" s="1435"/>
      <c r="I61" s="1435"/>
      <c r="J61" s="1435"/>
      <c r="K61" s="1435"/>
      <c r="L61" s="1615"/>
      <c r="M61" s="1442"/>
      <c r="N61" s="1442"/>
      <c r="P61" s="1437"/>
      <c r="Q61" s="1438"/>
      <c r="R61" s="1437"/>
      <c r="S61" s="1443"/>
      <c r="T61" s="1446" t="s">
        <v>176</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7217" customFormat="1" customHeight="1" ht="0">
      <c r="A62" s="1464" t="s">
        <v>285</v>
      </c>
      <c r="B62" s="1464"/>
      <c r="C62" s="1464"/>
      <c r="D62" s="1464"/>
      <c r="E62" s="2379"/>
      <c r="F62" s="1464"/>
      <c r="G62" s="1464"/>
      <c r="H62" s="1464"/>
      <c r="I62" s="1464"/>
      <c r="J62" s="1464"/>
      <c r="K62" s="1464"/>
      <c r="L62" s="1467"/>
      <c r="M62" s="1442"/>
      <c r="N62" s="1442"/>
      <c r="O62" s="639"/>
      <c r="P62" s="501"/>
      <c r="Q62" s="1465"/>
      <c r="R62" s="501"/>
      <c r="S62" s="1443"/>
      <c r="T62" s="1446" t="s">
        <v>177</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7217"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183</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82</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E5ED7-01C5-8BC8-4A36-0.01AC346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94" width="10.7109375" hidden="1" customWidth="1"/>
    <col min="2" max="2" style="7669" width="16.8515625" hidden="1" customWidth="1"/>
    <col min="3" max="3" style="7217" width="5.57421875" hidden="1" customWidth="1"/>
    <col min="4" max="4" style="7720" width="3.00390625" customWidth="1"/>
    <col min="5" max="5" style="7720" width="7.00390625" customWidth="1"/>
    <col min="6" max="6" style="7720" width="54.00390625" customWidth="1"/>
    <col min="7" max="7" style="7720" width="10.00390625" customWidth="1"/>
    <col min="8" max="8" style="7720" width="40.7109375" hidden="1" customWidth="1"/>
    <col min="9" max="9" style="7720" width="40.7109375" customWidth="1"/>
    <col min="10" max="10" style="7720" width="102.00390625" customWidth="1"/>
    <col min="11" max="11" style="7669" width="9.00390625" customWidth="1"/>
    <col min="12" max="12" style="7217" width="5.00390625" customWidth="1"/>
    <col min="13" max="13" style="7217" width="3.00390625" customWidth="1"/>
    <col min="14" max="17" style="7669" width="3.00390625" customWidth="1"/>
    <col min="18" max="18" style="7217" width="10.00390625" customWidth="1"/>
    <col min="19" max="19" style="7669" width="34.00390625" customWidth="1"/>
    <col min="20" max="20" style="7669" width="9.00390625" customWidth="1"/>
    <col min="21" max="21" style="7195" width="8.00390625" customWidth="1"/>
    <col min="22" max="26" style="7669" width="8.00390625" customWidth="1"/>
    <col min="27" max="31" style="8008" width="8.00390625" customWidth="1"/>
    <col min="32" max="32" style="7720" width="9.140625" hidden="1"/>
  </cols>
  <sheetData>
    <row customHeight="1" ht="22.5" hidden="1">
      <c r="AF1" s="1752" t="s">
        <v>14</v>
      </c>
    </row>
    <row customHeight="1" ht="23.25" hidden="1">
      <c r="B2" s="2220"/>
      <c r="C2" s="1288" t="s">
        <v>567</v>
      </c>
      <c r="D2" s="1759"/>
      <c r="E2" s="667">
        <f>B2</f>
        <v>0</v>
      </c>
      <c r="F2" s="668"/>
      <c r="G2" s="1767" t="s">
        <v>568</v>
      </c>
      <c r="H2" s="1767" t="s">
        <v>568</v>
      </c>
      <c r="I2" s="1767" t="s">
        <v>568</v>
      </c>
      <c r="J2" s="410" t="s">
        <v>569</v>
      </c>
      <c r="K2" s="664"/>
      <c r="AF2" s="1752">
        <v>0</v>
      </c>
    </row>
    <row s="7217" customFormat="1" customHeight="1" ht="0.75" hidden="1">
      <c r="B3" s="2220"/>
      <c r="C3" s="1288"/>
      <c r="D3" s="669"/>
      <c r="E3" s="670"/>
      <c r="F3" s="671" t="s">
        <v>570</v>
      </c>
      <c r="G3" s="672"/>
      <c r="H3" s="672">
        <f>H4*H5+H7</f>
        <v>0</v>
      </c>
      <c r="I3" s="672">
        <f>I4*I5+I6</f>
        <v>0</v>
      </c>
      <c r="J3" s="673"/>
      <c r="AF3" s="1757">
        <v>0</v>
      </c>
    </row>
    <row customHeight="1" ht="23.25" hidden="1">
      <c r="B4" s="2220"/>
      <c r="C4" s="1288"/>
      <c r="D4" s="1759"/>
      <c r="E4" s="667" t="str">
        <f>B2&amp;".1"</f>
        <v>.1</v>
      </c>
      <c r="F4" s="674" t="s">
        <v>571</v>
      </c>
      <c r="G4" s="675"/>
      <c r="H4" s="662"/>
      <c r="I4" s="662"/>
      <c r="J4" s="410" t="s">
        <v>572</v>
      </c>
      <c r="K4" s="664"/>
      <c r="AF4" s="1752">
        <v>0</v>
      </c>
    </row>
    <row customHeight="1" ht="18.75" hidden="1">
      <c r="B5" s="2220"/>
      <c r="C5" s="1288"/>
      <c r="D5" s="1759"/>
      <c r="E5" s="667" t="str">
        <f>B2&amp;".2"</f>
        <v>.2</v>
      </c>
      <c r="F5" s="674" t="s">
        <v>573</v>
      </c>
      <c r="G5" s="1767" t="s">
        <v>574</v>
      </c>
      <c r="H5" s="662"/>
      <c r="I5" s="662"/>
      <c r="J5" s="410"/>
      <c r="K5" s="664"/>
      <c r="AF5" s="1752">
        <v>0</v>
      </c>
    </row>
    <row customHeight="1" ht="18.75" hidden="1">
      <c r="B6" s="2220"/>
      <c r="C6" s="1288"/>
      <c r="D6" s="1759"/>
      <c r="E6" s="667" t="str">
        <f>B2&amp;".3"</f>
        <v>.3</v>
      </c>
      <c r="F6" s="674" t="s">
        <v>575</v>
      </c>
      <c r="G6" s="1767" t="s">
        <v>574</v>
      </c>
      <c r="H6" s="662"/>
      <c r="I6" s="662"/>
      <c r="J6" s="410"/>
      <c r="K6" s="664"/>
      <c r="AF6" s="1752">
        <v>0</v>
      </c>
    </row>
    <row customHeight="1" ht="18.75" hidden="1">
      <c r="B7" s="2220"/>
      <c r="C7" s="1288"/>
      <c r="D7" s="1759"/>
      <c r="E7" s="667" t="str">
        <f>B2&amp;".4"</f>
        <v>.4</v>
      </c>
      <c r="F7" s="674" t="s">
        <v>576</v>
      </c>
      <c r="G7" s="1767" t="s">
        <v>568</v>
      </c>
      <c r="H7" s="676"/>
      <c r="I7" s="676"/>
      <c r="J7" s="410"/>
      <c r="K7" s="664"/>
      <c r="AF7" s="1752">
        <v>0</v>
      </c>
    </row>
    <row s="7669" customFormat="1" customHeight="1" ht="11.25" hidden="1">
      <c r="A8" s="1108"/>
      <c r="C8" s="1757"/>
      <c r="D8" s="658"/>
      <c r="H8" s="1281">
        <v>4</v>
      </c>
      <c r="I8" s="1281">
        <v>4</v>
      </c>
      <c r="L8" s="1757"/>
      <c r="M8" s="1757"/>
      <c r="R8" s="1757"/>
      <c r="AF8" s="1281">
        <v>0</v>
      </c>
    </row>
    <row s="7669" customFormat="1" customHeight="1" ht="22.5" hidden="1">
      <c r="A9" s="1108"/>
      <c r="C9" s="1757"/>
      <c r="D9" s="659"/>
      <c r="E9" s="1769"/>
      <c r="F9" s="661"/>
      <c r="G9" s="1767" t="s">
        <v>574</v>
      </c>
      <c r="H9" s="662"/>
      <c r="I9" s="662"/>
      <c r="J9" s="663" t="s">
        <v>577</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578</v>
      </c>
      <c r="H11" s="662"/>
      <c r="I11" s="662"/>
      <c r="J11" s="410" t="s">
        <v>579</v>
      </c>
      <c r="K11" s="664"/>
      <c r="AF11" s="1752">
        <v>0</v>
      </c>
    </row>
    <row customHeight="1" ht="11.25" hidden="1">
      <c r="AF12" s="1752">
        <v>0</v>
      </c>
    </row>
    <row customHeight="1" ht="22.5" hidden="1">
      <c r="D13" s="1759"/>
      <c r="E13" s="667"/>
      <c r="F13" s="661"/>
      <c r="G13" s="1090" t="s">
        <v>580</v>
      </c>
      <c r="H13" s="666"/>
      <c r="I13" s="666"/>
      <c r="J13" s="866" t="s">
        <v>581</v>
      </c>
      <c r="K13" s="664"/>
      <c r="AF13" s="1752">
        <v>0</v>
      </c>
    </row>
    <row customHeight="1" ht="11.25" hidden="1">
      <c r="AF14" s="1752">
        <v>0</v>
      </c>
    </row>
    <row customHeight="1" ht="22.5" hidden="1">
      <c r="D15" s="1759"/>
      <c r="E15" s="667"/>
      <c r="F15" s="661"/>
      <c r="G15" s="1767" t="s">
        <v>582</v>
      </c>
      <c r="H15" s="666"/>
      <c r="I15" s="666"/>
      <c r="J15" s="410" t="s">
        <v>583</v>
      </c>
      <c r="K15" s="664"/>
      <c r="AF15" s="1752">
        <v>0</v>
      </c>
    </row>
    <row customHeight="1" ht="11.25" hidden="1">
      <c r="AF16" s="1752">
        <v>0</v>
      </c>
    </row>
    <row customHeight="1" ht="22.5" hidden="1">
      <c r="D17" s="1759"/>
      <c r="E17" s="667"/>
      <c r="F17" s="661"/>
      <c r="G17" s="1767" t="s">
        <v>584</v>
      </c>
      <c r="H17" s="666"/>
      <c r="I17" s="666"/>
      <c r="J17" s="410" t="s">
        <v>585</v>
      </c>
      <c r="K17" s="664"/>
      <c r="AF17" s="1752">
        <v>0</v>
      </c>
    </row>
    <row customHeight="1" ht="11.25" hidden="1">
      <c r="AF18" s="1752">
        <v>0</v>
      </c>
    </row>
    <row s="8008"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9"/>
      <c r="G21" s="2369"/>
      <c r="H21" s="2369"/>
      <c r="I21" s="2369"/>
      <c r="J21" s="677"/>
      <c r="AF21" s="1752">
        <v>24</v>
      </c>
    </row>
    <row customHeight="1" ht="25.2">
      <c r="E22" s="2370" t="str">
        <f>IF(org=0,"Не определено",org)</f>
        <v>ПАО "ТГК-1" филиал "Невский"</v>
      </c>
      <c r="F22" s="2370"/>
      <c r="G22" s="2370"/>
      <c r="H22" s="2370"/>
      <c r="I22" s="2370"/>
      <c r="AF22" s="1752">
        <v>24</v>
      </c>
    </row>
    <row customHeight="1" ht="11.549999999999999">
      <c r="E23" s="1256"/>
      <c r="F23" s="1256"/>
      <c r="G23" s="1256"/>
      <c r="H23" s="1256"/>
      <c r="I23" s="1256"/>
      <c r="AF23" s="1752">
        <v>11</v>
      </c>
    </row>
    <row s="7217" customFormat="1" customHeight="1" ht="1.05">
      <c r="A24" s="1288"/>
      <c r="D24" s="1763"/>
      <c r="H24" s="1010"/>
      <c r="I24" s="1010" t="s">
        <v>130</v>
      </c>
      <c r="AF24" s="1757">
        <v>1</v>
      </c>
    </row>
    <row customHeight="1" ht="11.549999999999999">
      <c r="E25" s="832"/>
      <c r="F25" s="2488" t="s">
        <v>119</v>
      </c>
      <c r="G25" s="2489"/>
      <c r="H25" s="1773" t="str">
        <f>IF(H24="","",INDEX(DIFFERENTIATION_UNMERGE_VD,MATCH(H24,DIFFERENTIATION_ID_DIFF,0)))</f>
        <v/>
      </c>
      <c r="I25" s="1773">
        <f>IF(I24="","",INDEX(DIFFERENTIATION_UNMERGE_VD,MATCH(I24,DIFFERENTIATION_ID_DIFF,0)))</f>
        <v>0</v>
      </c>
      <c r="J25" s="2248"/>
      <c r="AF25" s="1752">
        <v>11</v>
      </c>
    </row>
    <row customHeight="1" ht="11.549999999999999">
      <c r="E26" s="832"/>
      <c r="F26" s="2488" t="s">
        <v>586</v>
      </c>
      <c r="G26" s="2489"/>
      <c r="H26" s="1773" t="str">
        <f>IF(H24="","",INDEX(DIFFERENTIATION_UNMERGE_AREA,MATCH(H24,DIFFERENTIATION_ID_DIFF,0)))</f>
        <v/>
      </c>
      <c r="I26" s="1773" t="str">
        <f>IF(I24="","",INDEX(DIFFERENTIATION_UNMERGE_AREA,MATCH(I24,DIFFERENTIATION_ID_DIFF,0)))</f>
        <v/>
      </c>
      <c r="J26" s="2248"/>
      <c r="AF26" s="1752">
        <v>11</v>
      </c>
    </row>
    <row customHeight="1" ht="11.549999999999999">
      <c r="E27" s="832"/>
      <c r="F27" s="2488" t="s">
        <v>587</v>
      </c>
      <c r="G27" s="2489"/>
      <c r="H27" s="1773" t="str">
        <f>IF(H24="","",INDEX(DIFFERENTIATION_UNMERGE_SYSTEM,MATCH(H24,DIFFERENTIATION_ID_DIFF,0)))</f>
        <v/>
      </c>
      <c r="I27" s="1773" t="str">
        <f>IF(I24="","",INDEX(DIFFERENTIATION_UNMERGE_SYSTEM,MATCH(I24,DIFFERENTIATION_ID_DIFF,0)))</f>
        <v>без дифференциации</v>
      </c>
      <c r="J27" s="2248"/>
      <c r="AF27" s="1752">
        <v>11</v>
      </c>
    </row>
    <row customHeight="1" ht="11.549999999999999">
      <c r="E28" s="2490" t="s">
        <v>324</v>
      </c>
      <c r="F28" s="2491"/>
      <c r="G28" s="2491"/>
      <c r="H28" s="1766"/>
      <c r="I28" s="1766"/>
      <c r="J28" s="2248"/>
      <c r="AF28" s="1752">
        <v>11</v>
      </c>
    </row>
    <row customHeight="1" ht="24">
      <c r="E29" s="1767" t="s">
        <v>88</v>
      </c>
      <c r="F29" s="1774" t="s">
        <v>326</v>
      </c>
      <c r="G29" s="1774" t="s">
        <v>588</v>
      </c>
      <c r="H29" s="1774" t="s">
        <v>327</v>
      </c>
      <c r="I29" s="1774" t="s">
        <v>327</v>
      </c>
      <c r="J29" s="2248"/>
      <c r="AF29" s="1752">
        <v>23</v>
      </c>
    </row>
    <row customHeight="1" ht="19.95">
      <c r="D30" s="1759"/>
      <c r="E30" s="667">
        <f>FHD_NUM_P_1</f>
        <v>1</v>
      </c>
      <c r="F30" s="2001" t="str">
        <f>FHD_P_1</f>
        <v>Выручка от регулируемого вида деятельности с распределением по видам деятельности</v>
      </c>
      <c r="G30" s="1999" t="s">
        <v>574</v>
      </c>
      <c r="H30" s="678"/>
      <c r="I30" s="678"/>
      <c r="J30" s="410" t="str">
        <f>FHD_NOTE_P_1</f>
        <v>Указывается выручка от регулируемого вида деятельности с распределением по видам деятельности.</v>
      </c>
      <c r="K30" s="664"/>
      <c r="AF30" s="1752">
        <v>19</v>
      </c>
    </row>
    <row customHeight="1" ht="11.549999999999999">
      <c r="D31" s="1759"/>
      <c r="E31" s="667">
        <f>FHD_NUM_P_2</f>
        <v>2</v>
      </c>
      <c r="F31" s="2001" t="str">
        <f>FHD_P_2</f>
        <v>Себестоимость производимых товаров (оказываемых услуг) по регулируемому виду деятельности, включая:</v>
      </c>
      <c r="G31" s="1999" t="s">
        <v>574</v>
      </c>
      <c r="H31" s="679">
        <f>SUMIF($K33:$K71,$K31,H33:H71)</f>
        <v>0</v>
      </c>
      <c r="I31" s="679">
        <f>SUMIF($K33:$K71,$K31,I33:I71)</f>
        <v>0</v>
      </c>
      <c r="J31" s="410" t="str">
        <f>FHD_NOTE_P_2</f>
        <v>Указывается суммарная себестоимость производимых товаров.</v>
      </c>
      <c r="K31" s="1757" t="s">
        <v>589</v>
      </c>
      <c r="AF31" s="1752">
        <v>11</v>
      </c>
    </row>
    <row customHeight="1" ht="11.549999999999999">
      <c r="D32" s="1759"/>
      <c r="E32" s="667" t="str">
        <f>FHD_NUM_P_3</f>
        <v>2.1</v>
      </c>
      <c r="F32" s="1645" t="str">
        <f>FHD_P_3</f>
        <v>Расходы на приобретаемую тепловую энергию (мощность), теплоноситель</v>
      </c>
      <c r="G32" s="1999" t="s">
        <v>574</v>
      </c>
      <c r="H32" s="678"/>
      <c r="I32" s="678"/>
      <c r="J32" s="410" t="str">
        <f>FHD_NOTE_P_3</f>
        <v/>
      </c>
      <c r="K32" s="1757" t="str">
        <f>IF((LEN(E32)-LEN(SUBSTITUTE(E32,".","")))/LEN(".")=1,"p","")</f>
        <v>p</v>
      </c>
      <c r="AF32" s="1752">
        <v>11</v>
      </c>
    </row>
    <row customHeight="1" ht="11.25">
      <c r="A33" s="2492" t="s">
        <v>590</v>
      </c>
      <c r="D33" s="1759"/>
      <c r="E33" s="667" t="str">
        <f>FHD_NUM_P_4</f>
        <v>2.2</v>
      </c>
      <c r="F33" s="16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9" t="s">
        <v>574</v>
      </c>
      <c r="H33" s="679">
        <f>SUMIF($F34:$F40,$F3,H34:H40)</f>
        <v>0</v>
      </c>
      <c r="I33" s="679">
        <f>SUMIF($F34:$F40,$F3,I34:I40)</f>
        <v>0</v>
      </c>
      <c r="J33" s="410" t="str">
        <f>FHD_NOTE_P_4</f>
        <v>Указываются суммарные расходы на приобретение топлива всех видов.</v>
      </c>
      <c r="K33" s="1757" t="str">
        <f>IF((LEN(E33)-LEN(SUBSTITUTE(E33,".","")))/LEN(".")=1,"p","")</f>
        <v>p</v>
      </c>
      <c r="AF33" s="1752">
        <v>0</v>
      </c>
    </row>
    <row s="6812" customFormat="1" customHeight="1" ht="0.75">
      <c r="A34" s="2492"/>
      <c r="B34" s="2493" t="str">
        <f>E33&amp;".0"</f>
        <v>2.2.0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812" customFormat="1" customHeight="1" ht="0.75">
      <c r="A35" s="2492"/>
      <c r="B35" s="2493"/>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812" customFormat="1" customHeight="1" ht="0.75">
      <c r="A36" s="2492"/>
      <c r="B36" s="2493"/>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812" customFormat="1" customHeight="1" ht="0.75">
      <c r="A37" s="2492"/>
      <c r="B37" s="2493"/>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812" customFormat="1" customHeight="1" ht="0.75">
      <c r="A38" s="2492"/>
      <c r="B38" s="2493"/>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812" customFormat="1" customHeight="1" ht="0.75">
      <c r="A39" s="2492"/>
      <c r="B39" s="2493"/>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669" customFormat="1" customHeight="1" ht="15">
      <c r="A40" s="2492"/>
      <c r="C40" s="1757"/>
      <c r="D40" s="1754"/>
      <c r="E40" s="691"/>
      <c r="F40" s="692" t="s">
        <v>591</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492" t="s">
        <v>592</v>
      </c>
      <c r="D41" s="1759"/>
      <c r="E41" s="667" t="str">
        <f>FHD_NUM_P_5</f>
        <v/>
      </c>
      <c r="F41" s="1645" t="str">
        <f>FHD_P_5</f>
        <v/>
      </c>
      <c r="G41" s="1999" t="s">
        <v>574</v>
      </c>
      <c r="H41" s="678"/>
      <c r="I41" s="678"/>
      <c r="J41" s="410" t="str">
        <f>FHD_NOTE_P_5</f>
        <v/>
      </c>
      <c r="K41" s="1757" t="str">
        <f>IF((LEN(E41)-LEN(SUBSTITUTE(E41,".","")))/LEN(".")=1,"p","")</f>
        <v/>
      </c>
      <c r="AF41" s="1752">
        <v>0</v>
      </c>
    </row>
    <row customHeight="1" ht="11.25" hidden="1">
      <c r="A42" s="2492"/>
      <c r="D42" s="1759"/>
      <c r="E42" s="667" t="str">
        <f>FHD_NUM_P_6</f>
        <v/>
      </c>
      <c r="F42" s="1645" t="str">
        <f>FHD_P_6</f>
        <v/>
      </c>
      <c r="G42" s="1999" t="s">
        <v>574</v>
      </c>
      <c r="H42" s="678"/>
      <c r="I42" s="678"/>
      <c r="J42" s="410" t="str">
        <f>FHD_NOTE_P_6</f>
        <v/>
      </c>
      <c r="K42" s="1757" t="str">
        <f>IF((LEN(E42)-LEN(SUBSTITUTE(E42,".","")))/LEN(".")=1,"p","")</f>
        <v/>
      </c>
      <c r="AF42" s="1752">
        <v>0</v>
      </c>
    </row>
    <row customHeight="1" ht="11.25" hidden="1">
      <c r="A43" s="2492"/>
      <c r="D43" s="1759"/>
      <c r="E43" s="667" t="str">
        <f>FHD_NUM_P_7</f>
        <v/>
      </c>
      <c r="F43" s="1645" t="str">
        <f>FHD_P_7</f>
        <v/>
      </c>
      <c r="G43" s="1999" t="s">
        <v>574</v>
      </c>
      <c r="H43" s="678"/>
      <c r="I43" s="678"/>
      <c r="J43" s="410" t="str">
        <f>FHD_NOTE_P_7</f>
        <v/>
      </c>
      <c r="K43" s="1757" t="str">
        <f>IF((LEN(E43)-LEN(SUBSTITUTE(E43,".","")))/LEN(".")=1,"p","")</f>
        <v/>
      </c>
      <c r="AF43" s="1752">
        <v>0</v>
      </c>
    </row>
    <row customHeight="1" ht="11.549999999999999">
      <c r="D44" s="1759"/>
      <c r="E44" s="667" t="str">
        <f>FHD_NUM_P_8</f>
        <v>2.3</v>
      </c>
      <c r="F44" s="1645" t="str">
        <f>FHD_P_8</f>
        <v>Расходы на приобретаемую электрическую энергию (мощность), используемую в технологическом процессе</v>
      </c>
      <c r="G44" s="1999" t="s">
        <v>574</v>
      </c>
      <c r="H44" s="678"/>
      <c r="I44" s="678"/>
      <c r="J44" s="410" t="str">
        <f>FHD_NOTE_P_8</f>
        <v/>
      </c>
      <c r="K44" s="1757" t="str">
        <f>IF((LEN(E44)-LEN(SUBSTITUTE(E44,".","")))/LEN(".")=1,"p","")</f>
        <v>p</v>
      </c>
      <c r="AF44" s="1752">
        <v>11</v>
      </c>
    </row>
    <row customHeight="1" ht="11.549999999999999">
      <c r="D45" s="1759"/>
      <c r="E45" s="667" t="str">
        <f>FHD_NUM_P_9</f>
        <v>2.3.1</v>
      </c>
      <c r="F45" s="1771" t="str">
        <f>FHD_P_9</f>
        <v>Средневзвешенная стоимость 1 кВт.ч (с учетом мощности)</v>
      </c>
      <c r="G45" s="1999" t="s">
        <v>593</v>
      </c>
      <c r="H45" s="678"/>
      <c r="I45" s="678"/>
      <c r="J45" s="410" t="str">
        <f>FHD_NOTE_P_9</f>
        <v/>
      </c>
      <c r="K45" s="1757" t="str">
        <f>IF((LEN(E45)-LEN(SUBSTITUTE(E45,".","")))/LEN(".")=1,"p","")</f>
        <v/>
      </c>
      <c r="AF45" s="1752">
        <v>11</v>
      </c>
    </row>
    <row s="7669" customFormat="1" customHeight="1" ht="11.549999999999999">
      <c r="A46" s="1108"/>
      <c r="C46" s="1757"/>
      <c r="D46" s="695"/>
      <c r="E46" s="667" t="str">
        <f>FHD_NUM_P_10</f>
        <v>2.3.2</v>
      </c>
      <c r="F46" s="1771" t="str">
        <f>FHD_P_10</f>
        <v>Объём приобретения электрической энергии</v>
      </c>
      <c r="G46" s="1999" t="s">
        <v>594</v>
      </c>
      <c r="H46" s="678"/>
      <c r="I46" s="678"/>
      <c r="J46" s="410" t="str">
        <f>FHD_NOTE_P_10</f>
        <v/>
      </c>
      <c r="K46" s="1757" t="str">
        <f>IF((LEN(E46)-LEN(SUBSTITUTE(E46,".","")))/LEN(".")=1,"p","")</f>
        <v/>
      </c>
      <c r="L46" s="1757"/>
      <c r="M46" s="1757"/>
      <c r="R46" s="1757"/>
      <c r="U46" s="665"/>
      <c r="AA46" s="1753"/>
      <c r="AB46" s="1753"/>
      <c r="AC46" s="1753"/>
      <c r="AD46" s="1753"/>
      <c r="AE46" s="1753"/>
      <c r="AF46" s="1281">
        <v>11</v>
      </c>
    </row>
    <row s="7669" customFormat="1" customHeight="1" ht="11.25">
      <c r="A47" s="1110" t="s">
        <v>595</v>
      </c>
      <c r="C47" s="1757"/>
      <c r="D47" s="696"/>
      <c r="E47" s="667" t="str">
        <f>FHD_NUM_P_11</f>
        <v>2.4</v>
      </c>
      <c r="F47" s="1645" t="str">
        <f>FHD_P_11</f>
        <v>Расходы на приобретение холодной воды, используемой в технологическом процессе</v>
      </c>
      <c r="G47" s="1999" t="s">
        <v>574</v>
      </c>
      <c r="H47" s="678"/>
      <c r="I47" s="678"/>
      <c r="J47" s="410" t="str">
        <f>FHD_NOTE_P_11</f>
        <v/>
      </c>
      <c r="K47" s="1757" t="str">
        <f>IF((LEN(E47)-LEN(SUBSTITUTE(E47,".","")))/LEN(".")=1,"p","")</f>
        <v>p</v>
      </c>
      <c r="L47" s="1757"/>
      <c r="M47" s="1757"/>
      <c r="R47" s="1757"/>
      <c r="U47" s="665"/>
      <c r="AA47" s="1753"/>
      <c r="AB47" s="1753"/>
      <c r="AC47" s="1753"/>
      <c r="AD47" s="1753"/>
      <c r="AE47" s="1753"/>
      <c r="AF47" s="1281">
        <v>0</v>
      </c>
    </row>
    <row s="7669" customFormat="1" customHeight="1" ht="18.75">
      <c r="A48" s="1110" t="s">
        <v>596</v>
      </c>
      <c r="C48" s="1757"/>
      <c r="D48" s="1759"/>
      <c r="E48" s="667" t="str">
        <f>FHD_NUM_P_12</f>
        <v>2.5</v>
      </c>
      <c r="F48" s="1645" t="str">
        <f>FHD_P_12</f>
        <v>Расходы на  химические реагенты, используемые в технологическом процессе</v>
      </c>
      <c r="G48" s="1999" t="s">
        <v>574</v>
      </c>
      <c r="H48" s="698"/>
      <c r="I48" s="698"/>
      <c r="J48" s="410" t="str">
        <f>FHD_NOTE_P_12</f>
        <v/>
      </c>
      <c r="K48" s="1757" t="str">
        <f>IF((LEN(E48)-LEN(SUBSTITUTE(E48,".","")))/LEN(".")=1,"p","")</f>
        <v>p</v>
      </c>
      <c r="L48" s="1757"/>
      <c r="M48" s="1757"/>
      <c r="R48" s="1757"/>
      <c r="U48" s="665"/>
      <c r="AA48" s="1753"/>
      <c r="AB48" s="1753"/>
      <c r="AC48" s="1753"/>
      <c r="AD48" s="1753"/>
      <c r="AE48" s="1753"/>
      <c r="AF48" s="1281">
        <v>18</v>
      </c>
    </row>
    <row s="7133"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574</v>
      </c>
      <c r="H49" s="678"/>
      <c r="I49" s="678"/>
      <c r="J49" s="410" t="str">
        <f>FHD_NOTE_P_13</f>
        <v/>
      </c>
      <c r="K49" s="1757" t="str">
        <f>IF((LEN(E49)-LEN(SUBSTITUTE(E49,".","")))/LEN(".")=1,"p","")</f>
        <v>p</v>
      </c>
      <c r="L49" s="851"/>
      <c r="M49" s="851"/>
      <c r="R49" s="851"/>
      <c r="U49" s="852"/>
      <c r="AA49" s="853"/>
      <c r="AB49" s="853"/>
      <c r="AC49" s="853"/>
      <c r="AD49" s="853"/>
      <c r="AE49" s="853"/>
      <c r="AF49" s="850">
        <v>11</v>
      </c>
    </row>
    <row s="7133"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9" t="s">
        <v>574</v>
      </c>
      <c r="H50" s="678"/>
      <c r="I50" s="678"/>
      <c r="J50" s="410" t="str">
        <f>FHD_NOTE_P_14</f>
        <v/>
      </c>
      <c r="K50" s="1757" t="str">
        <f>IF((LEN(E50)-LEN(SUBSTITUTE(E50,".","")))/LEN(".")=1,"p","")</f>
        <v/>
      </c>
      <c r="L50" s="851"/>
      <c r="M50" s="851"/>
      <c r="R50" s="851"/>
      <c r="U50" s="852"/>
      <c r="AA50" s="853"/>
      <c r="AB50" s="853"/>
      <c r="AC50" s="853"/>
      <c r="AD50" s="853"/>
      <c r="AE50" s="853"/>
      <c r="AF50" s="850">
        <v>11</v>
      </c>
    </row>
    <row s="7133" customFormat="1" customHeight="1" ht="11.549999999999999">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574</v>
      </c>
      <c r="H51" s="678"/>
      <c r="I51" s="678"/>
      <c r="J51" s="410" t="str">
        <f>FHD_NOTE_P_15</f>
        <v/>
      </c>
      <c r="K51" s="1757" t="str">
        <f>IF((LEN(E51)-LEN(SUBSTITUTE(E51,".","")))/LEN(".")=1,"p","")</f>
        <v/>
      </c>
      <c r="L51" s="851"/>
      <c r="M51" s="851"/>
      <c r="R51" s="851"/>
      <c r="U51" s="852"/>
      <c r="AA51" s="853"/>
      <c r="AB51" s="853"/>
      <c r="AC51" s="853"/>
      <c r="AD51" s="853"/>
      <c r="AE51" s="853"/>
      <c r="AF51" s="850">
        <v>11</v>
      </c>
    </row>
    <row s="7669"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574</v>
      </c>
      <c r="H52" s="678"/>
      <c r="I52" s="678"/>
      <c r="J52" s="410" t="str">
        <f>FHD_NOTE_P_16</f>
        <v/>
      </c>
      <c r="K52" s="1757" t="str">
        <f>IF((LEN(E52)-LEN(SUBSTITUTE(E52,".","")))/LEN(".")=1,"p","")</f>
        <v>p</v>
      </c>
      <c r="L52" s="1757"/>
      <c r="M52" s="1763"/>
      <c r="N52" s="658"/>
      <c r="O52" s="658"/>
      <c r="R52" s="1757"/>
      <c r="U52" s="665"/>
      <c r="AA52" s="1753"/>
      <c r="AB52" s="1753"/>
      <c r="AC52" s="1753"/>
      <c r="AD52" s="1753"/>
      <c r="AE52" s="1753"/>
      <c r="AF52" s="1281">
        <v>11</v>
      </c>
    </row>
    <row s="7669"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9" t="s">
        <v>574</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669" customFormat="1" customHeight="1" ht="11.549999999999999">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574</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669"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9" t="s">
        <v>574</v>
      </c>
      <c r="H55" s="678"/>
      <c r="I55" s="678"/>
      <c r="J55" s="410" t="str">
        <f>FHD_NOTE_P_19</f>
        <v/>
      </c>
      <c r="K55" s="1757" t="str">
        <f>IF((LEN(E55)-LEN(SUBSTITUTE(E55,".","")))/LEN(".")=1,"p","")</f>
        <v>p</v>
      </c>
      <c r="L55" s="1757"/>
      <c r="M55" s="1757"/>
      <c r="R55" s="1757"/>
      <c r="U55" s="665"/>
      <c r="AA55" s="1753"/>
      <c r="AB55" s="1753"/>
      <c r="AC55" s="1753"/>
      <c r="AD55" s="1753"/>
      <c r="AE55" s="1753"/>
      <c r="AF55" s="1281">
        <v>11</v>
      </c>
    </row>
    <row s="7669" customFormat="1" customHeight="1" ht="11.549999999999999">
      <c r="A56" s="1108"/>
      <c r="C56" s="1757"/>
      <c r="D56" s="696"/>
      <c r="E56" s="667" t="str">
        <f>FHD_NUM_P_20</f>
        <v>2.8.1</v>
      </c>
      <c r="F56" s="1771" t="str">
        <f>FHD_P_20</f>
        <v>Расходы на амортизацию основных средств</v>
      </c>
      <c r="G56" s="1999" t="s">
        <v>574</v>
      </c>
      <c r="H56" s="678"/>
      <c r="I56" s="678"/>
      <c r="J56" s="410" t="str">
        <f>FHD_NOTE_P_20</f>
        <v/>
      </c>
      <c r="K56" s="1757" t="str">
        <f>IF((LEN(E56)-LEN(SUBSTITUTE(E56,".","")))/LEN(".")=1,"p","")</f>
        <v/>
      </c>
      <c r="L56" s="1757"/>
      <c r="M56" s="1757"/>
      <c r="R56" s="1757"/>
      <c r="U56" s="665"/>
      <c r="AA56" s="1753"/>
      <c r="AB56" s="1753"/>
      <c r="AC56" s="1753"/>
      <c r="AD56" s="1753"/>
      <c r="AE56" s="1753"/>
      <c r="AF56" s="1281">
        <v>11</v>
      </c>
    </row>
    <row s="7669" customFormat="1" customHeight="1" ht="11.549999999999999">
      <c r="A57" s="1108"/>
      <c r="C57" s="1757"/>
      <c r="D57" s="696"/>
      <c r="E57" s="667" t="str">
        <f>FHD_NUM_P_21</f>
        <v>2.8.2</v>
      </c>
      <c r="F57" s="1771" t="str">
        <f>FHD_P_21</f>
        <v>Расходы на амортизацию нематериальных активов</v>
      </c>
      <c r="G57" s="1999" t="s">
        <v>574</v>
      </c>
      <c r="H57" s="678"/>
      <c r="I57" s="678"/>
      <c r="J57" s="410" t="str">
        <f>FHD_NOTE_P_21</f>
        <v/>
      </c>
      <c r="K57" s="1757" t="str">
        <f>IF((LEN(E57)-LEN(SUBSTITUTE(E57,".","")))/LEN(".")=1,"p","")</f>
        <v/>
      </c>
      <c r="L57" s="1757"/>
      <c r="M57" s="1757"/>
      <c r="R57" s="1757"/>
      <c r="U57" s="665"/>
      <c r="AA57" s="1753"/>
      <c r="AB57" s="1753"/>
      <c r="AC57" s="1753"/>
      <c r="AD57" s="1753"/>
      <c r="AE57" s="1753"/>
      <c r="AF57" s="1281">
        <v>11</v>
      </c>
    </row>
    <row s="7669"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регулируемого вида деятельности</v>
      </c>
      <c r="G58" s="1999" t="s">
        <v>574</v>
      </c>
      <c r="H58" s="678"/>
      <c r="I58" s="678"/>
      <c r="J58" s="410" t="str">
        <f>FHD_NOTE_P_22</f>
        <v/>
      </c>
      <c r="K58" s="1757" t="str">
        <f>IF((LEN(E58)-LEN(SUBSTITUTE(E58,".","")))/LEN(".")=1,"p","")</f>
        <v>p</v>
      </c>
      <c r="L58" s="1757"/>
      <c r="M58" s="1757"/>
      <c r="R58" s="1757"/>
      <c r="U58" s="665"/>
      <c r="AA58" s="1753"/>
      <c r="AB58" s="1753"/>
      <c r="AC58" s="1753"/>
      <c r="AD58" s="1753"/>
      <c r="AE58" s="1753"/>
      <c r="AF58" s="1281">
        <v>11</v>
      </c>
    </row>
    <row s="7669" customFormat="1" customHeight="1" ht="11.549999999999999">
      <c r="A59" s="1108"/>
      <c r="C59" s="1757"/>
      <c r="D59" s="696"/>
      <c r="E59" s="667" t="str">
        <f>FHD_NUM_P_23</f>
        <v>2.10</v>
      </c>
      <c r="F59" s="1645" t="str">
        <f>FHD_P_23</f>
        <v>Общепроизводственные расходы, в том числе:</v>
      </c>
      <c r="G59" s="1999" t="s">
        <v>574</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669" customFormat="1" customHeight="1" ht="11.549999999999999">
      <c r="A60" s="1108"/>
      <c r="C60" s="1757"/>
      <c r="D60" s="696"/>
      <c r="E60" s="667" t="str">
        <f>FHD_NUM_P_24</f>
        <v>2.10.1</v>
      </c>
      <c r="F60" s="1771" t="str">
        <f>FHD_P_24</f>
        <v>Расходы на текущий ремонт</v>
      </c>
      <c r="G60" s="1999" t="s">
        <v>574</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669" customFormat="1" customHeight="1" ht="11.549999999999999">
      <c r="A61" s="1108"/>
      <c r="C61" s="1757"/>
      <c r="D61" s="696"/>
      <c r="E61" s="667" t="str">
        <f>FHD_NUM_P_25</f>
        <v>2.10.2</v>
      </c>
      <c r="F61" s="1771" t="str">
        <f>FHD_P_25</f>
        <v>Расходы на капитальный ремонт</v>
      </c>
      <c r="G61" s="1999" t="s">
        <v>574</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669" customFormat="1" customHeight="1" ht="11.549999999999999">
      <c r="A62" s="1108"/>
      <c r="C62" s="1757"/>
      <c r="D62" s="1759"/>
      <c r="E62" s="667" t="str">
        <f>FHD_NUM_P_26</f>
        <v>2.11</v>
      </c>
      <c r="F62" s="1645" t="str">
        <f>FHD_P_26</f>
        <v>Общехозяйственные расходы, в том числе:</v>
      </c>
      <c r="G62" s="1999" t="s">
        <v>574</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669" customFormat="1" customHeight="1" ht="11.549999999999999">
      <c r="A63" s="1108"/>
      <c r="C63" s="1757"/>
      <c r="D63" s="1759"/>
      <c r="E63" s="667" t="str">
        <f>FHD_NUM_P_27</f>
        <v>2.11.1</v>
      </c>
      <c r="F63" s="1771" t="str">
        <f>FHD_P_27</f>
        <v>Расходы на текущий ремонт</v>
      </c>
      <c r="G63" s="1999" t="s">
        <v>574</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669" customFormat="1" customHeight="1" ht="11.549999999999999">
      <c r="A64" s="1108"/>
      <c r="C64" s="1757"/>
      <c r="D64" s="1759"/>
      <c r="E64" s="667" t="str">
        <f>FHD_NUM_P_28</f>
        <v>2.11.2</v>
      </c>
      <c r="F64" s="1771" t="str">
        <f>FHD_P_28</f>
        <v>Расходы на капитальный ремонт</v>
      </c>
      <c r="G64" s="1999" t="s">
        <v>574</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669" customFormat="1" customHeight="1" ht="11.549999999999999">
      <c r="A65" s="1108"/>
      <c r="C65" s="1757"/>
      <c r="D65" s="1759"/>
      <c r="E65" s="667" t="str">
        <f>FHD_NUM_P_29</f>
        <v>2.12</v>
      </c>
      <c r="F65" s="1645" t="str">
        <f>FHD_P_29</f>
        <v>Расходы на капитальный и текущий ремонт основных средств</v>
      </c>
      <c r="G65" s="1999" t="s">
        <v>574</v>
      </c>
      <c r="H65" s="678"/>
      <c r="I65" s="678"/>
      <c r="J65" s="41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669" customFormat="1" customHeight="1" ht="11.549999999999999">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330</v>
      </c>
      <c r="H66" s="1770" t="s">
        <v>597</v>
      </c>
      <c r="I66" s="1770" t="s">
        <v>597</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669" customFormat="1" customHeight="1" ht="23.25" hidden="1">
      <c r="A67" s="2492" t="s">
        <v>598</v>
      </c>
      <c r="C67" s="1757"/>
      <c r="D67" s="1759"/>
      <c r="E67" s="667" t="str">
        <f>FHD_NUM_P_31</f>
        <v/>
      </c>
      <c r="F67" s="1645" t="str">
        <f>FHD_P_31</f>
        <v/>
      </c>
      <c r="G67" s="1999" t="s">
        <v>574</v>
      </c>
      <c r="H67" s="678"/>
      <c r="I67" s="678"/>
      <c r="J67" s="410" t="str">
        <f>FHD_NOTE_P_31</f>
        <v/>
      </c>
      <c r="K67" s="1757" t="str">
        <f>IF((LEN(E67)-LEN(SUBSTITUTE(E67,".","")))/LEN(".")=1,"p","")</f>
        <v/>
      </c>
      <c r="L67" s="1757"/>
      <c r="M67" s="1757"/>
      <c r="R67" s="1757"/>
      <c r="U67" s="665"/>
      <c r="AA67" s="1753"/>
      <c r="AB67" s="1753"/>
      <c r="AC67" s="1753"/>
      <c r="AD67" s="1753"/>
      <c r="AE67" s="1753"/>
      <c r="AF67" s="1281">
        <v>22</v>
      </c>
    </row>
    <row s="7669" customFormat="1" customHeight="1" ht="47.25" hidden="1">
      <c r="A68" s="2492"/>
      <c r="C68" s="1757"/>
      <c r="D68" s="1759"/>
      <c r="E68" s="667" t="str">
        <f>FHD_NUM_P_32</f>
        <v/>
      </c>
      <c r="F68" s="1771" t="str">
        <f>FHD_P_32</f>
        <v/>
      </c>
      <c r="G68" s="1999" t="s">
        <v>330</v>
      </c>
      <c r="H68" s="1770" t="s">
        <v>597</v>
      </c>
      <c r="I68" s="1770" t="s">
        <v>597</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669" customFormat="1" customHeight="1" ht="11.549999999999999">
      <c r="A69" s="1108"/>
      <c r="C69" s="1757"/>
      <c r="D69" s="1759"/>
      <c r="E69" s="667" t="str">
        <f>FHD_NUM_P_33</f>
        <v>2.13</v>
      </c>
      <c r="F69" s="164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0" t="s">
        <v>574</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7" t="str">
        <f>IF((LEN(E69)-LEN(SUBSTITUTE(E69,".","")))/LEN(".")=1,"p","")</f>
        <v>p</v>
      </c>
      <c r="L69" s="1757"/>
      <c r="M69" s="1757"/>
      <c r="R69" s="1757"/>
      <c r="U69" s="665"/>
      <c r="AA69" s="1753"/>
      <c r="AB69" s="1753"/>
      <c r="AC69" s="1753"/>
      <c r="AD69" s="1753"/>
      <c r="AE69" s="1753"/>
      <c r="AF69" s="1281">
        <v>11</v>
      </c>
    </row>
    <row s="7217" customFormat="1" customHeight="1" ht="1.05">
      <c r="A70" s="1288"/>
      <c r="D70" s="669"/>
      <c r="E70" s="1134" t="str">
        <f>E69&amp;".0"</f>
        <v>2.13.0</v>
      </c>
      <c r="F70" s="1112"/>
      <c r="G70" s="1134"/>
      <c r="H70" s="1113"/>
      <c r="I70" s="1113"/>
      <c r="J70" s="1114"/>
      <c r="K70" s="1757" t="str">
        <f>IF((LEN(E70)-LEN(SUBSTITUTE(E70,".","")))/LEN(".")=1,"p","")</f>
        <v/>
      </c>
      <c r="AF70" s="1757">
        <v>1</v>
      </c>
    </row>
    <row s="7669" customFormat="1" customHeight="1" ht="14.699999999999998">
      <c r="A71" s="1108"/>
      <c r="C71" s="1757"/>
      <c r="D71" s="1754"/>
      <c r="E71" s="691"/>
      <c r="F71" s="692" t="s">
        <v>599</v>
      </c>
      <c r="G71" s="693"/>
      <c r="H71" s="694"/>
      <c r="I71" s="694"/>
      <c r="J71" s="422"/>
      <c r="K71" s="1757"/>
      <c r="L71" s="1757"/>
      <c r="M71" s="1757"/>
      <c r="R71" s="1757"/>
      <c r="U71" s="665"/>
      <c r="AA71" s="1753"/>
      <c r="AB71" s="1753"/>
      <c r="AC71" s="1753"/>
      <c r="AD71" s="1753"/>
      <c r="AE71" s="1753"/>
      <c r="AF71" s="1281">
        <v>14</v>
      </c>
    </row>
    <row s="7669" customFormat="1" customHeight="1" ht="18.75">
      <c r="A72" s="1110" t="s">
        <v>600</v>
      </c>
      <c r="C72" s="1757"/>
      <c r="D72" s="1759"/>
      <c r="E72" s="667" t="str">
        <f>FHD_NUM_P_34</f>
        <v>3</v>
      </c>
      <c r="F72" s="2001" t="str">
        <f>FHD_P_34</f>
        <v>Валовая прибыль (убытки) от реализации товаров и оказания услуг по регулируемому виду деятельности</v>
      </c>
      <c r="G72" s="1999" t="s">
        <v>574</v>
      </c>
      <c r="H72" s="678"/>
      <c r="I72" s="678"/>
      <c r="J72" s="410" t="str">
        <f>FHD_NOTE_P_34</f>
        <v/>
      </c>
      <c r="K72" s="664"/>
      <c r="L72" s="1757"/>
      <c r="M72" s="1757"/>
      <c r="R72" s="1757"/>
      <c r="U72" s="665"/>
      <c r="AA72" s="1753"/>
      <c r="AB72" s="1753"/>
      <c r="AC72" s="1753"/>
      <c r="AD72" s="1753"/>
      <c r="AE72" s="1753"/>
      <c r="AF72" s="1281">
        <v>0</v>
      </c>
    </row>
    <row s="7669" customFormat="1" customHeight="1" ht="19.95">
      <c r="A73" s="1108"/>
      <c r="C73" s="1757"/>
      <c r="D73" s="696"/>
      <c r="E73" s="667" t="str">
        <f>FHD_NUM_P_35</f>
        <v>4</v>
      </c>
      <c r="F73" s="2001" t="str">
        <f>FHD_P_35</f>
        <v>Чистая прибыль, полученная от регулируемого вида деятельности, в том числе:</v>
      </c>
      <c r="G73" s="1999" t="s">
        <v>574</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669" customFormat="1" customHeight="1" ht="19.95">
      <c r="A74" s="1108"/>
      <c r="C74" s="1757"/>
      <c r="D74" s="1759"/>
      <c r="E74" s="667" t="str">
        <f>FHD_NUM_P_36</f>
        <v>4.1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9" t="s">
        <v>574</v>
      </c>
      <c r="H74" s="678"/>
      <c r="I74" s="678"/>
      <c r="J74" s="410" t="str">
        <f>FHD_NOTE_P_36</f>
        <v/>
      </c>
      <c r="K74" s="664"/>
      <c r="L74" s="1757"/>
      <c r="M74" s="1757"/>
      <c r="R74" s="1757"/>
      <c r="U74" s="665"/>
      <c r="AA74" s="1753"/>
      <c r="AB74" s="1753"/>
      <c r="AC74" s="1753"/>
      <c r="AD74" s="1753"/>
      <c r="AE74" s="1753"/>
      <c r="AF74" s="1281">
        <v>19</v>
      </c>
    </row>
    <row s="7669" customFormat="1" customHeight="1" ht="19.95">
      <c r="A75" s="1108"/>
      <c r="C75" s="1757"/>
      <c r="D75" s="1759"/>
      <c r="E75" s="667" t="str">
        <f>FHD_NUM_P_37</f>
        <v>5</v>
      </c>
      <c r="F75" s="2001" t="str">
        <f>FHD_P_37</f>
        <v>Изменение стоимости основных фондов, в том числе:</v>
      </c>
      <c r="G75" s="1999" t="s">
        <v>574</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669" customFormat="1" customHeight="1" ht="19.95">
      <c r="A76" s="1108"/>
      <c r="C76" s="1757"/>
      <c r="D76" s="1759"/>
      <c r="E76" s="667" t="str">
        <f>FHD_NUM_P_38</f>
        <v>5.1</v>
      </c>
      <c r="F76" s="1645" t="str">
        <f>FHD_P_38</f>
        <v>Изменение стоимости основных фондов за счет:</v>
      </c>
      <c r="G76" s="1999" t="s">
        <v>574</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669" customFormat="1" customHeight="1" ht="19.95">
      <c r="A77" s="1108"/>
      <c r="C77" s="1757"/>
      <c r="D77" s="1759"/>
      <c r="E77" s="667" t="str">
        <f>FHD_NUM_P_39</f>
        <v>5.1.1</v>
      </c>
      <c r="F77" s="1771" t="str">
        <f>FHD_P_39</f>
        <v>Изменения стоимости основных фондов за счет их ввода в эксплуатацию</v>
      </c>
      <c r="G77" s="2193" t="s">
        <v>574</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669" customFormat="1" customHeight="1" ht="19.95">
      <c r="A78" s="1108"/>
      <c r="C78" s="1757"/>
      <c r="D78" s="1759"/>
      <c r="E78" s="667" t="str">
        <f>FHD_NUM_P_40</f>
        <v>5.1.2</v>
      </c>
      <c r="F78" s="2197" t="str">
        <f>FHD_P_40</f>
        <v>Изменения стоимости основных фондов за счет их вывода в эксплуатацию</v>
      </c>
      <c r="G78" s="2192" t="s">
        <v>574</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669" customFormat="1" customHeight="1" ht="19.95">
      <c r="A79" s="1108"/>
      <c r="C79" s="1757"/>
      <c r="D79" s="1759"/>
      <c r="E79" s="667" t="str">
        <f>FHD_NUM_P_41</f>
        <v>5.2</v>
      </c>
      <c r="F79" s="2196" t="str">
        <f>FHD_P_41</f>
        <v>Изменение стоимости основных фондов за счет их переоценки</v>
      </c>
      <c r="G79" s="2192" t="s">
        <v>574</v>
      </c>
      <c r="H79" s="1097"/>
      <c r="I79" s="678"/>
      <c r="J79" s="410" t="str">
        <f>FHD_NOTE_P_41</f>
        <v/>
      </c>
      <c r="K79" s="664"/>
      <c r="L79" s="1757"/>
      <c r="M79" s="1757"/>
      <c r="R79" s="1757"/>
      <c r="U79" s="665"/>
      <c r="AA79" s="1753"/>
      <c r="AB79" s="1753"/>
      <c r="AC79" s="1753"/>
      <c r="AD79" s="1753"/>
      <c r="AE79" s="1753"/>
      <c r="AF79" s="1281">
        <v>19</v>
      </c>
    </row>
    <row s="7669" customFormat="1" customHeight="1" ht="20.25" hidden="1">
      <c r="A80" s="1110" t="s">
        <v>601</v>
      </c>
      <c r="C80" s="1757"/>
      <c r="D80" s="1759"/>
      <c r="E80" s="667" t="str">
        <f>FHD_NUM_P_42</f>
        <v/>
      </c>
      <c r="F80" s="2194" t="str">
        <f>FHD_P_42</f>
        <v/>
      </c>
      <c r="G80" s="2192" t="s">
        <v>574</v>
      </c>
      <c r="H80" s="1097"/>
      <c r="I80" s="678"/>
      <c r="J80" s="410" t="str">
        <f>FHD_NOTE_P_42</f>
        <v/>
      </c>
      <c r="K80" s="664"/>
      <c r="L80" s="1757"/>
      <c r="M80" s="1757"/>
      <c r="R80" s="1757"/>
      <c r="U80" s="665"/>
      <c r="AA80" s="1753"/>
      <c r="AB80" s="1753"/>
      <c r="AC80" s="1753"/>
      <c r="AD80" s="1753"/>
      <c r="AE80" s="1753"/>
      <c r="AF80" s="1281">
        <v>19</v>
      </c>
    </row>
    <row s="7669" customFormat="1" customHeight="1" ht="19.95">
      <c r="A81" s="1108"/>
      <c r="C81" s="1757"/>
      <c r="D81" s="1759"/>
      <c r="E81" s="667" t="str">
        <f>FHD_NUM_P_43</f>
        <v>6</v>
      </c>
      <c r="F81" s="2001" t="str">
        <f>FHD_P_43</f>
        <v>Годовая бухгалтерская (финансовая) отчетность, включая бухгалтерский баланс и приложения к нему</v>
      </c>
      <c r="G81" s="2195" t="s">
        <v>330</v>
      </c>
      <c r="H81" s="1176"/>
      <c r="I81" s="939"/>
      <c r="J81" s="41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4"/>
      <c r="L81" s="1757"/>
      <c r="M81" s="1757"/>
      <c r="R81" s="1757"/>
      <c r="U81" s="665"/>
      <c r="AA81" s="1753"/>
      <c r="AB81" s="1753"/>
      <c r="AC81" s="1753"/>
      <c r="AD81" s="1753"/>
      <c r="AE81" s="1753"/>
      <c r="AF81" s="1281">
        <v>19</v>
      </c>
    </row>
    <row s="7669" customFormat="1" customHeight="1" ht="18.75" hidden="1">
      <c r="A82" s="2492" t="s">
        <v>602</v>
      </c>
      <c r="C82" s="856"/>
      <c r="D82" s="854"/>
      <c r="E82" s="667" t="str">
        <f>FHD_NUM_P_44</f>
        <v/>
      </c>
      <c r="F82" s="2001" t="str">
        <f>FHD_P_44</f>
        <v/>
      </c>
      <c r="G82" s="2002" t="s">
        <v>603</v>
      </c>
      <c r="H82" s="1098"/>
      <c r="I82" s="698"/>
      <c r="J82" s="410" t="str">
        <f>FHD_NOTE_P_44</f>
        <v/>
      </c>
      <c r="K82" s="855"/>
      <c r="L82" s="856"/>
      <c r="M82" s="856"/>
      <c r="R82" s="856"/>
      <c r="U82" s="857"/>
      <c r="AA82" s="858"/>
      <c r="AB82" s="858"/>
      <c r="AC82" s="858"/>
      <c r="AD82" s="858"/>
      <c r="AE82" s="858"/>
      <c r="AF82" s="1031">
        <v>0</v>
      </c>
    </row>
    <row s="7669" customFormat="1" customHeight="1" ht="18.75" hidden="1">
      <c r="A83" s="2492"/>
      <c r="C83" s="856"/>
      <c r="D83" s="854"/>
      <c r="E83" s="667" t="str">
        <f>FHD_NUM_P_45</f>
        <v/>
      </c>
      <c r="F83" s="2001" t="str">
        <f>FHD_P_45</f>
        <v/>
      </c>
      <c r="G83" s="2002" t="s">
        <v>603</v>
      </c>
      <c r="H83" s="1098"/>
      <c r="I83" s="698"/>
      <c r="J83" s="410" t="str">
        <f>FHD_NOTE_P_45</f>
        <v/>
      </c>
      <c r="K83" s="855"/>
      <c r="L83" s="856"/>
      <c r="M83" s="856"/>
      <c r="R83" s="856"/>
      <c r="U83" s="857"/>
      <c r="AA83" s="858"/>
      <c r="AB83" s="858"/>
      <c r="AC83" s="858"/>
      <c r="AD83" s="858"/>
      <c r="AE83" s="858"/>
      <c r="AF83" s="1031">
        <v>0</v>
      </c>
    </row>
    <row s="7669" customFormat="1" customHeight="1" ht="18.75" hidden="1">
      <c r="A84" s="2492"/>
      <c r="C84" s="856"/>
      <c r="D84" s="859"/>
      <c r="E84" s="667" t="str">
        <f>FHD_NUM_P_46</f>
        <v/>
      </c>
      <c r="F84" s="2001" t="str">
        <f>FHD_P_46</f>
        <v/>
      </c>
      <c r="G84" s="2002" t="s">
        <v>603</v>
      </c>
      <c r="H84" s="1098"/>
      <c r="I84" s="698"/>
      <c r="J84" s="410" t="str">
        <f>FHD_NOTE_P_46</f>
        <v/>
      </c>
      <c r="K84" s="855"/>
      <c r="L84" s="856"/>
      <c r="M84" s="856"/>
      <c r="R84" s="856"/>
      <c r="U84" s="857"/>
      <c r="AA84" s="858"/>
      <c r="AB84" s="858"/>
      <c r="AC84" s="858"/>
      <c r="AD84" s="858"/>
      <c r="AE84" s="858"/>
      <c r="AF84" s="1031">
        <v>0</v>
      </c>
    </row>
    <row s="7669" customFormat="1" customHeight="1" ht="18.75" hidden="1">
      <c r="A85" s="2492"/>
      <c r="C85" s="856"/>
      <c r="D85" s="854"/>
      <c r="E85" s="667" t="str">
        <f>FHD_NUM_P_47</f>
        <v/>
      </c>
      <c r="F85" s="2001" t="str">
        <f>FHD_P_47</f>
        <v/>
      </c>
      <c r="G85" s="2002" t="s">
        <v>603</v>
      </c>
      <c r="H85" s="1098"/>
      <c r="I85" s="698"/>
      <c r="J85" s="410" t="str">
        <f>FHD_NOTE_P_47</f>
        <v/>
      </c>
      <c r="K85" s="855"/>
      <c r="L85" s="856"/>
      <c r="M85" s="856"/>
      <c r="R85" s="856"/>
      <c r="U85" s="857"/>
      <c r="AA85" s="858"/>
      <c r="AB85" s="858"/>
      <c r="AC85" s="858"/>
      <c r="AD85" s="858"/>
      <c r="AE85" s="858"/>
      <c r="AF85" s="1031">
        <v>0</v>
      </c>
    </row>
    <row s="7720" customFormat="1" customHeight="1" ht="18.75" hidden="1">
      <c r="A86" s="2492"/>
      <c r="B86" s="1031"/>
      <c r="C86" s="856"/>
      <c r="D86" s="854"/>
      <c r="E86" s="667" t="str">
        <f>FHD_NUM_P_48</f>
        <v/>
      </c>
      <c r="F86" s="2001" t="str">
        <f>FHD_P_48</f>
        <v/>
      </c>
      <c r="G86" s="2002" t="s">
        <v>603</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720" customFormat="1" customHeight="1" ht="18.75" hidden="1">
      <c r="A87" s="2492"/>
      <c r="B87" s="1031"/>
      <c r="C87" s="856"/>
      <c r="D87" s="854"/>
      <c r="E87" s="667" t="str">
        <f>FHD_NUM_P_49</f>
        <v/>
      </c>
      <c r="F87" s="2001" t="str">
        <f>FHD_P_49</f>
        <v/>
      </c>
      <c r="G87" s="2002" t="s">
        <v>603</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720" customFormat="1" customHeight="1" ht="18.75" hidden="1">
      <c r="A88" s="2492"/>
      <c r="B88" s="1031"/>
      <c r="C88" s="856"/>
      <c r="D88" s="854"/>
      <c r="E88" s="667" t="str">
        <f>FHD_NUM_P_50</f>
        <v/>
      </c>
      <c r="F88" s="2001" t="str">
        <f>FHD_P_50</f>
        <v/>
      </c>
      <c r="G88" s="2002" t="s">
        <v>603</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720" customFormat="1" customHeight="1" ht="18.75" hidden="1">
      <c r="A89" s="2492"/>
      <c r="B89" s="1031"/>
      <c r="C89" s="856"/>
      <c r="D89" s="854"/>
      <c r="E89" s="667" t="str">
        <f>FHD_NUM_P_51</f>
        <v/>
      </c>
      <c r="F89" s="2001" t="str">
        <f>FHD_P_51</f>
        <v/>
      </c>
      <c r="G89" s="2002" t="s">
        <v>603</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720" customFormat="1" customHeight="1" ht="18.75" hidden="1">
      <c r="A90" s="2492"/>
      <c r="B90" s="1031"/>
      <c r="C90" s="856"/>
      <c r="D90" s="854"/>
      <c r="E90" s="667" t="str">
        <f>FHD_NUM_P_52</f>
        <v/>
      </c>
      <c r="F90" s="2001" t="str">
        <f>FHD_P_52</f>
        <v/>
      </c>
      <c r="G90" s="2002" t="s">
        <v>580</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669" customFormat="1" customHeight="1" ht="18.75" hidden="1">
      <c r="A91" s="2494" t="s">
        <v>604</v>
      </c>
      <c r="C91" s="856"/>
      <c r="D91" s="854"/>
      <c r="E91" s="667" t="str">
        <f>FHD_NUM_P_53</f>
        <v/>
      </c>
      <c r="F91" s="2001" t="str">
        <f>FHD_P_53</f>
        <v/>
      </c>
      <c r="G91" s="2002" t="s">
        <v>603</v>
      </c>
      <c r="H91" s="1098"/>
      <c r="I91" s="698"/>
      <c r="J91" s="410" t="str">
        <f>FHD_NOTE_P_53</f>
        <v/>
      </c>
      <c r="K91" s="855"/>
      <c r="L91" s="856"/>
      <c r="M91" s="856"/>
      <c r="R91" s="856"/>
      <c r="U91" s="857"/>
      <c r="AA91" s="858"/>
      <c r="AB91" s="858"/>
      <c r="AC91" s="858"/>
      <c r="AD91" s="858"/>
      <c r="AE91" s="858"/>
      <c r="AF91" s="1031">
        <v>0</v>
      </c>
    </row>
    <row s="7669" customFormat="1" customHeight="1" ht="18.75" hidden="1">
      <c r="A92" s="2494"/>
      <c r="C92" s="856"/>
      <c r="D92" s="854"/>
      <c r="E92" s="667" t="str">
        <f>FHD_NUM_P_54</f>
        <v/>
      </c>
      <c r="F92" s="2001" t="str">
        <f>FHD_P_54</f>
        <v/>
      </c>
      <c r="G92" s="2002" t="s">
        <v>603</v>
      </c>
      <c r="H92" s="1098"/>
      <c r="I92" s="698"/>
      <c r="J92" s="410" t="str">
        <f>FHD_NOTE_P_54</f>
        <v/>
      </c>
      <c r="K92" s="855"/>
      <c r="L92" s="856"/>
      <c r="M92" s="856"/>
      <c r="R92" s="856"/>
      <c r="U92" s="857"/>
      <c r="AA92" s="858"/>
      <c r="AB92" s="858"/>
      <c r="AC92" s="858"/>
      <c r="AD92" s="858"/>
      <c r="AE92" s="858"/>
      <c r="AF92" s="1031">
        <v>0</v>
      </c>
    </row>
    <row s="7669" customFormat="1" customHeight="1" ht="18.75" hidden="1">
      <c r="A93" s="2494"/>
      <c r="C93" s="856"/>
      <c r="D93" s="859"/>
      <c r="E93" s="667" t="str">
        <f>FHD_NUM_P_55</f>
        <v/>
      </c>
      <c r="F93" s="2001" t="str">
        <f>FHD_P_55</f>
        <v/>
      </c>
      <c r="G93" s="2005"/>
      <c r="H93" s="1098"/>
      <c r="I93" s="698"/>
      <c r="J93" s="410" t="str">
        <f>FHD_NOTE_P_55</f>
        <v/>
      </c>
      <c r="K93" s="855"/>
      <c r="L93" s="856"/>
      <c r="M93" s="856"/>
      <c r="R93" s="856"/>
      <c r="U93" s="857"/>
      <c r="AA93" s="858"/>
      <c r="AB93" s="858"/>
      <c r="AC93" s="858"/>
      <c r="AD93" s="858"/>
      <c r="AE93" s="858"/>
      <c r="AF93" s="1031">
        <v>0</v>
      </c>
    </row>
    <row s="7669" customFormat="1" customHeight="1" ht="18.75" hidden="1">
      <c r="A94" s="2494"/>
      <c r="C94" s="856"/>
      <c r="D94" s="854"/>
      <c r="E94" s="667" t="str">
        <f>FHD_NUM_P_56</f>
        <v/>
      </c>
      <c r="F94" s="2001" t="str">
        <f>FHD_P_56</f>
        <v/>
      </c>
      <c r="G94" s="2002" t="s">
        <v>605</v>
      </c>
      <c r="H94" s="1098"/>
      <c r="I94" s="698"/>
      <c r="J94" s="410" t="str">
        <f>FHD_NOTE_P_56</f>
        <v/>
      </c>
      <c r="K94" s="855"/>
      <c r="L94" s="856"/>
      <c r="M94" s="856"/>
      <c r="R94" s="856"/>
      <c r="U94" s="857"/>
      <c r="AA94" s="858"/>
      <c r="AB94" s="858"/>
      <c r="AC94" s="858"/>
      <c r="AD94" s="858"/>
      <c r="AE94" s="858"/>
      <c r="AF94" s="1031">
        <v>0</v>
      </c>
    </row>
    <row s="7720" customFormat="1" customHeight="1" ht="18.75" hidden="1">
      <c r="A95" s="2494"/>
      <c r="B95" s="1031"/>
      <c r="C95" s="856"/>
      <c r="D95" s="854"/>
      <c r="E95" s="667" t="str">
        <f>FHD_NUM_P_57</f>
        <v/>
      </c>
      <c r="F95" s="2001" t="str">
        <f>FHD_P_57</f>
        <v/>
      </c>
      <c r="G95" s="2002" t="s">
        <v>580</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492" t="s">
        <v>606</v>
      </c>
      <c r="D96" s="1759"/>
      <c r="E96" s="667" t="str">
        <f>FHD_NUM_P_58</f>
        <v/>
      </c>
      <c r="F96" s="2001" t="str">
        <f>FHD_P_58</f>
        <v/>
      </c>
      <c r="G96" s="2002" t="s">
        <v>603</v>
      </c>
      <c r="H96" s="1098"/>
      <c r="I96" s="698"/>
      <c r="J96" s="410" t="str">
        <f>FHD_NOTE_P_58</f>
        <v/>
      </c>
      <c r="K96" s="664"/>
      <c r="AF96" s="1752">
        <v>0</v>
      </c>
    </row>
    <row customHeight="1" ht="18.75" hidden="1">
      <c r="A97" s="2492"/>
      <c r="D97" s="1759"/>
      <c r="E97" s="667" t="str">
        <f>FHD_NUM_P_59</f>
        <v/>
      </c>
      <c r="F97" s="2001" t="str">
        <f>FHD_P_59</f>
        <v/>
      </c>
      <c r="G97" s="2002" t="s">
        <v>603</v>
      </c>
      <c r="H97" s="1098"/>
      <c r="I97" s="698"/>
      <c r="J97" s="410" t="str">
        <f>FHD_NOTE_P_59</f>
        <v/>
      </c>
      <c r="K97" s="664"/>
      <c r="AF97" s="1752">
        <v>0</v>
      </c>
    </row>
    <row customHeight="1" ht="18.75" hidden="1">
      <c r="A98" s="2492"/>
      <c r="D98" s="1759"/>
      <c r="E98" s="667" t="str">
        <f>FHD_NUM_P_60</f>
        <v/>
      </c>
      <c r="F98" s="2001" t="str">
        <f>FHD_P_60</f>
        <v/>
      </c>
      <c r="G98" s="2002" t="s">
        <v>603</v>
      </c>
      <c r="H98" s="1098"/>
      <c r="I98" s="698"/>
      <c r="J98" s="410" t="str">
        <f>FHD_NOTE_P_60</f>
        <v/>
      </c>
      <c r="K98" s="664"/>
      <c r="AF98" s="1752">
        <v>0</v>
      </c>
    </row>
    <row s="7669" customFormat="1" customHeight="1" ht="18.75">
      <c r="A99" s="2492" t="s">
        <v>607</v>
      </c>
      <c r="C99" s="1757"/>
      <c r="D99" s="1759"/>
      <c r="E99" s="667" t="str">
        <f>FHD_NUM_P_61</f>
        <v>7</v>
      </c>
      <c r="F99" s="20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9" t="s">
        <v>578</v>
      </c>
      <c r="H99" s="1100"/>
      <c r="I99" s="863"/>
      <c r="J99" s="41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4"/>
      <c r="L99" s="1757"/>
      <c r="M99" s="1757"/>
      <c r="R99" s="1757"/>
      <c r="U99" s="665"/>
      <c r="AA99" s="1753"/>
      <c r="AB99" s="1753"/>
      <c r="AC99" s="1753"/>
      <c r="AD99" s="1753"/>
      <c r="AE99" s="1753"/>
      <c r="AF99" s="1281">
        <v>0</v>
      </c>
    </row>
    <row s="7217" customFormat="1" customHeight="1" ht="0.75">
      <c r="A100" s="2492"/>
      <c r="D100" s="669"/>
      <c r="E100" s="1134" t="str">
        <f>E99&amp;".0"</f>
        <v>7.0</v>
      </c>
      <c r="F100" s="1115"/>
      <c r="G100" s="1116"/>
      <c r="H100" s="1113"/>
      <c r="I100" s="1113"/>
      <c r="J100" s="1117"/>
      <c r="AF100" s="1757">
        <v>0</v>
      </c>
    </row>
    <row customHeight="1" ht="15">
      <c r="A101" s="2492"/>
      <c r="D101" s="1754"/>
      <c r="E101" s="1092"/>
      <c r="F101" s="1093" t="s">
        <v>608</v>
      </c>
      <c r="G101" s="693"/>
      <c r="H101" s="694"/>
      <c r="I101" s="694"/>
      <c r="J101" s="1125" t="s">
        <v>609</v>
      </c>
      <c r="K101" s="664"/>
      <c r="AF101" s="1752">
        <v>0</v>
      </c>
    </row>
    <row s="7669" customFormat="1" customHeight="1" ht="18.75">
      <c r="A102" s="2492"/>
      <c r="C102" s="1757"/>
      <c r="D102" s="1759"/>
      <c r="E102" s="667" t="str">
        <f>FHD_NUM_P_62</f>
        <v>8</v>
      </c>
      <c r="F102" s="2001" t="str">
        <f>FHD_P_62</f>
        <v>Тепловая нагрузка по договорам, заключенным в рамках осуществления регулируемых видов деятельности</v>
      </c>
      <c r="G102" s="1998" t="s">
        <v>578</v>
      </c>
      <c r="H102" s="678"/>
      <c r="I102" s="678"/>
      <c r="J102" s="41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4"/>
      <c r="L102" s="1757"/>
      <c r="M102" s="1757"/>
      <c r="R102" s="1757"/>
      <c r="U102" s="665"/>
      <c r="AA102" s="1753"/>
      <c r="AB102" s="1753"/>
      <c r="AC102" s="1753"/>
      <c r="AD102" s="1753"/>
      <c r="AE102" s="1753"/>
      <c r="AF102" s="1281">
        <v>0</v>
      </c>
    </row>
    <row s="7669" customFormat="1" customHeight="1" ht="18.75">
      <c r="A103" s="2492"/>
      <c r="C103" s="1757"/>
      <c r="D103" s="1759"/>
      <c r="E103" s="667" t="str">
        <f>FHD_NUM_P_63</f>
        <v>9</v>
      </c>
      <c r="F103" s="2001" t="str">
        <f>FHD_P_63</f>
        <v>Объем вырабатываемой регулируемой организацией тепловой энергии в рамках осуществления регулируемых видов деятельности</v>
      </c>
      <c r="G103" s="1998" t="s">
        <v>605</v>
      </c>
      <c r="H103" s="698"/>
      <c r="I103" s="698"/>
      <c r="J103" s="41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4"/>
      <c r="L103" s="1757"/>
      <c r="M103" s="1757"/>
      <c r="R103" s="1757"/>
      <c r="U103" s="665"/>
      <c r="AA103" s="1753"/>
      <c r="AB103" s="1753"/>
      <c r="AC103" s="1753"/>
      <c r="AD103" s="1753"/>
      <c r="AE103" s="1753"/>
      <c r="AF103" s="1281">
        <v>0</v>
      </c>
    </row>
    <row s="7669" customFormat="1" customHeight="1" ht="18.75">
      <c r="A104" s="2492"/>
      <c r="C104" s="1757" t="s">
        <v>610</v>
      </c>
      <c r="D104" s="1759"/>
      <c r="E104" s="667" t="str">
        <f>FHD_NUM_P_64</f>
        <v>9.1</v>
      </c>
      <c r="F104" s="2001" t="str">
        <f>FHD_P_64</f>
        <v>Объем приобретаемой регулируемой организацией тепловой энергии в рамках осуществления регулируемых видов деятельности</v>
      </c>
      <c r="G104" s="1998" t="s">
        <v>605</v>
      </c>
      <c r="H104" s="666"/>
      <c r="I104" s="666"/>
      <c r="J104" s="410" t="str">
        <f>FHD_NOTE_P_64</f>
        <v>Информация указывается только едиными теплоснабжающими организациями.</v>
      </c>
      <c r="K104" s="664"/>
      <c r="L104" s="1757"/>
      <c r="M104" s="1757"/>
      <c r="R104" s="1757"/>
      <c r="U104" s="665"/>
      <c r="AA104" s="1753"/>
      <c r="AB104" s="1753"/>
      <c r="AC104" s="1753"/>
      <c r="AD104" s="1753"/>
      <c r="AE104" s="1753"/>
      <c r="AF104" s="1281">
        <v>0</v>
      </c>
    </row>
    <row s="7669" customFormat="1" customHeight="1" ht="18.75">
      <c r="A105" s="2492"/>
      <c r="C105" s="1757"/>
      <c r="D105" s="1759"/>
      <c r="E105" s="667" t="str">
        <f>FHD_NUM_P_65</f>
        <v>10</v>
      </c>
      <c r="F105" s="20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8" t="s">
        <v>605</v>
      </c>
      <c r="H105" s="698"/>
      <c r="I105" s="698"/>
      <c r="J105" s="41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4"/>
      <c r="L105" s="1757"/>
      <c r="M105" s="1757"/>
      <c r="R105" s="1757"/>
      <c r="U105" s="665"/>
      <c r="AA105" s="1753"/>
      <c r="AB105" s="1753"/>
      <c r="AC105" s="1753"/>
      <c r="AD105" s="1753"/>
      <c r="AE105" s="1753"/>
      <c r="AF105" s="1281">
        <v>0</v>
      </c>
    </row>
    <row s="7669" customFormat="1" customHeight="1" ht="18.75">
      <c r="A106" s="2492"/>
      <c r="C106" s="1757"/>
      <c r="D106" s="1759"/>
      <c r="E106" s="667" t="str">
        <f>FHD_NUM_P_66</f>
        <v>10.1</v>
      </c>
      <c r="F106" s="1645" t="str">
        <f>FHD_P_66</f>
        <v>По приборам учёта </v>
      </c>
      <c r="G106" s="1998" t="s">
        <v>605</v>
      </c>
      <c r="H106" s="698"/>
      <c r="I106" s="698"/>
      <c r="J106" s="410" t="str">
        <f>FHD_NOTE_P_66</f>
        <v/>
      </c>
      <c r="K106" s="664"/>
      <c r="L106" s="1757"/>
      <c r="M106" s="1757"/>
      <c r="R106" s="1757"/>
      <c r="U106" s="665"/>
      <c r="AA106" s="1753"/>
      <c r="AB106" s="1753"/>
      <c r="AC106" s="1753"/>
      <c r="AD106" s="1753"/>
      <c r="AE106" s="1753"/>
      <c r="AF106" s="1281">
        <v>0</v>
      </c>
    </row>
    <row s="7669" customFormat="1" customHeight="1" ht="18.75">
      <c r="A107" s="2492"/>
      <c r="C107" s="1757"/>
      <c r="D107" s="1759"/>
      <c r="E107" s="667" t="str">
        <f>FHD_NUM_P_67</f>
        <v>10.1.1</v>
      </c>
      <c r="F107" s="17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8" t="s">
        <v>605</v>
      </c>
      <c r="H107" s="698"/>
      <c r="I107" s="698"/>
      <c r="J107" s="410" t="str">
        <f>FHD_NOTE_P_67</f>
        <v/>
      </c>
      <c r="K107" s="664"/>
      <c r="L107" s="1757"/>
      <c r="M107" s="1757"/>
      <c r="R107" s="1757"/>
      <c r="U107" s="665"/>
      <c r="AA107" s="1753"/>
      <c r="AB107" s="1753"/>
      <c r="AC107" s="1753"/>
      <c r="AD107" s="1753"/>
      <c r="AE107" s="1753"/>
      <c r="AF107" s="1281">
        <v>0</v>
      </c>
    </row>
    <row s="7669" customFormat="1" customHeight="1" ht="18.75">
      <c r="A108" s="2492"/>
      <c r="C108" s="1757"/>
      <c r="D108" s="1759"/>
      <c r="E108" s="667" t="str">
        <f>FHD_NUM_P_68</f>
        <v>10.2</v>
      </c>
      <c r="F108" s="1645" t="str">
        <f>FHD_P_68</f>
        <v>Расчётным путём</v>
      </c>
      <c r="G108" s="1998" t="s">
        <v>605</v>
      </c>
      <c r="H108" s="698"/>
      <c r="I108" s="698"/>
      <c r="J108" s="410" t="str">
        <f>FHD_NOTE_P_68</f>
        <v/>
      </c>
      <c r="K108" s="664"/>
      <c r="L108" s="1757"/>
      <c r="M108" s="1757"/>
      <c r="R108" s="1757"/>
      <c r="U108" s="665"/>
      <c r="AA108" s="1753"/>
      <c r="AB108" s="1753"/>
      <c r="AC108" s="1753"/>
      <c r="AD108" s="1753"/>
      <c r="AE108" s="1753"/>
      <c r="AF108" s="1281">
        <v>0</v>
      </c>
    </row>
    <row s="7669" customFormat="1" customHeight="1" ht="18.75">
      <c r="A109" s="2492"/>
      <c r="C109" s="1757"/>
      <c r="D109" s="1759"/>
      <c r="E109" s="667" t="str">
        <f>FHD_NUM_P_69</f>
        <v>10.3</v>
      </c>
      <c r="F109" s="1645" t="str">
        <f>FHD_P_69</f>
        <v>По нормативам потребления коммунальных услуг и нормативам потребления коммунальных ресурсов</v>
      </c>
      <c r="G109" s="1998" t="s">
        <v>605</v>
      </c>
      <c r="H109" s="698"/>
      <c r="I109" s="698"/>
      <c r="J109" s="410" t="str">
        <f>FHD_NOTE_P_69</f>
        <v/>
      </c>
      <c r="K109" s="664"/>
      <c r="L109" s="1757"/>
      <c r="M109" s="1757"/>
      <c r="R109" s="1757"/>
      <c r="U109" s="665"/>
      <c r="AA109" s="1753"/>
      <c r="AB109" s="1753"/>
      <c r="AC109" s="1753"/>
      <c r="AD109" s="1753"/>
      <c r="AE109" s="1753"/>
      <c r="AF109" s="1281">
        <v>0</v>
      </c>
    </row>
    <row s="7669" customFormat="1" customHeight="1" ht="22.5">
      <c r="A110" s="2492"/>
      <c r="C110" s="1757"/>
      <c r="D110" s="1759"/>
      <c r="E110" s="667" t="str">
        <f>FHD_NUM_P_70</f>
        <v>11</v>
      </c>
      <c r="F110" s="200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8" t="s">
        <v>611</v>
      </c>
      <c r="H110" s="678"/>
      <c r="I110" s="678"/>
      <c r="J110" s="410" t="str">
        <f>FHD_NOTE_P_70</f>
        <v/>
      </c>
      <c r="K110" s="664"/>
      <c r="L110" s="1757"/>
      <c r="M110" s="1757"/>
      <c r="R110" s="1757"/>
      <c r="U110" s="665"/>
      <c r="AA110" s="1753"/>
      <c r="AB110" s="1753"/>
      <c r="AC110" s="1753"/>
      <c r="AD110" s="1753"/>
      <c r="AE110" s="1753"/>
      <c r="AF110" s="1281">
        <v>0</v>
      </c>
    </row>
    <row s="7669" customFormat="1" customHeight="1" ht="22.5">
      <c r="A111" s="2492"/>
      <c r="C111" s="1757"/>
      <c r="D111" s="1759"/>
      <c r="E111" s="667" t="str">
        <f>FHD_NUM_P_71</f>
        <v>12</v>
      </c>
      <c r="F111" s="2001" t="str">
        <f>FHD_P_71</f>
        <v>Фактический объем потерь при передаче тепловой энергии</v>
      </c>
      <c r="G111" s="1998" t="s">
        <v>611</v>
      </c>
      <c r="H111" s="678"/>
      <c r="I111" s="678"/>
      <c r="J111" s="410" t="str">
        <f>FHD_NOTE_P_71</f>
        <v/>
      </c>
      <c r="K111" s="664"/>
      <c r="L111" s="1757"/>
      <c r="M111" s="1757"/>
      <c r="R111" s="1757"/>
      <c r="U111" s="665"/>
      <c r="AA111" s="1753"/>
      <c r="AB111" s="1753"/>
      <c r="AC111" s="1753"/>
      <c r="AD111" s="1753"/>
      <c r="AE111" s="1753"/>
      <c r="AF111" s="1281">
        <v>0</v>
      </c>
    </row>
    <row customHeight="1" ht="19.95">
      <c r="D112" s="1759"/>
      <c r="E112" s="667" t="str">
        <f>FHD_NUM_P_72</f>
        <v>13</v>
      </c>
      <c r="F112" s="2001" t="str">
        <f>FHD_P_72</f>
        <v>Среднесписочная численность основного производственного персонала</v>
      </c>
      <c r="G112" s="1997" t="s">
        <v>612</v>
      </c>
      <c r="H112" s="698"/>
      <c r="I112" s="698"/>
      <c r="J112" s="410" t="str">
        <f>FHD_NOTE_P_72</f>
        <v/>
      </c>
      <c r="K112" s="664"/>
      <c r="AF112" s="1752">
        <v>19</v>
      </c>
    </row>
    <row customHeight="1" ht="18.75">
      <c r="A113" s="1110" t="s">
        <v>613</v>
      </c>
      <c r="D113" s="1759"/>
      <c r="E113" s="667" t="str">
        <f>FHD_NUM_P_73</f>
        <v>14</v>
      </c>
      <c r="F113" s="2001" t="str">
        <f>FHD_P_73</f>
        <v>Среднесписочная численность административно-управленческого персонала</v>
      </c>
      <c r="G113" s="1091" t="s">
        <v>612</v>
      </c>
      <c r="H113" s="1089"/>
      <c r="I113" s="1089"/>
      <c r="J113" s="410" t="str">
        <f>FHD_NOTE_P_73</f>
        <v/>
      </c>
      <c r="K113" s="664"/>
      <c r="AF113" s="1752">
        <v>0</v>
      </c>
    </row>
    <row customHeight="1" ht="33.75" hidden="1">
      <c r="A114" s="1110" t="s">
        <v>614</v>
      </c>
      <c r="D114" s="1759"/>
      <c r="E114" s="667" t="str">
        <f>FHD_NUM_P_74</f>
        <v/>
      </c>
      <c r="F114" s="2001" t="str">
        <f>FHD_P_74</f>
        <v/>
      </c>
      <c r="G114" s="1997" t="s">
        <v>615</v>
      </c>
      <c r="H114" s="698"/>
      <c r="I114" s="698"/>
      <c r="J114" s="410" t="str">
        <f>FHD_NOTE_P_74</f>
        <v/>
      </c>
      <c r="K114" s="664"/>
      <c r="AF114" s="1752">
        <v>0</v>
      </c>
    </row>
    <row s="7720" customFormat="1" customHeight="1" ht="18.75" hidden="1">
      <c r="A115" s="2494" t="s">
        <v>616</v>
      </c>
      <c r="B115" s="1031"/>
      <c r="C115" s="856"/>
      <c r="D115" s="854"/>
      <c r="E115" s="667" t="str">
        <f>FHD_NUM_P_75</f>
        <v/>
      </c>
      <c r="F115" s="2001" t="str">
        <f>FHD_P_75</f>
        <v/>
      </c>
      <c r="G115" s="1997" t="s">
        <v>580</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720" customFormat="1" customHeight="1" ht="18.75" hidden="1">
      <c r="A116" s="2494"/>
      <c r="B116" s="1031"/>
      <c r="C116" s="856"/>
      <c r="D116" s="854"/>
      <c r="E116" s="667" t="str">
        <f>FHD_NUM_P_76</f>
        <v/>
      </c>
      <c r="F116" s="2001" t="str">
        <f>FHD_P_76</f>
        <v/>
      </c>
      <c r="G116" s="1997" t="s">
        <v>580</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720" customFormat="1" customHeight="1" ht="18.75" hidden="1">
      <c r="A117" s="2494"/>
      <c r="B117" s="1031"/>
      <c r="C117" s="856"/>
      <c r="D117" s="854"/>
      <c r="E117" s="667" t="str">
        <f>FHD_NUM_P_77</f>
        <v/>
      </c>
      <c r="F117" s="2001" t="str">
        <f>FHD_P_77</f>
        <v/>
      </c>
      <c r="G117" s="1997" t="s">
        <v>580</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7217" customFormat="1" customHeight="1" ht="0.75" hidden="1">
      <c r="A118" s="2494"/>
      <c r="D118" s="669"/>
      <c r="E118" s="1134" t="str">
        <f>E117&amp;".0"</f>
        <v>.0</v>
      </c>
      <c r="F118" s="1118"/>
      <c r="G118" s="1772"/>
      <c r="H118" s="1113"/>
      <c r="I118" s="1113"/>
      <c r="J118" s="1117"/>
      <c r="AF118" s="1757">
        <v>0</v>
      </c>
    </row>
    <row s="7720" customFormat="1" customHeight="1" ht="15" hidden="1">
      <c r="A119" s="2494"/>
      <c r="B119" s="1031"/>
      <c r="C119" s="856"/>
      <c r="D119" s="867"/>
      <c r="E119" s="1094"/>
      <c r="F119" s="1095" t="s">
        <v>617</v>
      </c>
      <c r="G119" s="868"/>
      <c r="H119" s="869"/>
      <c r="I119" s="869"/>
      <c r="J119" s="1124" t="s">
        <v>618</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c r="A120" s="2492" t="s">
        <v>619</v>
      </c>
      <c r="D120" s="1759"/>
      <c r="E120" s="667" t="str">
        <f>FHD_NUM_P_78</f>
        <v>15</v>
      </c>
      <c r="F120" s="20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8" t="s">
        <v>582</v>
      </c>
      <c r="H120" s="698"/>
      <c r="I120" s="698"/>
      <c r="J120" s="410" t="str">
        <f>FHD_NOTE_P_78</f>
        <v/>
      </c>
      <c r="K120" s="664"/>
      <c r="AF120" s="1752">
        <v>0</v>
      </c>
    </row>
    <row s="7217" customFormat="1" customHeight="1" ht="0.75">
      <c r="A121" s="2492"/>
      <c r="D121" s="669"/>
      <c r="E121" s="1134" t="str">
        <f>E120&amp;".0"</f>
        <v>15.0</v>
      </c>
      <c r="F121" s="1118"/>
      <c r="G121" s="1772"/>
      <c r="H121" s="1113"/>
      <c r="I121" s="1113"/>
      <c r="J121" s="1117"/>
      <c r="AF121" s="1757">
        <v>0</v>
      </c>
    </row>
    <row customHeight="1" ht="15">
      <c r="A122" s="2492"/>
      <c r="D122" s="1754"/>
      <c r="E122" s="691"/>
      <c r="F122" s="1289" t="s">
        <v>608</v>
      </c>
      <c r="G122" s="693"/>
      <c r="H122" s="694"/>
      <c r="I122" s="694"/>
      <c r="J122" s="1125" t="s">
        <v>620</v>
      </c>
      <c r="K122" s="664"/>
      <c r="AF122" s="1752">
        <v>0</v>
      </c>
    </row>
    <row customHeight="1" ht="22.5">
      <c r="A123" s="2492"/>
      <c r="D123" s="1759"/>
      <c r="E123" s="667" t="str">
        <f>FHD_NUM_P_79</f>
        <v>16</v>
      </c>
      <c r="F123" s="20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9" t="s">
        <v>584</v>
      </c>
      <c r="H123" s="698"/>
      <c r="I123" s="698"/>
      <c r="J123" s="41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4"/>
      <c r="AF123" s="1752">
        <v>0</v>
      </c>
    </row>
    <row s="7217" customFormat="1" customHeight="1" ht="0.75">
      <c r="A124" s="2492"/>
      <c r="D124" s="669"/>
      <c r="E124" s="1134" t="str">
        <f>E123&amp;".0"</f>
        <v>16.0</v>
      </c>
      <c r="F124" s="1119"/>
      <c r="G124" s="1772"/>
      <c r="H124" s="1113"/>
      <c r="I124" s="1113"/>
      <c r="J124" s="1117"/>
      <c r="AF124" s="1757">
        <v>0</v>
      </c>
    </row>
    <row customHeight="1" ht="15">
      <c r="A125" s="2492"/>
      <c r="D125" s="1754"/>
      <c r="E125" s="691"/>
      <c r="F125" s="1289" t="s">
        <v>608</v>
      </c>
      <c r="G125" s="693"/>
      <c r="H125" s="694"/>
      <c r="I125" s="694"/>
      <c r="J125" s="1125" t="s">
        <v>621</v>
      </c>
      <c r="K125" s="664"/>
      <c r="AF125" s="1752">
        <v>0</v>
      </c>
    </row>
    <row customHeight="1" ht="22.5">
      <c r="A126" s="2492"/>
      <c r="D126" s="1759"/>
      <c r="E126" s="667" t="str">
        <f>FHD_NUM_P_80</f>
        <v>17</v>
      </c>
      <c r="F126" s="20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9" t="s">
        <v>622</v>
      </c>
      <c r="H126" s="678"/>
      <c r="I126" s="678"/>
      <c r="J126" s="410" t="str">
        <f>FHD_NOTE_P_80</f>
        <v>Регулируемыми организациями указывается информация с по договорам, заключенным в рамках осуществления регулируемой деятельности.</v>
      </c>
      <c r="K126" s="664"/>
      <c r="AF126" s="1752">
        <v>0</v>
      </c>
    </row>
    <row customHeight="1" ht="18.75">
      <c r="A127" s="2492"/>
      <c r="D127" s="1759"/>
      <c r="E127" s="667" t="str">
        <f>FHD_NUM_P_81</f>
        <v>18</v>
      </c>
      <c r="F127" s="20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9" t="s">
        <v>623</v>
      </c>
      <c r="H127" s="678"/>
      <c r="I127" s="678"/>
      <c r="J127" s="410" t="str">
        <f>FHD_NOTE_P_81</f>
        <v>Регулируемыми организациями указывается информация с по договорам, заключенным в рамках осуществления регулируемой деятельности.</v>
      </c>
      <c r="K127" s="664"/>
      <c r="AF127" s="1752">
        <v>0</v>
      </c>
    </row>
    <row customHeight="1" ht="18.75">
      <c r="A128" s="2492"/>
      <c r="C128" s="1757" t="s">
        <v>610</v>
      </c>
      <c r="D128" s="1759"/>
      <c r="E128" s="667" t="str">
        <f>FHD_NUM_P_82</f>
        <v>19</v>
      </c>
      <c r="F128" s="20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9" t="s">
        <v>330</v>
      </c>
      <c r="H128" s="522"/>
      <c r="I128" s="522"/>
      <c r="J128" s="410" t="str">
        <f>FHD_NOTE_P_82</f>
        <v>Указывается ссылка на документ, предварительно загруженный в хранилище файлов ФГИС ЕИАС.</v>
      </c>
      <c r="K128" s="664"/>
      <c r="AF128" s="1752">
        <v>0</v>
      </c>
    </row>
    <row customHeight="1" ht="18.75">
      <c r="A129" s="2492"/>
      <c r="C129" s="1757" t="s">
        <v>610</v>
      </c>
      <c r="D129" s="1759"/>
      <c r="E129" s="667" t="str">
        <f>FHD_NUM_P_83</f>
        <v>19.1</v>
      </c>
      <c r="F129" s="1645" t="str">
        <f>FHD_P_83</f>
        <v>Информация о показателях физического износа объектов теплоснабжения</v>
      </c>
      <c r="G129" s="1999" t="s">
        <v>330</v>
      </c>
      <c r="H129" s="522"/>
      <c r="I129" s="522"/>
      <c r="J129" s="410" t="str">
        <f>FHD_NOTE_P_83</f>
        <v>Указывается ссылка на документ, предварительно загруженный в хранилище файлов ФГИС ЕИАС.</v>
      </c>
      <c r="K129" s="664"/>
      <c r="AF129" s="1752">
        <v>0</v>
      </c>
    </row>
    <row customHeight="1" ht="18.75">
      <c r="A130" s="2492"/>
      <c r="C130" s="1757" t="s">
        <v>610</v>
      </c>
      <c r="D130" s="1759"/>
      <c r="E130" s="667" t="str">
        <f>FHD_NUM_P_84</f>
        <v>19.2</v>
      </c>
      <c r="F130" s="1645" t="str">
        <f>FHD_P_84</f>
        <v>Информация о показателях энергетической эффективности объектов теплоснабжения</v>
      </c>
      <c r="G130" s="1999" t="s">
        <v>330</v>
      </c>
      <c r="H130" s="522"/>
      <c r="I130" s="522"/>
      <c r="J130" s="410" t="str">
        <f>FHD_NOTE_P_84</f>
        <v>Указывается ссылка на документ, предварительно загруженный в хранилище файлов ФГИС ЕИАС.</v>
      </c>
      <c r="K130" s="664"/>
      <c r="AF130" s="1752">
        <v>0</v>
      </c>
    </row>
    <row customHeight="1" ht="11.549999999999999">
      <c r="D131" s="1759"/>
      <c r="AF131" s="1752">
        <v>11</v>
      </c>
    </row>
    <row customHeight="1" ht="13.5">
      <c r="D132" s="1759"/>
      <c r="E132" s="457"/>
      <c r="F132" s="490"/>
      <c r="G132" s="490"/>
      <c r="H132" s="490"/>
      <c r="I132" s="1768"/>
      <c r="J132" s="702"/>
      <c r="AF132" s="1752">
        <v>13</v>
      </c>
    </row>
    <row s="6812"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81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81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812"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81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81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81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81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81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81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81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81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81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81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81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81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81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81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81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81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81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81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81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81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81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81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81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81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81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81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81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81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81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81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81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81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81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81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81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81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81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81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81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81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81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81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81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81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81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81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81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81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81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81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81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81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81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81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81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81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81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81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81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812"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812"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812"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812"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812"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812"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812"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812"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812"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812"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812"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812"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812"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812"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812"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812"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812"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812"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812"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812"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812"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812"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812"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812"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812"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812"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812"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812"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812"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812"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812"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812"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812"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812"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812"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812"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812"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812"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812"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812"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812"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812"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812"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812"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812"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812"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812"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812"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812"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812"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812"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812"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812"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812"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812"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812"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812"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812"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812"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812"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812"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812"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812"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812"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812"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812"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812"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812"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812"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812"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812"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812"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812"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812"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812"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812"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812"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812"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812"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812"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812"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812"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812"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812"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812"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812"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812"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812"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812"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812"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812"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812"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812"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82</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38D15-ABD4-187A-F7F9-0.DD70924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571" width="14.7109375" hidden="1" customWidth="1"/>
    <col min="2" max="2" style="8008" width="17.00390625" hidden="1" customWidth="1"/>
    <col min="3" max="3" style="7720" width="3.00390625" customWidth="1"/>
    <col min="4" max="4" style="7720" width="1.8515625" hidden="1" customWidth="1"/>
    <col min="5" max="6" style="7720" width="7.00390625" customWidth="1"/>
    <col min="7" max="7" style="7720" width="29.00390625" customWidth="1"/>
    <col min="8" max="8" style="7720" width="3.7109375" customWidth="1"/>
    <col min="9" max="9" style="7720" width="5.00390625" customWidth="1"/>
    <col min="10" max="11" style="7720" width="24.00390625" customWidth="1"/>
    <col min="12" max="12" style="7720" width="3.00390625" customWidth="1"/>
    <col min="13" max="13" style="7720" width="6.00390625" customWidth="1"/>
    <col min="14" max="14" style="7720" width="25.00390625" customWidth="1"/>
    <col min="15" max="18" style="7720" width="18.00390625" customWidth="1"/>
    <col min="19" max="19" style="7720" width="93.00390625" customWidth="1"/>
    <col min="20" max="20" style="7720" width="10.00390625" customWidth="1"/>
    <col min="21" max="21" style="7217" width="10.00390625" customWidth="1"/>
    <col min="22" max="22" style="7217" width="11.00390625" customWidth="1"/>
    <col min="23" max="27" style="8008" width="10.00390625" customWidth="1"/>
    <col min="28" max="83" style="7720" width="8.00390625" customWidth="1"/>
    <col min="84" max="84" style="7720"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8" t="str">
        <f>FHD20_NAME_FORM</f>
        <v>Форма 11. Информация о расходах на капитальный и текущий ремонт основных средств</v>
      </c>
      <c r="F5" s="2358"/>
      <c r="G5" s="2358"/>
      <c r="H5" s="2358"/>
      <c r="I5" s="2358"/>
      <c r="J5" s="2358"/>
      <c r="K5" s="2358"/>
      <c r="L5" s="734"/>
      <c r="M5" s="734"/>
      <c r="CF5" s="626">
        <v>28</v>
      </c>
    </row>
    <row s="7720" customFormat="1" customHeight="1" ht="16.8">
      <c r="A6" s="731"/>
      <c r="B6" s="880"/>
      <c r="C6" s="630"/>
      <c r="D6" s="1179"/>
      <c r="E6" s="2297" t="str">
        <f>IF(org=0,"Не определено",org)</f>
        <v>ПАО "ТГК-1" филиал "Невский"</v>
      </c>
      <c r="F6" s="2297"/>
      <c r="G6" s="2297"/>
      <c r="H6" s="2297"/>
      <c r="I6" s="2297"/>
      <c r="J6" s="2297"/>
      <c r="K6" s="2297"/>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812"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324</v>
      </c>
      <c r="F9" s="2223"/>
      <c r="G9" s="2223"/>
      <c r="H9" s="2223"/>
      <c r="I9" s="2223"/>
      <c r="J9" s="2223"/>
      <c r="K9" s="2223"/>
      <c r="L9" s="2223"/>
      <c r="M9" s="2223"/>
      <c r="N9" s="2223"/>
      <c r="O9" s="2223"/>
      <c r="P9" s="2223"/>
      <c r="Q9" s="2223"/>
      <c r="R9" s="2224"/>
      <c r="S9" s="2248" t="s">
        <v>325</v>
      </c>
      <c r="T9" s="455"/>
      <c r="CF9" s="626">
        <v>19</v>
      </c>
    </row>
    <row customHeight="1" ht="48.29999999999999">
      <c r="D10" s="672" t="s">
        <v>88</v>
      </c>
      <c r="E10" s="2248" t="s">
        <v>88</v>
      </c>
      <c r="F10" s="2248"/>
      <c r="G10" s="642" t="s">
        <v>326</v>
      </c>
      <c r="H10" s="2248" t="s">
        <v>88</v>
      </c>
      <c r="I10" s="2248"/>
      <c r="J10" s="642" t="s">
        <v>624</v>
      </c>
      <c r="K10" s="642" t="s">
        <v>625</v>
      </c>
      <c r="L10" s="2248" t="s">
        <v>88</v>
      </c>
      <c r="M10" s="2248"/>
      <c r="N10" s="642" t="s">
        <v>626</v>
      </c>
      <c r="O10" s="642" t="s">
        <v>627</v>
      </c>
      <c r="P10" s="642" t="s">
        <v>628</v>
      </c>
      <c r="Q10" s="642" t="s">
        <v>629</v>
      </c>
      <c r="R10" s="642" t="s">
        <v>630</v>
      </c>
      <c r="S10" s="2248"/>
      <c r="T10" s="455"/>
      <c r="CF10" s="626">
        <v>46</v>
      </c>
    </row>
    <row s="7217" customFormat="1" customHeight="1" ht="15" hidden="1">
      <c r="A11" s="1173"/>
      <c r="D11" s="1146" t="s">
        <v>123</v>
      </c>
      <c r="E11" s="1146"/>
      <c r="F11" s="1146" t="s">
        <v>103</v>
      </c>
      <c r="G11" s="1146" t="s">
        <v>90</v>
      </c>
      <c r="H11" s="1146"/>
      <c r="I11" s="1146" t="s">
        <v>91</v>
      </c>
      <c r="J11" s="1146" t="s">
        <v>124</v>
      </c>
      <c r="K11" s="1146" t="s">
        <v>92</v>
      </c>
      <c r="L11" s="1146"/>
      <c r="M11" s="1146" t="s">
        <v>93</v>
      </c>
      <c r="N11" s="1146" t="s">
        <v>125</v>
      </c>
      <c r="O11" s="1146" t="s">
        <v>161</v>
      </c>
      <c r="P11" s="1146" t="s">
        <v>162</v>
      </c>
      <c r="Q11" s="1146" t="s">
        <v>163</v>
      </c>
      <c r="R11" s="1146" t="s">
        <v>164</v>
      </c>
      <c r="S11" s="1146" t="s">
        <v>165</v>
      </c>
      <c r="U11" s="732"/>
      <c r="V11" s="732"/>
      <c r="W11" s="732"/>
      <c r="CF11" s="632">
        <v>0</v>
      </c>
    </row>
    <row s="7720" customFormat="1" customHeight="1" ht="1.05">
      <c r="A12" s="736"/>
      <c r="B12" s="483"/>
      <c r="D12" s="669"/>
      <c r="E12" s="467"/>
      <c r="F12" s="467"/>
      <c r="Q12" s="737"/>
      <c r="R12" s="738"/>
      <c r="T12" s="739"/>
      <c r="U12" s="740"/>
      <c r="V12" s="740"/>
      <c r="W12" s="741"/>
      <c r="X12" s="483"/>
      <c r="Y12" s="483"/>
      <c r="Z12" s="483"/>
      <c r="AA12" s="483"/>
      <c r="CF12" s="630">
        <v>1</v>
      </c>
    </row>
    <row s="6812" customFormat="1" customHeight="1" ht="1.05">
      <c r="A13" s="742"/>
      <c r="B13" s="687"/>
      <c r="D13" s="669" t="s">
        <v>400</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8469" customFormat="1" customHeight="1" ht="15" hidden="1">
      <c r="A14" s="744" t="s">
        <v>130</v>
      </c>
      <c r="B14" s="745"/>
      <c r="C14" s="745"/>
      <c r="D14" s="2501" t="s">
        <v>123</v>
      </c>
      <c r="E14" s="2498" t="s">
        <v>119</v>
      </c>
      <c r="F14" s="2499"/>
      <c r="G14" s="2500"/>
      <c r="H14" s="2504">
        <f>IF(A14="","",INDEX(DIFFERENTIATION_UNMERGE_VD,MATCH(A14,DIFFERENTIATION_ID_DIFF,0)))</f>
        <v>0</v>
      </c>
      <c r="I14" s="2504"/>
      <c r="J14" s="2504"/>
      <c r="K14" s="2504"/>
      <c r="L14" s="2504"/>
      <c r="M14" s="2504"/>
      <c r="N14" s="2504"/>
      <c r="O14" s="2504"/>
      <c r="P14" s="2504"/>
      <c r="Q14" s="2504"/>
      <c r="R14" s="2504"/>
      <c r="S14" s="840"/>
      <c r="T14" s="837"/>
      <c r="U14" s="746"/>
      <c r="V14" s="746"/>
      <c r="W14" s="747"/>
      <c r="X14" s="747"/>
      <c r="Y14" s="747"/>
      <c r="Z14" s="747"/>
      <c r="AA14" s="748"/>
      <c r="AB14" s="749"/>
      <c r="AC14" s="2496"/>
      <c r="AD14" s="750"/>
      <c r="AE14" s="751" t="s">
        <v>28</v>
      </c>
      <c r="AF14" s="751"/>
      <c r="AG14" s="752" t="s">
        <v>631</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8469" customFormat="1" customHeight="1" ht="15" hidden="1">
      <c r="A15" s="744"/>
      <c r="B15" s="745"/>
      <c r="C15" s="745"/>
      <c r="D15" s="2502"/>
      <c r="E15" s="2498" t="s">
        <v>586</v>
      </c>
      <c r="F15" s="2499"/>
      <c r="G15" s="2500"/>
      <c r="H15" s="2504" t="str">
        <f>IF(A14="","",INDEX(DIFFERENTIATION_UNMERGE_AREA,MATCH(A14,DIFFERENTIATION_ID_DIFF,0)))</f>
        <v/>
      </c>
      <c r="I15" s="2504"/>
      <c r="J15" s="2504"/>
      <c r="K15" s="2504"/>
      <c r="L15" s="2504"/>
      <c r="M15" s="2504"/>
      <c r="N15" s="2504"/>
      <c r="O15" s="2504"/>
      <c r="P15" s="2504"/>
      <c r="Q15" s="2504"/>
      <c r="R15" s="2504"/>
      <c r="S15" s="840"/>
      <c r="T15" s="837"/>
      <c r="U15" s="746"/>
      <c r="V15" s="746"/>
      <c r="W15" s="747"/>
      <c r="X15" s="747"/>
      <c r="Y15" s="747"/>
      <c r="Z15" s="747"/>
      <c r="AA15" s="748"/>
      <c r="AB15" s="749"/>
      <c r="AC15" s="2496"/>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8469" customFormat="1" customHeight="1" ht="15" hidden="1">
      <c r="A16" s="744"/>
      <c r="B16" s="745"/>
      <c r="C16" s="745"/>
      <c r="D16" s="2502"/>
      <c r="E16" s="2498" t="s">
        <v>587</v>
      </c>
      <c r="F16" s="2499"/>
      <c r="G16" s="2500"/>
      <c r="H16" s="2504" t="str">
        <f>IF(A14="","",INDEX(DIFFERENTIATION_UNMERGE_SYSTEM,MATCH(A14,DIFFERENTIATION_ID_DIFF,0)))</f>
        <v>без дифференциации</v>
      </c>
      <c r="I16" s="2504"/>
      <c r="J16" s="2504"/>
      <c r="K16" s="2504"/>
      <c r="L16" s="2504"/>
      <c r="M16" s="2504"/>
      <c r="N16" s="2504"/>
      <c r="O16" s="2504"/>
      <c r="P16" s="2504"/>
      <c r="Q16" s="2504"/>
      <c r="R16" s="2504"/>
      <c r="S16" s="840"/>
      <c r="T16" s="837"/>
      <c r="U16" s="746"/>
      <c r="V16" s="746"/>
      <c r="W16" s="747"/>
      <c r="X16" s="747"/>
      <c r="Y16" s="747"/>
      <c r="Z16" s="747"/>
      <c r="AA16" s="748"/>
      <c r="AB16" s="749"/>
      <c r="AC16" s="2496"/>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8469" customFormat="1" customHeight="1" ht="22.5" hidden="1">
      <c r="A17" s="754"/>
      <c r="B17" s="538"/>
      <c r="C17" s="533"/>
      <c r="D17" s="2502"/>
      <c r="E17" s="2497" t="s">
        <v>632</v>
      </c>
      <c r="F17" s="2497"/>
      <c r="G17" s="2497"/>
      <c r="H17" s="2497"/>
      <c r="I17" s="2497"/>
      <c r="J17" s="2497"/>
      <c r="K17" s="2497"/>
      <c r="L17" s="2497"/>
      <c r="M17" s="2497"/>
      <c r="N17" s="2497"/>
      <c r="O17" s="2497"/>
      <c r="P17" s="2497"/>
      <c r="Q17" s="679">
        <f>SUMIF(T18:T19,"i",Q18:Q19)</f>
        <v>0</v>
      </c>
      <c r="R17" s="1138"/>
      <c r="S17" s="1018" t="s">
        <v>633</v>
      </c>
      <c r="T17" s="838" t="s">
        <v>634</v>
      </c>
      <c r="U17" s="2495">
        <v>1</v>
      </c>
      <c r="V17" s="2495" t="str">
        <f>INDEX(B_FHD_FLAG_INDEX_1,1,MATCH(A14,B_FHD_FLAG_DIFFERENTIATION,0))</f>
        <v>отсутствует</v>
      </c>
      <c r="W17" s="538"/>
      <c r="X17" s="538"/>
      <c r="Y17" s="538"/>
      <c r="Z17" s="538"/>
      <c r="AA17" s="632"/>
      <c r="AB17" s="538"/>
      <c r="AC17" s="2496"/>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8469" customFormat="1" customHeight="1" ht="11.25" hidden="1">
      <c r="A18" s="755"/>
      <c r="B18" s="632"/>
      <c r="C18" s="632"/>
      <c r="D18" s="2502"/>
      <c r="E18" s="756"/>
      <c r="F18" s="756">
        <v>0</v>
      </c>
      <c r="G18" s="756"/>
      <c r="H18" s="756"/>
      <c r="I18" s="756"/>
      <c r="J18" s="756"/>
      <c r="K18" s="756"/>
      <c r="L18" s="756"/>
      <c r="M18" s="756"/>
      <c r="N18" s="756"/>
      <c r="O18" s="756"/>
      <c r="P18" s="756"/>
      <c r="Q18" s="756"/>
      <c r="R18" s="756"/>
      <c r="S18" s="757"/>
      <c r="T18" s="839"/>
      <c r="U18" s="2495"/>
      <c r="V18" s="2495"/>
      <c r="W18" s="632"/>
      <c r="X18" s="632"/>
      <c r="Y18" s="632"/>
      <c r="Z18" s="632"/>
      <c r="AA18" s="632"/>
      <c r="AB18" s="538"/>
      <c r="AC18" s="2496"/>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8469" customFormat="1" customHeight="1" ht="11.25" hidden="1">
      <c r="A19" s="754"/>
      <c r="B19" s="538"/>
      <c r="C19" s="533"/>
      <c r="D19" s="2502"/>
      <c r="E19" s="770" t="s">
        <v>28</v>
      </c>
      <c r="F19" s="771" t="s">
        <v>28</v>
      </c>
      <c r="G19" s="771" t="s">
        <v>28</v>
      </c>
      <c r="H19" s="772" t="s">
        <v>28</v>
      </c>
      <c r="I19" s="772"/>
      <c r="J19" s="772"/>
      <c r="K19" s="772"/>
      <c r="L19" s="772"/>
      <c r="M19" s="772"/>
      <c r="N19" s="772"/>
      <c r="O19" s="772"/>
      <c r="P19" s="772"/>
      <c r="Q19" s="772"/>
      <c r="R19" s="773"/>
      <c r="S19" s="1141"/>
      <c r="T19" s="839"/>
      <c r="U19" s="2495"/>
      <c r="V19" s="2495"/>
      <c r="W19" s="538"/>
      <c r="X19" s="538"/>
      <c r="Y19" s="538"/>
      <c r="Z19" s="538"/>
      <c r="AA19" s="632"/>
      <c r="AB19" s="538"/>
      <c r="AC19" s="2496"/>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8469" customFormat="1" customHeight="1" ht="22.5" hidden="1">
      <c r="A20" s="754"/>
      <c r="B20" s="538"/>
      <c r="C20" s="533"/>
      <c r="D20" s="2502"/>
      <c r="E20" s="2497" t="s">
        <v>635</v>
      </c>
      <c r="F20" s="2497"/>
      <c r="G20" s="2497"/>
      <c r="H20" s="2497"/>
      <c r="I20" s="2497"/>
      <c r="J20" s="2497"/>
      <c r="K20" s="2497"/>
      <c r="L20" s="2497"/>
      <c r="M20" s="2497"/>
      <c r="N20" s="2497"/>
      <c r="O20" s="2497"/>
      <c r="P20" s="2497"/>
      <c r="Q20" s="679">
        <f>SUMIF(T21:T22,"i",Q21:Q22)</f>
        <v>0</v>
      </c>
      <c r="R20" s="1138"/>
      <c r="S20" s="830" t="s">
        <v>636</v>
      </c>
      <c r="T20" s="838" t="s">
        <v>634</v>
      </c>
      <c r="U20" s="2495">
        <v>2</v>
      </c>
      <c r="V20" s="2495"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8469" customFormat="1" customHeight="1" ht="11.25" hidden="1">
      <c r="A21" s="829"/>
      <c r="B21" s="632"/>
      <c r="C21" s="632"/>
      <c r="D21" s="2502"/>
      <c r="E21" s="756"/>
      <c r="F21" s="756">
        <v>0</v>
      </c>
      <c r="G21" s="756"/>
      <c r="H21" s="756"/>
      <c r="I21" s="756"/>
      <c r="J21" s="756"/>
      <c r="K21" s="756"/>
      <c r="L21" s="756"/>
      <c r="M21" s="756"/>
      <c r="N21" s="756"/>
      <c r="O21" s="756"/>
      <c r="P21" s="756"/>
      <c r="Q21" s="756"/>
      <c r="R21" s="756"/>
      <c r="S21" s="757"/>
      <c r="T21" s="839"/>
      <c r="U21" s="2495"/>
      <c r="V21" s="2495"/>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8469" customFormat="1" customHeight="1" ht="11.25" hidden="1">
      <c r="A22" s="754"/>
      <c r="B22" s="538"/>
      <c r="C22" s="533"/>
      <c r="D22" s="2503"/>
      <c r="E22" s="770" t="s">
        <v>28</v>
      </c>
      <c r="F22" s="771" t="s">
        <v>28</v>
      </c>
      <c r="G22" s="771" t="s">
        <v>28</v>
      </c>
      <c r="H22" s="772" t="s">
        <v>28</v>
      </c>
      <c r="I22" s="772"/>
      <c r="J22" s="772"/>
      <c r="K22" s="772"/>
      <c r="L22" s="772"/>
      <c r="M22" s="772"/>
      <c r="N22" s="772"/>
      <c r="O22" s="772"/>
      <c r="P22" s="772"/>
      <c r="Q22" s="772"/>
      <c r="R22" s="773"/>
      <c r="S22" s="1141"/>
      <c r="T22" s="839"/>
      <c r="U22" s="2495"/>
      <c r="V22" s="2495"/>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05"/>
      <c r="F27" s="2505"/>
      <c r="G27" s="2505"/>
      <c r="H27" s="2505"/>
      <c r="I27" s="2505"/>
      <c r="J27" s="2505"/>
      <c r="K27" s="2505"/>
      <c r="L27" s="2505"/>
      <c r="M27" s="2505"/>
      <c r="N27" s="2505"/>
      <c r="O27" s="2505"/>
      <c r="P27" s="2505"/>
      <c r="Q27" s="2505"/>
      <c r="R27" s="2505"/>
      <c r="CF27" s="626">
        <v>11</v>
      </c>
    </row>
    <row customHeight="1" ht="11.549999999999999">
      <c r="F28" s="879"/>
      <c r="G28" s="879"/>
      <c r="CF28" s="626">
        <v>11</v>
      </c>
    </row>
    <row customHeight="1" ht="11.25" hidden="1">
      <c r="A29" s="731" t="s">
        <v>82</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4059D-9566-3CFB-F803-0.E216F22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94" width="10.7109375" hidden="1" customWidth="1"/>
    <col min="6" max="6" style="7669" width="16.8515625" hidden="1" customWidth="1"/>
    <col min="7" max="7" style="7217" width="5.57421875" hidden="1" customWidth="1"/>
    <col min="8" max="8" style="7720" width="3.00390625" customWidth="1"/>
    <col min="9" max="9" style="7720" width="7.00390625" customWidth="1"/>
    <col min="10" max="10" style="7720" width="56.00390625" customWidth="1"/>
    <col min="11" max="11" style="7720" width="10.00390625" customWidth="1"/>
    <col min="12" max="12" style="7720" width="40.57421875" hidden="1" customWidth="1"/>
    <col min="13" max="13" style="7720" width="40.7109375" customWidth="1"/>
    <col min="14" max="14" style="7669" width="9.7109375" hidden="1" customWidth="1"/>
    <col min="15" max="15" style="7720" width="102.00390625" customWidth="1"/>
    <col min="16" max="16" style="7669" width="9.00390625" customWidth="1"/>
    <col min="17" max="17" style="7217" width="5.00390625" customWidth="1"/>
    <col min="18" max="18" style="7217" width="3.00390625" customWidth="1"/>
    <col min="19" max="22" style="7669" width="3.00390625" customWidth="1"/>
    <col min="23" max="23" style="7217" width="10.00390625" customWidth="1"/>
    <col min="24" max="24" style="7669" width="34.00390625" customWidth="1"/>
    <col min="25" max="25" style="7669" width="9.00390625" customWidth="1"/>
    <col min="26" max="26" style="7195" width="8.00390625" customWidth="1"/>
    <col min="27" max="31" style="7669" width="8.00390625" customWidth="1"/>
    <col min="32" max="36" style="8008" width="8.00390625" customWidth="1"/>
    <col min="37" max="37" style="7720" width="5.421875" hidden="1" customWidth="1"/>
  </cols>
  <sheetData>
    <row s="7669" customFormat="1" customHeight="1" ht="33.75" hidden="1">
      <c r="A1" s="1108"/>
      <c r="B1" s="1108"/>
      <c r="C1" s="1108"/>
      <c r="D1" s="1108"/>
      <c r="E1" s="1108"/>
      <c r="G1" s="1757"/>
      <c r="H1" s="999"/>
      <c r="L1" s="1487">
        <v>4</v>
      </c>
      <c r="M1" s="1487">
        <v>4</v>
      </c>
      <c r="Q1" s="1757"/>
      <c r="R1" s="1757"/>
      <c r="W1" s="1757"/>
      <c r="AK1" s="1487" t="s">
        <v>14</v>
      </c>
    </row>
    <row s="7669" customFormat="1" customHeight="1" ht="78.75" hidden="1">
      <c r="A2" s="1108"/>
      <c r="B2" s="2174" t="s">
        <v>637</v>
      </c>
      <c r="C2" s="2174" t="s">
        <v>638</v>
      </c>
      <c r="D2" s="2173" t="s">
        <v>639</v>
      </c>
      <c r="E2" s="2177">
        <f>RIGHT(I2,LEN(I2)-SEARCH("#",SUBSTITUTE(I2,".","#",LEN(I2)-LEN(SUBSTITUTE(I2,".","")))))</f>
      </c>
      <c r="F2" s="2179">
        <f>J2</f>
        <v>0</v>
      </c>
      <c r="G2" s="1757"/>
      <c r="H2" s="2180"/>
      <c r="I2" s="2170"/>
      <c r="J2" s="661"/>
      <c r="K2" s="2140" t="s">
        <v>578</v>
      </c>
      <c r="L2" s="872"/>
      <c r="M2" s="872"/>
      <c r="N2" s="664"/>
      <c r="O2" s="1646" t="s">
        <v>579</v>
      </c>
      <c r="P2" s="664"/>
      <c r="Q2" s="1757"/>
      <c r="R2" s="1757"/>
      <c r="W2" s="1757"/>
      <c r="Z2" s="665"/>
      <c r="AF2" s="1753"/>
      <c r="AG2" s="1753"/>
      <c r="AH2" s="1753"/>
      <c r="AI2" s="1753"/>
      <c r="AJ2" s="1753"/>
      <c r="AK2" s="1487">
        <v>0</v>
      </c>
    </row>
    <row customHeight="1" ht="11.25" hidden="1">
      <c r="E3" s="2172" t="s">
        <v>640</v>
      </c>
      <c r="L3" s="1752">
        <f>0</f>
        <v>0</v>
      </c>
      <c r="M3" s="1752">
        <v>1</v>
      </c>
      <c r="AK3" s="1752">
        <v>0</v>
      </c>
    </row>
    <row s="8008"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28" t="s">
        <v>641</v>
      </c>
      <c r="J6" s="2428"/>
      <c r="K6" s="2428"/>
      <c r="L6" s="2428"/>
      <c r="M6" s="2428"/>
      <c r="O6" s="677"/>
      <c r="AK6" s="1752">
        <v>55</v>
      </c>
    </row>
    <row customHeight="1" ht="25.2">
      <c r="I7" s="2370" t="str">
        <f>IF(org=0,"Не определено",org)</f>
        <v>ПАО "ТГК-1" филиал "Невский"</v>
      </c>
      <c r="J7" s="2370"/>
      <c r="K7" s="2370"/>
      <c r="L7" s="2370"/>
      <c r="M7" s="2370"/>
      <c r="AK7" s="1752">
        <v>24</v>
      </c>
    </row>
    <row customHeight="1" ht="11.549999999999999">
      <c r="I8" s="1256"/>
      <c r="J8" s="1256"/>
      <c r="K8" s="1256"/>
      <c r="L8" s="1256"/>
      <c r="M8" s="1256"/>
      <c r="AK8" s="1752">
        <v>11</v>
      </c>
    </row>
    <row s="7217" customFormat="1" customHeight="1" ht="30" hidden="1">
      <c r="A9" s="1288"/>
      <c r="B9" s="1288"/>
      <c r="C9" s="1288"/>
      <c r="E9" s="1288"/>
      <c r="H9" s="1763"/>
      <c r="L9" s="1010"/>
      <c r="M9" s="1010" t="s">
        <v>130</v>
      </c>
      <c r="AK9" s="1757">
        <v>1</v>
      </c>
    </row>
    <row customHeight="1" ht="11.549999999999999">
      <c r="E10" s="2171" t="s">
        <v>642</v>
      </c>
      <c r="I10" s="832"/>
      <c r="J10" s="2488" t="s">
        <v>119</v>
      </c>
      <c r="K10" s="2489"/>
      <c r="L10" s="2150" t="str">
        <f>IF(L9="","",INDEX(DIFFERENTIATION_UNMERGE_VD,MATCH(L9,DIFFERENTIATION_ID_DIFF,0)))</f>
        <v/>
      </c>
      <c r="M10" s="2150">
        <f>IF(M9="","",INDEX(DIFFERENTIATION_UNMERGE_VD,MATCH(M9,DIFFERENTIATION_ID_DIFF,0)))</f>
        <v>0</v>
      </c>
      <c r="O10" s="2248" t="s">
        <v>325</v>
      </c>
      <c r="AK10" s="1752">
        <v>11</v>
      </c>
    </row>
    <row customHeight="1" ht="11.549999999999999">
      <c r="E11" s="2171" t="s">
        <v>643</v>
      </c>
      <c r="I11" s="832"/>
      <c r="J11" s="2488" t="s">
        <v>586</v>
      </c>
      <c r="K11" s="2489"/>
      <c r="L11" s="2150" t="str">
        <f>IF(L9="","",INDEX(DIFFERENTIATION_UNMERGE_AREA,MATCH(L9,DIFFERENTIATION_ID_DIFF,0)))</f>
        <v/>
      </c>
      <c r="M11" s="2150" t="str">
        <f>IF(M9="","",INDEX(DIFFERENTIATION_UNMERGE_AREA,MATCH(M9,DIFFERENTIATION_ID_DIFF,0)))</f>
        <v/>
      </c>
      <c r="O11" s="2248"/>
      <c r="AK11" s="1752">
        <v>11</v>
      </c>
    </row>
    <row customHeight="1" ht="11.549999999999999">
      <c r="E12" s="2171" t="s">
        <v>644</v>
      </c>
      <c r="I12" s="1783"/>
      <c r="J12" s="2488" t="s">
        <v>587</v>
      </c>
      <c r="K12" s="2489"/>
      <c r="L12" s="2150" t="str">
        <f>IF(L9="","",INDEX(DIFFERENTIATION_UNMERGE_SYSTEM,MATCH(L9,DIFFERENTIATION_ID_DIFF,0)))</f>
        <v/>
      </c>
      <c r="M12" s="2150" t="str">
        <f>IF(M9="","",INDEX(DIFFERENTIATION_UNMERGE_SYSTEM,MATCH(M9,DIFFERENTIATION_ID_DIFF,0)))</f>
        <v>без дифференциации</v>
      </c>
      <c r="O12" s="2248"/>
      <c r="AK12" s="1752">
        <v>11</v>
      </c>
    </row>
    <row customHeight="1" ht="11.549999999999999">
      <c r="E13" s="2171" t="s">
        <v>645</v>
      </c>
      <c r="F13" s="2171" t="s">
        <v>646</v>
      </c>
      <c r="I13" s="2490" t="s">
        <v>324</v>
      </c>
      <c r="J13" s="2491"/>
      <c r="K13" s="2491"/>
      <c r="L13" s="2148"/>
      <c r="M13" s="2188"/>
      <c r="O13" s="2248"/>
      <c r="AK13" s="1752">
        <v>11</v>
      </c>
    </row>
    <row customHeight="1" ht="24">
      <c r="I14" s="2141" t="s">
        <v>88</v>
      </c>
      <c r="J14" s="2141" t="s">
        <v>326</v>
      </c>
      <c r="K14" s="2141" t="s">
        <v>588</v>
      </c>
      <c r="L14" s="2181" t="s">
        <v>327</v>
      </c>
      <c r="M14" s="2182" t="s">
        <v>327</v>
      </c>
      <c r="O14" s="2248"/>
      <c r="AK14" s="1752">
        <v>23</v>
      </c>
    </row>
    <row customHeight="1" ht="24">
      <c r="A15" s="2175"/>
      <c r="B15" s="2174" t="s">
        <v>647</v>
      </c>
      <c r="C15" s="2174" t="s">
        <v>648</v>
      </c>
      <c r="D15" s="2173" t="s">
        <v>649</v>
      </c>
      <c r="E15" s="2177" t="s">
        <v>650</v>
      </c>
      <c r="F15" s="2177" t="s">
        <v>650</v>
      </c>
      <c r="G15" s="1757" t="s">
        <v>610</v>
      </c>
      <c r="H15" s="2142"/>
      <c r="I15" s="1751">
        <v>1</v>
      </c>
      <c r="J15" s="2143" t="s">
        <v>651</v>
      </c>
      <c r="K15" s="2141" t="s">
        <v>330</v>
      </c>
      <c r="L15" s="783"/>
      <c r="M15" s="939"/>
      <c r="N15" s="664" t="s">
        <v>652</v>
      </c>
      <c r="O15" s="1646" t="s">
        <v>653</v>
      </c>
      <c r="P15" s="664" t="s">
        <v>652</v>
      </c>
      <c r="AK15" s="1752">
        <v>23</v>
      </c>
    </row>
    <row customHeight="1" ht="35.699999999999996">
      <c r="A16" s="2175"/>
      <c r="B16" s="2174" t="s">
        <v>654</v>
      </c>
      <c r="C16" s="2174" t="s">
        <v>655</v>
      </c>
      <c r="D16" s="2173" t="s">
        <v>639</v>
      </c>
      <c r="E16" s="2177" t="s">
        <v>650</v>
      </c>
      <c r="F16" s="2177" t="s">
        <v>650</v>
      </c>
      <c r="H16" s="2142"/>
      <c r="I16" s="1750">
        <v>2</v>
      </c>
      <c r="J16" s="2184" t="s">
        <v>656</v>
      </c>
      <c r="K16" s="2183" t="s">
        <v>578</v>
      </c>
      <c r="L16" s="2189"/>
      <c r="M16" s="1797"/>
      <c r="N16" s="664" t="s">
        <v>652</v>
      </c>
      <c r="O16" s="1646" t="s">
        <v>657</v>
      </c>
      <c r="P16" s="664" t="s">
        <v>652</v>
      </c>
      <c r="AK16" s="1752">
        <v>34</v>
      </c>
    </row>
    <row s="7217" customFormat="1" customHeight="1" ht="17.25" hidden="1">
      <c r="A17" s="1288"/>
      <c r="B17" s="1288"/>
      <c r="C17" s="1288"/>
      <c r="D17" s="1288"/>
      <c r="E17" s="1288"/>
      <c r="H17" s="1445"/>
      <c r="I17" s="1134" t="s">
        <v>658</v>
      </c>
      <c r="J17" s="1112"/>
      <c r="K17" s="1134"/>
      <c r="L17" s="1113"/>
      <c r="M17" s="1113"/>
      <c r="O17" s="1506"/>
      <c r="AK17" s="1757">
        <v>1</v>
      </c>
    </row>
    <row s="7669" customFormat="1" customHeight="1" ht="24">
      <c r="A18" s="1108"/>
      <c r="B18" s="1108"/>
      <c r="C18" s="1108"/>
      <c r="D18" s="1108"/>
      <c r="E18" s="1108"/>
      <c r="G18" s="1757"/>
      <c r="H18" s="1754"/>
      <c r="I18" s="691"/>
      <c r="J18" s="692" t="s">
        <v>608</v>
      </c>
      <c r="K18" s="693"/>
      <c r="L18" s="2191"/>
      <c r="M18" s="694"/>
      <c r="N18" s="664"/>
      <c r="O18" s="1646" t="s">
        <v>609</v>
      </c>
      <c r="P18" s="664"/>
      <c r="Q18" s="1757"/>
      <c r="R18" s="1757"/>
      <c r="W18" s="1757"/>
      <c r="Z18" s="665"/>
      <c r="AF18" s="1753"/>
      <c r="AG18" s="1753"/>
      <c r="AH18" s="1753"/>
      <c r="AI18" s="1753"/>
      <c r="AJ18" s="1753"/>
      <c r="AK18" s="1487">
        <v>23</v>
      </c>
    </row>
    <row customHeight="1" ht="19.95">
      <c r="A19" s="2175"/>
      <c r="B19" s="2174" t="s">
        <v>659</v>
      </c>
      <c r="C19" s="2174" t="s">
        <v>660</v>
      </c>
      <c r="D19" s="2173" t="s">
        <v>639</v>
      </c>
      <c r="E19" s="2177" t="s">
        <v>650</v>
      </c>
      <c r="F19" s="2177" t="s">
        <v>650</v>
      </c>
      <c r="H19" s="2142"/>
      <c r="I19" s="1785">
        <v>3</v>
      </c>
      <c r="J19" s="2143" t="s">
        <v>660</v>
      </c>
      <c r="K19" s="2139" t="s">
        <v>578</v>
      </c>
      <c r="L19" s="848"/>
      <c r="M19" s="678"/>
      <c r="N19" s="664"/>
      <c r="O19" s="1646" t="s">
        <v>661</v>
      </c>
      <c r="P19" s="664"/>
      <c r="AK19" s="1752">
        <v>19</v>
      </c>
    </row>
    <row customHeight="1" ht="77.7">
      <c r="A20" s="2175"/>
      <c r="B20" s="2174" t="s">
        <v>662</v>
      </c>
      <c r="C20" s="2174" t="s">
        <v>663</v>
      </c>
      <c r="D20" s="2173" t="s">
        <v>639</v>
      </c>
      <c r="E20" s="2177" t="s">
        <v>650</v>
      </c>
      <c r="F20" s="2177" t="s">
        <v>650</v>
      </c>
      <c r="H20" s="2142"/>
      <c r="I20" s="1785">
        <v>4</v>
      </c>
      <c r="J20" s="2143" t="s">
        <v>664</v>
      </c>
      <c r="K20" s="2139" t="s">
        <v>605</v>
      </c>
      <c r="L20" s="848"/>
      <c r="M20" s="678"/>
      <c r="N20" s="664"/>
      <c r="O20" s="1646"/>
      <c r="P20" s="664"/>
      <c r="AK20" s="1752">
        <v>74</v>
      </c>
    </row>
    <row customHeight="1" ht="35.699999999999996">
      <c r="A21" s="2175"/>
      <c r="B21" s="2174" t="s">
        <v>665</v>
      </c>
      <c r="C21" s="2174" t="s">
        <v>666</v>
      </c>
      <c r="D21" s="2173" t="s">
        <v>639</v>
      </c>
      <c r="E21" s="2177" t="s">
        <v>650</v>
      </c>
      <c r="F21" s="2177" t="s">
        <v>650</v>
      </c>
      <c r="H21" s="2142"/>
      <c r="I21" s="1785">
        <v>5</v>
      </c>
      <c r="J21" s="2143" t="s">
        <v>667</v>
      </c>
      <c r="K21" s="2139" t="s">
        <v>605</v>
      </c>
      <c r="L21" s="848"/>
      <c r="M21" s="678"/>
      <c r="N21" s="664"/>
      <c r="O21" s="1646" t="s">
        <v>661</v>
      </c>
      <c r="P21" s="664"/>
      <c r="AK21" s="1752">
        <v>34</v>
      </c>
    </row>
    <row customHeight="1" ht="48.29999999999999">
      <c r="A22" s="2175"/>
      <c r="B22" s="2174" t="s">
        <v>668</v>
      </c>
      <c r="C22" s="2174" t="s">
        <v>669</v>
      </c>
      <c r="D22" s="2173" t="s">
        <v>639</v>
      </c>
      <c r="E22" s="2177" t="s">
        <v>650</v>
      </c>
      <c r="F22" s="2177" t="s">
        <v>650</v>
      </c>
      <c r="H22" s="2142"/>
      <c r="I22" s="1785">
        <v>6</v>
      </c>
      <c r="J22" s="2143" t="s">
        <v>670</v>
      </c>
      <c r="K22" s="2139" t="s">
        <v>605</v>
      </c>
      <c r="L22" s="848"/>
      <c r="M22" s="678"/>
      <c r="N22" s="664"/>
      <c r="O22" s="1646" t="s">
        <v>671</v>
      </c>
      <c r="P22" s="664"/>
      <c r="AK22" s="1752">
        <v>46</v>
      </c>
    </row>
    <row customHeight="1" ht="19.95">
      <c r="A23" s="2175"/>
      <c r="B23" s="2174" t="s">
        <v>672</v>
      </c>
      <c r="C23" s="2174" t="s">
        <v>673</v>
      </c>
      <c r="D23" s="2173" t="s">
        <v>639</v>
      </c>
      <c r="E23" s="2177" t="s">
        <v>650</v>
      </c>
      <c r="F23" s="2177" t="s">
        <v>650</v>
      </c>
      <c r="H23" s="2142"/>
      <c r="I23" s="1785" t="s">
        <v>674</v>
      </c>
      <c r="J23" s="1645" t="s">
        <v>675</v>
      </c>
      <c r="K23" s="2139" t="s">
        <v>605</v>
      </c>
      <c r="L23" s="848"/>
      <c r="M23" s="678"/>
      <c r="N23" s="664"/>
      <c r="O23" s="1646" t="s">
        <v>661</v>
      </c>
      <c r="P23" s="664"/>
      <c r="AK23" s="1752">
        <v>19</v>
      </c>
    </row>
    <row customHeight="1" ht="19.95">
      <c r="A24" s="2175"/>
      <c r="B24" s="2174" t="s">
        <v>676</v>
      </c>
      <c r="C24" s="2174" t="s">
        <v>677</v>
      </c>
      <c r="D24" s="2173" t="s">
        <v>639</v>
      </c>
      <c r="E24" s="2177" t="s">
        <v>650</v>
      </c>
      <c r="F24" s="2177" t="s">
        <v>650</v>
      </c>
      <c r="H24" s="2142"/>
      <c r="I24" s="1785" t="s">
        <v>678</v>
      </c>
      <c r="J24" s="1645" t="s">
        <v>679</v>
      </c>
      <c r="K24" s="2139" t="s">
        <v>605</v>
      </c>
      <c r="L24" s="848"/>
      <c r="M24" s="678"/>
      <c r="N24" s="664"/>
      <c r="O24" s="1646"/>
      <c r="P24" s="664"/>
      <c r="AK24" s="1752">
        <v>19</v>
      </c>
    </row>
    <row customHeight="1" ht="24">
      <c r="A25" s="2175"/>
      <c r="B25" s="2174" t="s">
        <v>680</v>
      </c>
      <c r="C25" s="2174" t="s">
        <v>681</v>
      </c>
      <c r="D25" s="2173" t="s">
        <v>639</v>
      </c>
      <c r="E25" s="2177" t="s">
        <v>650</v>
      </c>
      <c r="F25" s="2177" t="s">
        <v>650</v>
      </c>
      <c r="H25" s="2142"/>
      <c r="I25" s="1785" t="s">
        <v>682</v>
      </c>
      <c r="J25" s="1645" t="s">
        <v>683</v>
      </c>
      <c r="K25" s="2139" t="s">
        <v>605</v>
      </c>
      <c r="L25" s="848"/>
      <c r="M25" s="678"/>
      <c r="N25" s="664"/>
      <c r="O25" s="1646"/>
      <c r="P25" s="664"/>
      <c r="AK25" s="1752">
        <v>23</v>
      </c>
    </row>
    <row customHeight="1" ht="24">
      <c r="A26" s="2175"/>
      <c r="B26" s="2174" t="s">
        <v>684</v>
      </c>
      <c r="C26" s="2174" t="s">
        <v>685</v>
      </c>
      <c r="D26" s="2173" t="s">
        <v>639</v>
      </c>
      <c r="E26" s="2177" t="s">
        <v>650</v>
      </c>
      <c r="F26" s="2177" t="s">
        <v>650</v>
      </c>
      <c r="H26" s="2142"/>
      <c r="I26" s="1785">
        <v>7</v>
      </c>
      <c r="J26" s="2143" t="s">
        <v>685</v>
      </c>
      <c r="K26" s="2139" t="s">
        <v>686</v>
      </c>
      <c r="L26" s="848"/>
      <c r="M26" s="678"/>
      <c r="N26" s="664"/>
      <c r="O26" s="1646"/>
      <c r="P26" s="664"/>
      <c r="AK26" s="1752">
        <v>23</v>
      </c>
    </row>
    <row customHeight="1" ht="24">
      <c r="A27" s="2175"/>
      <c r="B27" s="2174" t="s">
        <v>687</v>
      </c>
      <c r="C27" s="2174" t="s">
        <v>688</v>
      </c>
      <c r="D27" s="2173" t="s">
        <v>639</v>
      </c>
      <c r="E27" s="2177" t="s">
        <v>650</v>
      </c>
      <c r="F27" s="2177" t="s">
        <v>650</v>
      </c>
      <c r="H27" s="2142"/>
      <c r="I27" s="1785">
        <v>8</v>
      </c>
      <c r="J27" s="2143" t="s">
        <v>688</v>
      </c>
      <c r="K27" s="2139" t="s">
        <v>611</v>
      </c>
      <c r="L27" s="848"/>
      <c r="M27" s="678"/>
      <c r="N27" s="664"/>
      <c r="O27" s="1646"/>
      <c r="P27" s="664"/>
      <c r="AK27" s="1752">
        <v>23</v>
      </c>
    </row>
    <row customHeight="1" ht="35.699999999999996">
      <c r="A28" s="2175"/>
      <c r="B28" s="2174" t="s">
        <v>689</v>
      </c>
      <c r="C28" s="2174" t="s">
        <v>690</v>
      </c>
      <c r="D28" s="2173" t="s">
        <v>639</v>
      </c>
      <c r="E28" s="2177" t="s">
        <v>650</v>
      </c>
      <c r="F28" s="2177" t="s">
        <v>650</v>
      </c>
      <c r="H28" s="2142"/>
      <c r="I28" s="1796">
        <v>9</v>
      </c>
      <c r="J28" s="2143" t="s">
        <v>691</v>
      </c>
      <c r="K28" s="2139" t="s">
        <v>582</v>
      </c>
      <c r="L28" s="848"/>
      <c r="M28" s="678"/>
      <c r="N28" s="664"/>
      <c r="O28" s="1646"/>
      <c r="P28" s="664"/>
      <c r="AK28" s="1752">
        <v>34</v>
      </c>
    </row>
    <row customHeight="1" ht="35.699999999999996">
      <c r="A29" s="2175"/>
      <c r="B29" s="2174" t="s">
        <v>692</v>
      </c>
      <c r="C29" s="2174" t="s">
        <v>693</v>
      </c>
      <c r="D29" s="2173" t="s">
        <v>639</v>
      </c>
      <c r="E29" s="2177" t="s">
        <v>650</v>
      </c>
      <c r="F29" s="2177" t="s">
        <v>650</v>
      </c>
      <c r="H29" s="2142"/>
      <c r="I29" s="1796">
        <v>10</v>
      </c>
      <c r="J29" s="2143" t="s">
        <v>694</v>
      </c>
      <c r="K29" s="2139" t="s">
        <v>582</v>
      </c>
      <c r="L29" s="848"/>
      <c r="M29" s="678"/>
      <c r="N29" s="664"/>
      <c r="O29" s="1646"/>
      <c r="P29" s="664"/>
      <c r="AK29" s="1752">
        <v>34</v>
      </c>
    </row>
    <row customHeight="1" ht="24">
      <c r="A30" s="2175"/>
      <c r="B30" s="2174" t="s">
        <v>695</v>
      </c>
      <c r="C30" s="2174" t="s">
        <v>696</v>
      </c>
      <c r="D30" s="2173" t="s">
        <v>639</v>
      </c>
      <c r="E30" s="2177" t="s">
        <v>650</v>
      </c>
      <c r="F30" s="2177" t="s">
        <v>650</v>
      </c>
      <c r="H30" s="2142"/>
      <c r="I30" s="1796">
        <v>11</v>
      </c>
      <c r="J30" s="2143" t="s">
        <v>696</v>
      </c>
      <c r="K30" s="2139" t="s">
        <v>612</v>
      </c>
      <c r="L30" s="2190"/>
      <c r="M30" s="1742"/>
      <c r="N30" s="664"/>
      <c r="O30" s="1646"/>
      <c r="P30" s="664"/>
      <c r="AK30" s="1752">
        <v>23</v>
      </c>
    </row>
    <row customHeight="1" ht="24">
      <c r="A31" s="2175"/>
      <c r="B31" s="2174" t="s">
        <v>697</v>
      </c>
      <c r="C31" s="2174" t="s">
        <v>698</v>
      </c>
      <c r="D31" s="2173" t="s">
        <v>639</v>
      </c>
      <c r="E31" s="2177" t="s">
        <v>650</v>
      </c>
      <c r="F31" s="2177" t="s">
        <v>650</v>
      </c>
      <c r="H31" s="2142"/>
      <c r="I31" s="1796">
        <v>12</v>
      </c>
      <c r="J31" s="2143" t="s">
        <v>698</v>
      </c>
      <c r="K31" s="2139" t="s">
        <v>612</v>
      </c>
      <c r="L31" s="2190"/>
      <c r="M31" s="1742"/>
      <c r="N31" s="664"/>
      <c r="O31" s="1646"/>
      <c r="P31" s="664"/>
      <c r="AK31" s="1752">
        <v>23</v>
      </c>
    </row>
    <row customHeight="1" ht="48.29999999999999">
      <c r="A32" s="2175"/>
      <c r="B32" s="2174" t="s">
        <v>699</v>
      </c>
      <c r="C32" s="2174" t="s">
        <v>700</v>
      </c>
      <c r="D32" s="2173" t="s">
        <v>639</v>
      </c>
      <c r="E32" s="2177" t="s">
        <v>650</v>
      </c>
      <c r="F32" s="2177" t="s">
        <v>650</v>
      </c>
      <c r="H32" s="2142"/>
      <c r="I32" s="1796">
        <v>13</v>
      </c>
      <c r="J32" s="2143" t="s">
        <v>701</v>
      </c>
      <c r="K32" s="2139" t="s">
        <v>622</v>
      </c>
      <c r="L32" s="848"/>
      <c r="M32" s="678"/>
      <c r="N32" s="664"/>
      <c r="O32" s="1646" t="s">
        <v>661</v>
      </c>
      <c r="P32" s="664"/>
      <c r="AK32" s="1752">
        <v>46</v>
      </c>
    </row>
    <row s="7669" customFormat="1" customHeight="1" ht="48.29999999999999">
      <c r="A33" s="2175"/>
      <c r="B33" s="2174" t="s">
        <v>702</v>
      </c>
      <c r="C33" s="2174" t="s">
        <v>703</v>
      </c>
      <c r="D33" s="2173" t="s">
        <v>639</v>
      </c>
      <c r="E33" s="2177" t="s">
        <v>650</v>
      </c>
      <c r="F33" s="2177" t="s">
        <v>650</v>
      </c>
      <c r="G33" s="1757"/>
      <c r="H33" s="2142"/>
      <c r="I33" s="1796">
        <v>14</v>
      </c>
      <c r="J33" s="2155" t="s">
        <v>704</v>
      </c>
      <c r="K33" s="2144" t="s">
        <v>705</v>
      </c>
      <c r="L33" s="848"/>
      <c r="M33" s="678"/>
      <c r="N33" s="664"/>
      <c r="O33" s="1646" t="s">
        <v>661</v>
      </c>
      <c r="P33" s="664"/>
      <c r="Q33" s="1757"/>
      <c r="R33" s="1757"/>
      <c r="W33" s="1757"/>
      <c r="Z33" s="665"/>
      <c r="AF33" s="1753"/>
      <c r="AG33" s="1753"/>
      <c r="AH33" s="1753"/>
      <c r="AI33" s="1753"/>
      <c r="AJ33" s="1753"/>
      <c r="AK33" s="1487">
        <v>46</v>
      </c>
    </row>
    <row customHeight="1" ht="108">
      <c r="A34" s="2175"/>
      <c r="B34" s="2174" t="s">
        <v>706</v>
      </c>
      <c r="C34" s="2174" t="s">
        <v>707</v>
      </c>
      <c r="D34" s="2173" t="s">
        <v>649</v>
      </c>
      <c r="E34" s="2177" t="s">
        <v>650</v>
      </c>
      <c r="F34" s="2177" t="s">
        <v>650</v>
      </c>
      <c r="G34" s="1757" t="s">
        <v>610</v>
      </c>
      <c r="H34" s="2142"/>
      <c r="I34" s="2153">
        <v>15</v>
      </c>
      <c r="J34" s="2154" t="s">
        <v>708</v>
      </c>
      <c r="K34" s="2139" t="s">
        <v>330</v>
      </c>
      <c r="L34" s="506"/>
      <c r="M34" s="1285"/>
      <c r="N34" s="664"/>
      <c r="O34" s="1646" t="s">
        <v>653</v>
      </c>
      <c r="P34" s="664"/>
      <c r="AK34" s="1752">
        <v>103</v>
      </c>
    </row>
    <row s="6812"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812"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812"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812"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812"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812"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812"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812"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812"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812"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812"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812"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812"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812"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812"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812"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812"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812"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812"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812"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812"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812"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812"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812"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812"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812"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812"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812"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812"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812"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812"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812"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812"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812"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812"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812"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812"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812"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812"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812"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812"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812"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812"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812"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812"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812"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812"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812"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812"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812"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812"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812"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812"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812"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812"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812"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812"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812"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812"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812"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812"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812"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812"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812"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812"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812"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812"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812"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812"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812"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812"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812"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812"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812"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812"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812"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812"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812"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812"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812"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812"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812"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812"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812"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812"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812"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812"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812"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812"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812"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812"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812"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812"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812"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812"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812"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812"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812"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812"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812"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812"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812"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812"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812"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812"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812"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812"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812"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812"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812"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812"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812"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812"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812"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812"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812"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812"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812"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812"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812"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812"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812"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812"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812"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812"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812"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812"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812"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812"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812"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812"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812"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812"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812"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812"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812"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812"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812"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812"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812"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812"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812"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812"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812"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812"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812"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812"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812"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812"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812"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812"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812"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812"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812"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812"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82</v>
      </c>
      <c r="B204" s="1108" t="s">
        <v>162</v>
      </c>
      <c r="C204" s="1108" t="s">
        <v>162</v>
      </c>
      <c r="D204" s="1108" t="s">
        <v>162</v>
      </c>
      <c r="E204" s="1108" t="s">
        <v>162</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3B36-42C8-629F-877B-0.21B33C4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7720" width="10.57421875" hidden="1"/>
    <col min="5" max="5" style="8429" width="9.140625" hidden="1" customWidth="1"/>
    <col min="6" max="7" style="7669" width="9.140625" hidden="1" customWidth="1"/>
    <col min="8" max="8" style="7739" width="3.00390625" customWidth="1"/>
    <col min="9" max="9" style="7720" width="6.00390625" customWidth="1"/>
    <col min="10" max="10" style="7720" width="63.00390625" customWidth="1"/>
    <col min="11" max="11" style="7720" width="9.00390625" customWidth="1"/>
    <col min="12" max="12" style="7720" width="39.00390625" customWidth="1"/>
    <col min="13" max="13" style="7720" width="89.00390625" customWidth="1"/>
    <col min="14" max="14" style="7720" width="10.00390625" customWidth="1"/>
    <col min="15" max="16" style="7672" width="10.00390625" customWidth="1"/>
    <col min="17" max="22" style="7720" width="10.00390625" customWidth="1"/>
    <col min="23" max="23" style="7720" width="10.57421875" hidden="1"/>
  </cols>
  <sheetData>
    <row customHeight="1" ht="22.5" hidden="1">
      <c r="S1" s="376"/>
      <c r="T1" s="376"/>
      <c r="V1" s="376"/>
      <c r="W1" s="1752" t="s">
        <v>14</v>
      </c>
    </row>
    <row customHeight="1" ht="22.5" hidden="1">
      <c r="B2" s="2174" t="s">
        <v>709</v>
      </c>
      <c r="C2" s="2174" t="s">
        <v>710</v>
      </c>
      <c r="D2" s="2173" t="s">
        <v>649</v>
      </c>
      <c r="E2" s="2179">
        <f>I2-3</f>
        <v>-3</v>
      </c>
      <c r="F2" s="2179">
        <f>J2</f>
        <v>0</v>
      </c>
      <c r="H2" s="1851" t="s">
        <v>104</v>
      </c>
      <c r="I2" s="2145"/>
      <c r="J2" s="1803"/>
      <c r="K2" s="2139" t="s">
        <v>330</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69" t="s">
        <v>711</v>
      </c>
      <c r="J5" s="2369"/>
      <c r="K5" s="2369"/>
      <c r="L5" s="2369"/>
      <c r="M5" s="387"/>
      <c r="W5" s="1752">
        <v>48</v>
      </c>
    </row>
    <row customHeight="1" ht="18">
      <c r="H6" s="497"/>
      <c r="I6" s="2370" t="str">
        <f>IF(org=0,"Не определено",org)</f>
        <v>ПАО "ТГК-1" филиал "Невский"</v>
      </c>
      <c r="J6" s="2370"/>
      <c r="K6" s="2370"/>
      <c r="L6" s="2370"/>
      <c r="M6" s="387"/>
      <c r="W6" s="1752">
        <v>17</v>
      </c>
    </row>
    <row customHeight="1" ht="14.699999999999998">
      <c r="H7" s="497"/>
      <c r="I7" s="578"/>
      <c r="J7" s="584"/>
      <c r="K7" s="584"/>
      <c r="L7" s="873"/>
      <c r="M7" s="314"/>
      <c r="W7" s="1752">
        <v>14</v>
      </c>
    </row>
    <row customHeight="1" ht="14.699999999999998">
      <c r="H8" s="497"/>
      <c r="I8" s="2507" t="s">
        <v>324</v>
      </c>
      <c r="J8" s="2508"/>
      <c r="K8" s="2508"/>
      <c r="L8" s="2509"/>
      <c r="M8" s="2510" t="s">
        <v>325</v>
      </c>
      <c r="W8" s="1752">
        <v>14</v>
      </c>
    </row>
    <row customHeight="1" ht="35.699999999999996">
      <c r="E9" s="2172" t="s">
        <v>640</v>
      </c>
      <c r="F9" s="2172" t="s">
        <v>646</v>
      </c>
      <c r="H9" s="497"/>
      <c r="I9" s="2146" t="s">
        <v>88</v>
      </c>
      <c r="J9" s="2147" t="s">
        <v>326</v>
      </c>
      <c r="K9" s="2185" t="s">
        <v>588</v>
      </c>
      <c r="L9" s="2186" t="s">
        <v>327</v>
      </c>
      <c r="M9" s="2510"/>
      <c r="W9" s="1752">
        <v>34</v>
      </c>
    </row>
    <row customHeight="1" ht="35.699999999999996">
      <c r="B10" s="2174" t="s">
        <v>712</v>
      </c>
      <c r="C10" s="2174" t="s">
        <v>713</v>
      </c>
      <c r="D10" s="2173" t="s">
        <v>649</v>
      </c>
      <c r="E10" s="2177" t="s">
        <v>650</v>
      </c>
      <c r="F10" s="2177" t="s">
        <v>650</v>
      </c>
      <c r="H10" s="497"/>
      <c r="I10" s="2145" t="s">
        <v>123</v>
      </c>
      <c r="J10" s="2007" t="s">
        <v>714</v>
      </c>
      <c r="K10" s="2139" t="s">
        <v>330</v>
      </c>
      <c r="L10" s="939"/>
      <c r="M10" s="418" t="s">
        <v>715</v>
      </c>
      <c r="W10" s="1752">
        <v>34</v>
      </c>
    </row>
    <row customHeight="1" ht="50.25">
      <c r="B11" s="2174" t="s">
        <v>716</v>
      </c>
      <c r="C11" s="2174" t="s">
        <v>717</v>
      </c>
      <c r="D11" s="2173" t="s">
        <v>649</v>
      </c>
      <c r="E11" s="2177" t="s">
        <v>650</v>
      </c>
      <c r="F11" s="2177" t="s">
        <v>650</v>
      </c>
      <c r="H11" s="497"/>
      <c r="I11" s="2145" t="s">
        <v>103</v>
      </c>
      <c r="J11" s="2007" t="s">
        <v>718</v>
      </c>
      <c r="K11" s="2139" t="s">
        <v>330</v>
      </c>
      <c r="L11" s="939"/>
      <c r="M11" s="418" t="s">
        <v>715</v>
      </c>
      <c r="W11" s="1752">
        <v>48</v>
      </c>
    </row>
    <row customHeight="1" ht="48.29999999999999">
      <c r="B12" s="2174" t="s">
        <v>719</v>
      </c>
      <c r="C12" s="2174" t="s">
        <v>720</v>
      </c>
      <c r="D12" s="2173" t="s">
        <v>649</v>
      </c>
      <c r="E12" s="2177" t="s">
        <v>650</v>
      </c>
      <c r="F12" s="2177" t="s">
        <v>650</v>
      </c>
      <c r="H12" s="1809"/>
      <c r="I12" s="2145" t="s">
        <v>90</v>
      </c>
      <c r="J12" s="2152" t="s">
        <v>721</v>
      </c>
      <c r="K12" s="2139" t="s">
        <v>330</v>
      </c>
      <c r="L12" s="939"/>
      <c r="M12" s="418" t="s">
        <v>722</v>
      </c>
      <c r="N12" s="1745"/>
      <c r="P12" s="1752"/>
      <c r="W12" s="1752">
        <v>46</v>
      </c>
    </row>
    <row customHeight="1" ht="14.699999999999998">
      <c r="E13" s="464"/>
      <c r="H13" s="497"/>
      <c r="I13" s="468"/>
      <c r="J13" s="772" t="s">
        <v>723</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82</v>
      </c>
      <c r="B16" s="1752">
        <v>9</v>
      </c>
      <c r="C16" s="1752">
        <v>9</v>
      </c>
      <c r="D16" s="1752">
        <v>9</v>
      </c>
      <c r="E16" s="2151" t="s">
        <v>161</v>
      </c>
      <c r="F16" s="2176" t="s">
        <v>161</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139E6-9059-E515-A767-0.7855F7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94" width="10.7109375" hidden="1" customWidth="1"/>
    <col min="2" max="2" style="7669" width="16.8515625" hidden="1" customWidth="1"/>
    <col min="3" max="3" style="7217" width="5.57421875" hidden="1" customWidth="1"/>
    <col min="4" max="4" style="7720" width="3.00390625" customWidth="1"/>
    <col min="5" max="5" style="7720" width="7.00390625" customWidth="1"/>
    <col min="6" max="6" style="7720" width="56.00390625" customWidth="1"/>
    <col min="7" max="7" style="7720" width="10.00390625" customWidth="1"/>
    <col min="8" max="8" style="7720" width="40.7109375" hidden="1" customWidth="1"/>
    <col min="9" max="9" style="7720" width="40.00390625" customWidth="1"/>
    <col min="10" max="10" style="7720" width="102.00390625" customWidth="1"/>
    <col min="11" max="11" style="7669" width="9.00390625" customWidth="1"/>
    <col min="12" max="12" style="7217" width="5.00390625" customWidth="1"/>
    <col min="13" max="13" style="7217" width="3.00390625" customWidth="1"/>
    <col min="14" max="17" style="7669" width="3.00390625" customWidth="1"/>
    <col min="18" max="18" style="7217" width="10.00390625" customWidth="1"/>
    <col min="19" max="19" style="7669" width="34.00390625" customWidth="1"/>
    <col min="20" max="20" style="7669" width="9.00390625" customWidth="1"/>
    <col min="21" max="21" style="7195" width="8.00390625" customWidth="1"/>
    <col min="22" max="26" style="7669" width="8.00390625" customWidth="1"/>
    <col min="27" max="31" style="8008" width="8.00390625" customWidth="1"/>
    <col min="32" max="32" style="7720" width="10.421875" hidden="1" customWidth="1"/>
  </cols>
  <sheetData>
    <row s="7669" customFormat="1" customHeight="1" ht="22.5" hidden="1">
      <c r="A1" s="1108"/>
      <c r="C1" s="1757"/>
      <c r="D1" s="658"/>
      <c r="H1" s="1281">
        <v>4</v>
      </c>
      <c r="I1" s="1281">
        <v>4</v>
      </c>
      <c r="L1" s="1757"/>
      <c r="M1" s="1757"/>
      <c r="R1" s="1757"/>
      <c r="AF1" s="1281" t="s">
        <v>14</v>
      </c>
    </row>
    <row s="7669" customFormat="1" customHeight="1" ht="22.5" hidden="1">
      <c r="A2" s="1108"/>
      <c r="C2" s="1757"/>
      <c r="D2" s="659"/>
      <c r="E2" s="1758"/>
      <c r="F2" s="661"/>
      <c r="G2" s="1760" t="s">
        <v>574</v>
      </c>
      <c r="H2" s="662"/>
      <c r="I2" s="662"/>
      <c r="J2" s="663" t="s">
        <v>724</v>
      </c>
      <c r="K2" s="664"/>
      <c r="L2" s="1757"/>
      <c r="M2" s="1757"/>
      <c r="R2" s="1757"/>
      <c r="U2" s="665"/>
      <c r="AA2" s="1753"/>
      <c r="AB2" s="1753"/>
      <c r="AC2" s="1753"/>
      <c r="AD2" s="1753"/>
      <c r="AE2" s="1753"/>
      <c r="AF2" s="1281">
        <v>0</v>
      </c>
    </row>
    <row customHeight="1" ht="11.25" hidden="1">
      <c r="AF3" s="1752">
        <v>0</v>
      </c>
    </row>
    <row s="8008"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28" t="s">
        <v>725</v>
      </c>
      <c r="F6" s="2428"/>
      <c r="G6" s="2428"/>
      <c r="H6" s="2428"/>
      <c r="I6" s="2428"/>
      <c r="J6" s="677"/>
      <c r="AF6" s="1752">
        <v>30</v>
      </c>
    </row>
    <row customHeight="1" ht="11.549999999999999">
      <c r="E7" s="2370" t="str">
        <f>IF(org=0,"Не определено",org)</f>
        <v>ПАО "ТГК-1" филиал "Невский"</v>
      </c>
      <c r="F7" s="2370"/>
      <c r="G7" s="2370"/>
      <c r="H7" s="2370"/>
      <c r="I7" s="2370"/>
      <c r="AF7" s="1752">
        <v>11</v>
      </c>
    </row>
    <row customHeight="1" ht="11.549999999999999">
      <c r="E8" s="1256"/>
      <c r="F8" s="1256"/>
      <c r="G8" s="1256"/>
      <c r="H8" s="1256"/>
      <c r="I8" s="1256"/>
      <c r="AF8" s="1752">
        <v>11</v>
      </c>
    </row>
    <row s="7217" customFormat="1" customHeight="1" ht="4.2">
      <c r="A9" s="1288"/>
      <c r="D9" s="1763"/>
      <c r="H9" s="1010"/>
      <c r="I9" s="1010" t="s">
        <v>130</v>
      </c>
      <c r="AF9" s="1757">
        <v>4</v>
      </c>
    </row>
    <row customHeight="1" ht="11.549999999999999">
      <c r="E10" s="832"/>
      <c r="F10" s="2488" t="s">
        <v>119</v>
      </c>
      <c r="G10" s="2489"/>
      <c r="H10" s="1673" t="str">
        <f>IF(H9="","",INDEX(DIFFERENTIATION_UNMERGE_VD,MATCH(H9,DIFFERENTIATION_ID_DIFF,0)))</f>
        <v/>
      </c>
      <c r="I10" s="1673">
        <f>IF(I9="","",INDEX(DIFFERENTIATION_UNMERGE_VD,MATCH(I9,DIFFERENTIATION_ID_DIFF,0)))</f>
        <v>0</v>
      </c>
      <c r="J10" s="2248"/>
      <c r="AF10" s="1752">
        <v>11</v>
      </c>
    </row>
    <row customHeight="1" ht="11.549999999999999">
      <c r="E11" s="832"/>
      <c r="F11" s="2488" t="s">
        <v>586</v>
      </c>
      <c r="G11" s="2489"/>
      <c r="H11" s="1673" t="str">
        <f>IF(H9="","",INDEX(DIFFERENTIATION_UNMERGE_AREA,MATCH(H9,DIFFERENTIATION_ID_DIFF,0)))</f>
        <v/>
      </c>
      <c r="I11" s="1673" t="str">
        <f>IF(I9="","",INDEX(DIFFERENTIATION_UNMERGE_AREA,MATCH(I9,DIFFERENTIATION_ID_DIFF,0)))</f>
        <v/>
      </c>
      <c r="J11" s="2248"/>
      <c r="AF11" s="1752">
        <v>11</v>
      </c>
    </row>
    <row customHeight="1" ht="1.05">
      <c r="E12" s="1783"/>
      <c r="F12" s="2511" t="s">
        <v>587</v>
      </c>
      <c r="G12" s="2512"/>
      <c r="H12" s="1784" t="str">
        <f>IF(H9="","",INDEX(DIFFERENTIATION_UNMERGE_SYSTEM,MATCH(H9,DIFFERENTIATION_ID_DIFF,0)))</f>
        <v/>
      </c>
      <c r="I12" s="1784" t="str">
        <f>IF(I9="","",INDEX(DIFFERENTIATION_UNMERGE_SYSTEM,MATCH(I9,DIFFERENTIATION_ID_DIFF,0)))</f>
        <v>без дифференциации</v>
      </c>
      <c r="J12" s="2248"/>
      <c r="AF12" s="1752">
        <v>1</v>
      </c>
    </row>
    <row customHeight="1" ht="11.549999999999999">
      <c r="E13" s="2490" t="s">
        <v>324</v>
      </c>
      <c r="F13" s="2491"/>
      <c r="G13" s="2491"/>
      <c r="H13" s="1672"/>
      <c r="I13" s="1672"/>
      <c r="J13" s="2248"/>
      <c r="AF13" s="1752">
        <v>11</v>
      </c>
    </row>
    <row customHeight="1" ht="24">
      <c r="E14" s="1760" t="s">
        <v>88</v>
      </c>
      <c r="F14" s="1755" t="s">
        <v>326</v>
      </c>
      <c r="G14" s="1755" t="s">
        <v>588</v>
      </c>
      <c r="H14" s="1755" t="s">
        <v>327</v>
      </c>
      <c r="I14" s="1755" t="s">
        <v>327</v>
      </c>
      <c r="J14" s="2248"/>
      <c r="AF14" s="1752">
        <v>23</v>
      </c>
    </row>
    <row customHeight="1" ht="19.95">
      <c r="D15" s="1759"/>
      <c r="E15" s="1751" t="s">
        <v>123</v>
      </c>
      <c r="F15" s="828" t="s">
        <v>726</v>
      </c>
      <c r="G15" s="1767" t="s">
        <v>574</v>
      </c>
      <c r="H15" s="678"/>
      <c r="I15" s="678"/>
      <c r="J15" s="410" t="s">
        <v>727</v>
      </c>
      <c r="K15" s="664" t="s">
        <v>652</v>
      </c>
      <c r="AF15" s="1752">
        <v>19</v>
      </c>
    </row>
    <row customHeight="1" ht="35.699999999999996">
      <c r="D16" s="1759"/>
      <c r="E16" s="1751" t="s">
        <v>103</v>
      </c>
      <c r="F16" s="828" t="s">
        <v>728</v>
      </c>
      <c r="G16" s="1767" t="s">
        <v>574</v>
      </c>
      <c r="H16" s="679">
        <f>SUM(H17,H20:H32)</f>
        <v>0</v>
      </c>
      <c r="I16" s="679">
        <f>SUM(I17,I20,I23,I26,I29:I32)</f>
        <v>0</v>
      </c>
      <c r="J16" s="410" t="s">
        <v>729</v>
      </c>
      <c r="K16" s="664" t="s">
        <v>652</v>
      </c>
      <c r="AF16" s="1752">
        <v>34</v>
      </c>
    </row>
    <row customHeight="1" ht="19.95">
      <c r="D17" s="1759"/>
      <c r="E17" s="1785" t="s">
        <v>730</v>
      </c>
      <c r="F17" s="1075" t="s">
        <v>731</v>
      </c>
      <c r="G17" s="1764" t="s">
        <v>574</v>
      </c>
      <c r="H17" s="678"/>
      <c r="I17" s="678"/>
      <c r="J17" s="410" t="s">
        <v>732</v>
      </c>
      <c r="K17" s="664"/>
      <c r="AF17" s="1752">
        <v>19</v>
      </c>
    </row>
    <row customHeight="1" ht="24">
      <c r="D18" s="1759"/>
      <c r="E18" s="1785" t="s">
        <v>733</v>
      </c>
      <c r="F18" s="1771" t="s">
        <v>734</v>
      </c>
      <c r="G18" s="1764" t="s">
        <v>574</v>
      </c>
      <c r="H18" s="678"/>
      <c r="I18" s="678"/>
      <c r="J18" s="410" t="s">
        <v>735</v>
      </c>
      <c r="K18" s="664"/>
      <c r="AF18" s="1752">
        <v>23</v>
      </c>
    </row>
    <row customHeight="1" ht="35.699999999999996">
      <c r="D19" s="1759"/>
      <c r="E19" s="1785" t="s">
        <v>736</v>
      </c>
      <c r="F19" s="1771" t="s">
        <v>737</v>
      </c>
      <c r="G19" s="1764" t="s">
        <v>574</v>
      </c>
      <c r="H19" s="678"/>
      <c r="I19" s="678"/>
      <c r="J19" s="410"/>
      <c r="K19" s="664"/>
      <c r="AF19" s="1752">
        <v>34</v>
      </c>
    </row>
    <row customHeight="1" ht="19.95">
      <c r="D20" s="1759"/>
      <c r="E20" s="1785" t="s">
        <v>331</v>
      </c>
      <c r="F20" s="1075" t="s">
        <v>738</v>
      </c>
      <c r="G20" s="1764" t="s">
        <v>574</v>
      </c>
      <c r="H20" s="678"/>
      <c r="I20" s="678"/>
      <c r="J20" s="410" t="s">
        <v>739</v>
      </c>
      <c r="K20" s="664"/>
      <c r="AF20" s="1752">
        <v>19</v>
      </c>
    </row>
    <row customHeight="1" ht="19.95">
      <c r="D21" s="1759"/>
      <c r="E21" s="1785" t="s">
        <v>740</v>
      </c>
      <c r="F21" s="1771" t="s">
        <v>741</v>
      </c>
      <c r="G21" s="1764" t="s">
        <v>574</v>
      </c>
      <c r="H21" s="678"/>
      <c r="I21" s="678"/>
      <c r="J21" s="410"/>
      <c r="K21" s="664"/>
      <c r="AF21" s="1752">
        <v>19</v>
      </c>
    </row>
    <row customHeight="1" ht="19.95">
      <c r="D22" s="1759"/>
      <c r="E22" s="1785" t="s">
        <v>742</v>
      </c>
      <c r="F22" s="1771" t="s">
        <v>743</v>
      </c>
      <c r="G22" s="1764" t="s">
        <v>574</v>
      </c>
      <c r="H22" s="678"/>
      <c r="I22" s="678"/>
      <c r="J22" s="410"/>
      <c r="K22" s="664"/>
      <c r="AF22" s="1752">
        <v>19</v>
      </c>
    </row>
    <row customHeight="1" ht="24">
      <c r="D23" s="1759"/>
      <c r="E23" s="1785" t="s">
        <v>334</v>
      </c>
      <c r="F23" s="1075" t="s">
        <v>744</v>
      </c>
      <c r="G23" s="1764" t="s">
        <v>574</v>
      </c>
      <c r="H23" s="678"/>
      <c r="I23" s="678"/>
      <c r="J23" s="410" t="s">
        <v>745</v>
      </c>
      <c r="K23" s="664"/>
      <c r="AF23" s="1752">
        <v>23</v>
      </c>
    </row>
    <row customHeight="1" ht="19.95">
      <c r="D24" s="1759"/>
      <c r="E24" s="1785" t="s">
        <v>746</v>
      </c>
      <c r="F24" s="1771" t="s">
        <v>747</v>
      </c>
      <c r="G24" s="1764" t="s">
        <v>574</v>
      </c>
      <c r="H24" s="678"/>
      <c r="I24" s="678"/>
      <c r="J24" s="410"/>
      <c r="K24" s="664"/>
      <c r="AF24" s="1752">
        <v>19</v>
      </c>
    </row>
    <row customHeight="1" ht="35.699999999999996">
      <c r="D25" s="1759"/>
      <c r="E25" s="1785" t="s">
        <v>748</v>
      </c>
      <c r="F25" s="1771" t="s">
        <v>749</v>
      </c>
      <c r="G25" s="1764" t="s">
        <v>574</v>
      </c>
      <c r="H25" s="678"/>
      <c r="I25" s="678"/>
      <c r="J25" s="410"/>
      <c r="K25" s="664"/>
      <c r="AF25" s="1752">
        <v>34</v>
      </c>
    </row>
    <row customHeight="1" ht="24">
      <c r="D26" s="1759"/>
      <c r="E26" s="1785" t="s">
        <v>750</v>
      </c>
      <c r="F26" s="1075" t="s">
        <v>751</v>
      </c>
      <c r="G26" s="1764" t="s">
        <v>574</v>
      </c>
      <c r="H26" s="678"/>
      <c r="I26" s="678"/>
      <c r="J26" s="410" t="s">
        <v>752</v>
      </c>
      <c r="K26" s="664"/>
      <c r="AF26" s="1752">
        <v>23</v>
      </c>
    </row>
    <row customHeight="1" ht="19.95">
      <c r="D27" s="1759"/>
      <c r="E27" s="1796" t="s">
        <v>753</v>
      </c>
      <c r="F27" s="1771" t="s">
        <v>754</v>
      </c>
      <c r="G27" s="1775" t="s">
        <v>574</v>
      </c>
      <c r="H27" s="1797"/>
      <c r="I27" s="1797"/>
      <c r="J27" s="410"/>
      <c r="K27" s="664"/>
      <c r="AF27" s="1752">
        <v>19</v>
      </c>
    </row>
    <row customHeight="1" ht="19.95">
      <c r="D28" s="1759"/>
      <c r="E28" s="1796" t="s">
        <v>755</v>
      </c>
      <c r="F28" s="1771" t="s">
        <v>756</v>
      </c>
      <c r="G28" s="1775" t="s">
        <v>574</v>
      </c>
      <c r="H28" s="1797"/>
      <c r="I28" s="1797"/>
      <c r="J28" s="410"/>
      <c r="K28" s="664"/>
      <c r="AF28" s="1752">
        <v>19</v>
      </c>
    </row>
    <row customHeight="1" ht="19.95">
      <c r="D29" s="1759"/>
      <c r="E29" s="1796" t="s">
        <v>757</v>
      </c>
      <c r="F29" s="1075" t="s">
        <v>758</v>
      </c>
      <c r="G29" s="1775" t="s">
        <v>574</v>
      </c>
      <c r="H29" s="1797"/>
      <c r="I29" s="1797"/>
      <c r="J29" s="410"/>
      <c r="K29" s="664"/>
      <c r="AF29" s="1752">
        <v>19</v>
      </c>
    </row>
    <row customHeight="1" ht="19.95">
      <c r="D30" s="1759"/>
      <c r="E30" s="1796" t="s">
        <v>759</v>
      </c>
      <c r="F30" s="1075" t="s">
        <v>760</v>
      </c>
      <c r="G30" s="1775" t="s">
        <v>574</v>
      </c>
      <c r="H30" s="1797"/>
      <c r="I30" s="1797"/>
      <c r="J30" s="410"/>
      <c r="K30" s="664"/>
      <c r="AF30" s="1752">
        <v>19</v>
      </c>
    </row>
    <row customHeight="1" ht="19.95">
      <c r="D31" s="1759"/>
      <c r="E31" s="1796" t="s">
        <v>761</v>
      </c>
      <c r="F31" s="1075" t="s">
        <v>762</v>
      </c>
      <c r="G31" s="1775" t="s">
        <v>574</v>
      </c>
      <c r="H31" s="1797"/>
      <c r="I31" s="1797"/>
      <c r="J31" s="410"/>
      <c r="K31" s="664"/>
      <c r="AF31" s="1752">
        <v>19</v>
      </c>
    </row>
    <row s="7669" customFormat="1" customHeight="1" ht="35.699999999999996">
      <c r="A32" s="1108"/>
      <c r="C32" s="1757"/>
      <c r="D32" s="1759"/>
      <c r="E32" s="1796" t="s">
        <v>763</v>
      </c>
      <c r="F32" s="1075" t="s">
        <v>764</v>
      </c>
      <c r="G32" s="1765" t="s">
        <v>574</v>
      </c>
      <c r="H32" s="700">
        <f>SUM(H33:H34)</f>
        <v>0</v>
      </c>
      <c r="I32" s="700">
        <f>SUM(I33:I34)</f>
        <v>0</v>
      </c>
      <c r="J32" s="410" t="s">
        <v>765</v>
      </c>
      <c r="K32" s="664"/>
      <c r="L32" s="1757"/>
      <c r="M32" s="1757"/>
      <c r="R32" s="1757"/>
      <c r="U32" s="665"/>
      <c r="AA32" s="1753"/>
      <c r="AB32" s="1753"/>
      <c r="AC32" s="1753"/>
      <c r="AD32" s="1753"/>
      <c r="AE32" s="1753"/>
      <c r="AF32" s="1281">
        <v>34</v>
      </c>
    </row>
    <row s="7217" customFormat="1" customHeight="1" ht="1.05">
      <c r="A33" s="1288"/>
      <c r="D33" s="669"/>
      <c r="E33" s="923" t="str">
        <f>E32&amp;".0"</f>
        <v>2.8.0</v>
      </c>
      <c r="F33" s="1112"/>
      <c r="G33" s="672"/>
      <c r="H33" s="1113"/>
      <c r="I33" s="1113"/>
      <c r="J33" s="1114"/>
      <c r="AF33" s="1757">
        <v>1</v>
      </c>
    </row>
    <row s="7669" customFormat="1" customHeight="1" ht="19.95">
      <c r="A34" s="1108"/>
      <c r="C34" s="1757"/>
      <c r="D34" s="1754"/>
      <c r="E34" s="691"/>
      <c r="F34" s="1787" t="s">
        <v>599</v>
      </c>
      <c r="G34" s="693"/>
      <c r="H34" s="694"/>
      <c r="I34" s="694"/>
      <c r="J34" s="422" t="s">
        <v>766</v>
      </c>
      <c r="K34" s="664"/>
      <c r="L34" s="1757"/>
      <c r="M34" s="1757"/>
      <c r="R34" s="1757"/>
      <c r="U34" s="665"/>
      <c r="AA34" s="1753"/>
      <c r="AB34" s="1753"/>
      <c r="AC34" s="1753"/>
      <c r="AD34" s="1753"/>
      <c r="AE34" s="1753"/>
      <c r="AF34" s="1281">
        <v>19</v>
      </c>
    </row>
    <row customHeight="1" ht="60">
      <c r="D35" s="1759"/>
      <c r="E35" s="1796" t="s">
        <v>767</v>
      </c>
      <c r="F35" s="1075" t="s">
        <v>768</v>
      </c>
      <c r="G35" s="1775" t="s">
        <v>574</v>
      </c>
      <c r="H35" s="1797"/>
      <c r="I35" s="1797"/>
      <c r="J35" s="410" t="s">
        <v>769</v>
      </c>
      <c r="K35" s="664"/>
      <c r="AF35" s="1752">
        <v>57</v>
      </c>
    </row>
    <row s="7669" customFormat="1" customHeight="1" ht="24">
      <c r="A36" s="1110" t="s">
        <v>600</v>
      </c>
      <c r="C36" s="1757"/>
      <c r="D36" s="1759"/>
      <c r="E36" s="1785" t="s">
        <v>90</v>
      </c>
      <c r="F36" s="828" t="s">
        <v>770</v>
      </c>
      <c r="G36" s="1764" t="s">
        <v>574</v>
      </c>
      <c r="H36" s="678"/>
      <c r="I36" s="678"/>
      <c r="J36" s="410" t="s">
        <v>771</v>
      </c>
      <c r="K36" s="664"/>
      <c r="L36" s="1757"/>
      <c r="M36" s="1757"/>
      <c r="R36" s="1757"/>
      <c r="U36" s="665"/>
      <c r="AA36" s="1753"/>
      <c r="AB36" s="1753"/>
      <c r="AC36" s="1753"/>
      <c r="AD36" s="1753"/>
      <c r="AE36" s="1753"/>
      <c r="AF36" s="1281">
        <v>23</v>
      </c>
    </row>
    <row s="7669" customFormat="1" customHeight="1" ht="35.699999999999996">
      <c r="A37" s="1110"/>
      <c r="C37" s="1757"/>
      <c r="D37" s="1759"/>
      <c r="E37" s="1785" t="s">
        <v>348</v>
      </c>
      <c r="F37" s="1075" t="s">
        <v>772</v>
      </c>
      <c r="G37" s="1775"/>
      <c r="H37" s="678"/>
      <c r="I37" s="678"/>
      <c r="J37" s="410"/>
      <c r="K37" s="664"/>
      <c r="L37" s="1757"/>
      <c r="M37" s="1757"/>
      <c r="R37" s="1757"/>
      <c r="U37" s="665"/>
      <c r="AA37" s="1753"/>
      <c r="AB37" s="1753"/>
      <c r="AC37" s="1753"/>
      <c r="AD37" s="1753"/>
      <c r="AE37" s="1753"/>
      <c r="AF37" s="1281">
        <v>34</v>
      </c>
    </row>
    <row s="7669" customFormat="1" customHeight="1" ht="19.95">
      <c r="A38" s="1108"/>
      <c r="C38" s="1757"/>
      <c r="D38" s="696"/>
      <c r="E38" s="1785" t="s">
        <v>91</v>
      </c>
      <c r="F38" s="828" t="s">
        <v>773</v>
      </c>
      <c r="G38" s="1764" t="s">
        <v>574</v>
      </c>
      <c r="H38" s="678"/>
      <c r="I38" s="678"/>
      <c r="J38" s="410" t="s">
        <v>774</v>
      </c>
      <c r="K38" s="664"/>
      <c r="L38" s="1757"/>
      <c r="M38" s="1757"/>
      <c r="R38" s="1757"/>
      <c r="U38" s="665"/>
      <c r="AA38" s="1753"/>
      <c r="AB38" s="1753"/>
      <c r="AC38" s="1753"/>
      <c r="AD38" s="1753"/>
      <c r="AE38" s="1753"/>
      <c r="AF38" s="1281">
        <v>19</v>
      </c>
    </row>
    <row s="7669" customFormat="1" customHeight="1" ht="24">
      <c r="A39" s="1108"/>
      <c r="C39" s="1757"/>
      <c r="D39" s="696"/>
      <c r="E39" s="1785" t="s">
        <v>775</v>
      </c>
      <c r="F39" s="1075" t="s">
        <v>776</v>
      </c>
      <c r="G39" s="1775" t="s">
        <v>574</v>
      </c>
      <c r="H39" s="678"/>
      <c r="I39" s="678"/>
      <c r="J39" s="410" t="s">
        <v>777</v>
      </c>
      <c r="K39" s="664"/>
      <c r="L39" s="1757"/>
      <c r="M39" s="1757"/>
      <c r="R39" s="1757"/>
      <c r="U39" s="665"/>
      <c r="AA39" s="1753"/>
      <c r="AB39" s="1753"/>
      <c r="AC39" s="1753"/>
      <c r="AD39" s="1753"/>
      <c r="AE39" s="1753"/>
      <c r="AF39" s="1281">
        <v>23</v>
      </c>
    </row>
    <row s="7669" customFormat="1" customHeight="1" ht="24">
      <c r="A40" s="1108"/>
      <c r="C40" s="1757"/>
      <c r="D40" s="1759"/>
      <c r="E40" s="1785" t="s">
        <v>778</v>
      </c>
      <c r="F40" s="1771" t="s">
        <v>779</v>
      </c>
      <c r="G40" s="1764" t="s">
        <v>574</v>
      </c>
      <c r="H40" s="678"/>
      <c r="I40" s="678"/>
      <c r="J40" s="410" t="s">
        <v>780</v>
      </c>
      <c r="K40" s="664"/>
      <c r="L40" s="1757"/>
      <c r="M40" s="1757"/>
      <c r="R40" s="1757"/>
      <c r="U40" s="665"/>
      <c r="AA40" s="1753"/>
      <c r="AB40" s="1753"/>
      <c r="AC40" s="1753"/>
      <c r="AD40" s="1753"/>
      <c r="AE40" s="1753"/>
      <c r="AF40" s="1281">
        <v>23</v>
      </c>
    </row>
    <row s="7669" customFormat="1" customHeight="1" ht="24">
      <c r="A41" s="1108"/>
      <c r="C41" s="1757"/>
      <c r="D41" s="1759"/>
      <c r="E41" s="1785" t="s">
        <v>781</v>
      </c>
      <c r="F41" s="1771" t="s">
        <v>782</v>
      </c>
      <c r="G41" s="1764" t="s">
        <v>574</v>
      </c>
      <c r="H41" s="678"/>
      <c r="I41" s="678"/>
      <c r="J41" s="410" t="s">
        <v>783</v>
      </c>
      <c r="K41" s="664"/>
      <c r="L41" s="1757"/>
      <c r="M41" s="1757"/>
      <c r="R41" s="1757"/>
      <c r="U41" s="665"/>
      <c r="AA41" s="1753"/>
      <c r="AB41" s="1753"/>
      <c r="AC41" s="1753"/>
      <c r="AD41" s="1753"/>
      <c r="AE41" s="1753"/>
      <c r="AF41" s="1281">
        <v>23</v>
      </c>
    </row>
    <row s="7669" customFormat="1" customHeight="1" ht="24">
      <c r="A42" s="1108"/>
      <c r="C42" s="1757"/>
      <c r="D42" s="1759"/>
      <c r="E42" s="1785" t="s">
        <v>784</v>
      </c>
      <c r="F42" s="1771" t="s">
        <v>785</v>
      </c>
      <c r="G42" s="1764" t="s">
        <v>574</v>
      </c>
      <c r="H42" s="678"/>
      <c r="I42" s="678"/>
      <c r="J42" s="410" t="s">
        <v>786</v>
      </c>
      <c r="K42" s="664"/>
      <c r="L42" s="1757"/>
      <c r="M42" s="1757"/>
      <c r="R42" s="1757"/>
      <c r="U42" s="665"/>
      <c r="AA42" s="1753"/>
      <c r="AB42" s="1753"/>
      <c r="AC42" s="1753"/>
      <c r="AD42" s="1753"/>
      <c r="AE42" s="1753"/>
      <c r="AF42" s="1281">
        <v>23</v>
      </c>
    </row>
    <row s="7669" customFormat="1" customHeight="1" ht="35.699999999999996">
      <c r="A43" s="1108"/>
      <c r="C43" s="1757" t="s">
        <v>610</v>
      </c>
      <c r="D43" s="1759"/>
      <c r="E43" s="1785" t="s">
        <v>124</v>
      </c>
      <c r="F43" s="828" t="s">
        <v>651</v>
      </c>
      <c r="G43" s="1767" t="s">
        <v>787</v>
      </c>
      <c r="H43" s="522"/>
      <c r="I43" s="522"/>
      <c r="J43" s="410" t="s">
        <v>788</v>
      </c>
      <c r="K43" s="664"/>
      <c r="L43" s="1757"/>
      <c r="M43" s="1757"/>
      <c r="R43" s="1757"/>
      <c r="U43" s="665"/>
      <c r="AA43" s="1753"/>
      <c r="AB43" s="1753"/>
      <c r="AC43" s="1753"/>
      <c r="AD43" s="1753"/>
      <c r="AE43" s="1753"/>
      <c r="AF43" s="1281">
        <v>34</v>
      </c>
    </row>
    <row s="7669" customFormat="1" customHeight="1" ht="35.699999999999996">
      <c r="A44" s="1108"/>
      <c r="C44" s="1757"/>
      <c r="D44" s="1759"/>
      <c r="E44" s="1785" t="s">
        <v>92</v>
      </c>
      <c r="F44" s="828" t="s">
        <v>789</v>
      </c>
      <c r="G44" s="1764" t="s">
        <v>790</v>
      </c>
      <c r="H44" s="666"/>
      <c r="I44" s="666"/>
      <c r="J44" s="410" t="s">
        <v>791</v>
      </c>
      <c r="K44" s="664"/>
      <c r="L44" s="1757"/>
      <c r="M44" s="1757"/>
      <c r="R44" s="1757"/>
      <c r="U44" s="665"/>
      <c r="AA44" s="1753"/>
      <c r="AB44" s="1753"/>
      <c r="AC44" s="1753"/>
      <c r="AD44" s="1753"/>
      <c r="AE44" s="1753"/>
      <c r="AF44" s="1281">
        <v>34</v>
      </c>
    </row>
    <row s="7669" customFormat="1" customHeight="1" ht="24">
      <c r="A45" s="1108"/>
      <c r="C45" s="1757"/>
      <c r="D45" s="1759"/>
      <c r="E45" s="1785" t="s">
        <v>93</v>
      </c>
      <c r="F45" s="828" t="s">
        <v>792</v>
      </c>
      <c r="G45" s="1775" t="s">
        <v>793</v>
      </c>
      <c r="H45" s="666"/>
      <c r="I45" s="666"/>
      <c r="J45" s="410" t="s">
        <v>794</v>
      </c>
      <c r="K45" s="664"/>
      <c r="L45" s="1757"/>
      <c r="M45" s="1757"/>
      <c r="R45" s="1757"/>
      <c r="U45" s="665"/>
      <c r="AA45" s="1753"/>
      <c r="AB45" s="1753"/>
      <c r="AC45" s="1753"/>
      <c r="AD45" s="1753"/>
      <c r="AE45" s="1753"/>
      <c r="AF45" s="1281">
        <v>23</v>
      </c>
    </row>
    <row s="7669" customFormat="1" customHeight="1" ht="19.95">
      <c r="A46" s="1108"/>
      <c r="C46" s="1757"/>
      <c r="D46" s="1759"/>
      <c r="E46" s="1785" t="s">
        <v>125</v>
      </c>
      <c r="F46" s="828" t="s">
        <v>795</v>
      </c>
      <c r="G46" s="1764" t="s">
        <v>612</v>
      </c>
      <c r="H46" s="698"/>
      <c r="I46" s="698"/>
      <c r="J46" s="410"/>
      <c r="K46" s="664"/>
      <c r="L46" s="1757"/>
      <c r="M46" s="1757"/>
      <c r="R46" s="1757"/>
      <c r="U46" s="665"/>
      <c r="AA46" s="1753"/>
      <c r="AB46" s="1753"/>
      <c r="AC46" s="1753"/>
      <c r="AD46" s="1753"/>
      <c r="AE46" s="1753"/>
      <c r="AF46" s="1281">
        <v>19</v>
      </c>
    </row>
    <row customHeight="1" ht="11.549999999999999">
      <c r="D47" s="1759"/>
      <c r="AF47" s="1752">
        <v>11</v>
      </c>
    </row>
    <row s="6812"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812"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812" customFormat="1" customHeight="1" ht="11.549999999999999">
      <c r="A50" s="1108"/>
      <c r="B50" s="1757"/>
      <c r="C50" s="1757"/>
      <c r="D50" s="472"/>
      <c r="H50" s="687"/>
      <c r="I50" s="687"/>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812"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812"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812"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812"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812"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812"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812"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812"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812"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812"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812"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812"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812"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812"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812"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812"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812"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812"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812"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812"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812"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812"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812"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812"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812"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812"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812"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812"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812"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812"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812"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812"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812"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812"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812"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812"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812"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812"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812"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812"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812"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812"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812"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812"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812"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812"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812"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812"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812"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812"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812"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812"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812"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812"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812"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812"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812"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812"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812"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812"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812"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812"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812"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812"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812"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812"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812"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812"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812"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812"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812"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812"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812"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812"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812"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812"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812"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812"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812"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812"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812"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812"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812"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81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81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812"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81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81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81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81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81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81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81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81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81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81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81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81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81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81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81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81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81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81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81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81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81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81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81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81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81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81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81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81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81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81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81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81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81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81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81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81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81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81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81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81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81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81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81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81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81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81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81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81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81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81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81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81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81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81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81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81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81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81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81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812"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812"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812"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812"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812"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812"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812"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customHeight="1" ht="11.549999999999999">
      <c r="AF203" s="1752">
        <v>11</v>
      </c>
    </row>
    <row customHeight="1" ht="11.549999999999999">
      <c r="AF204" s="1752">
        <v>11</v>
      </c>
    </row>
    <row customHeight="1" ht="11.549999999999999">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25" hidden="1">
      <c r="A217" s="1108" t="s">
        <v>82</v>
      </c>
      <c r="B217" s="1281">
        <v>0</v>
      </c>
      <c r="C217" s="1757">
        <v>0</v>
      </c>
      <c r="D217" s="1756">
        <v>3</v>
      </c>
      <c r="E217" s="1752">
        <v>7</v>
      </c>
      <c r="F217" s="1752">
        <v>56</v>
      </c>
      <c r="G217" s="1752">
        <v>10</v>
      </c>
      <c r="H217" s="1752">
        <v>0</v>
      </c>
      <c r="I217" s="1752">
        <v>40</v>
      </c>
      <c r="J217" s="1752">
        <v>102</v>
      </c>
      <c r="K217" s="1281">
        <v>9</v>
      </c>
      <c r="L217" s="1757">
        <v>5</v>
      </c>
      <c r="M217" s="1757">
        <v>3</v>
      </c>
      <c r="N217" s="1281">
        <v>3</v>
      </c>
      <c r="O217" s="1281">
        <v>3</v>
      </c>
      <c r="P217" s="1281">
        <v>3</v>
      </c>
      <c r="Q217" s="1281">
        <v>3</v>
      </c>
      <c r="R217" s="1757">
        <v>10</v>
      </c>
      <c r="S217" s="1281">
        <v>34</v>
      </c>
      <c r="T217" s="1281">
        <v>9</v>
      </c>
      <c r="U217" s="665">
        <v>8</v>
      </c>
      <c r="V217" s="1281">
        <v>8</v>
      </c>
      <c r="W217" s="1281">
        <v>8</v>
      </c>
      <c r="X217" s="1281">
        <v>8</v>
      </c>
      <c r="Y217" s="1281">
        <v>8</v>
      </c>
      <c r="Z217" s="1281">
        <v>8</v>
      </c>
      <c r="AA217" s="1753">
        <v>8</v>
      </c>
      <c r="AB217" s="1753">
        <v>8</v>
      </c>
      <c r="AC217" s="1753">
        <v>8</v>
      </c>
      <c r="AD217" s="1753">
        <v>8</v>
      </c>
      <c r="AE217" s="1753">
        <v>8</v>
      </c>
      <c r="AF217" s="175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52254-C97B-C64D-806A-0.DBBF0CA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94" width="10.7109375" hidden="1" customWidth="1"/>
    <col min="2" max="2" style="7669" width="16.8515625" hidden="1" customWidth="1"/>
    <col min="3" max="3" style="7217" width="5.57421875" hidden="1" customWidth="1"/>
    <col min="4" max="4" style="7720" width="3.00390625" customWidth="1"/>
    <col min="5" max="5" style="7720" width="7.00390625" customWidth="1"/>
    <col min="6" max="6" style="7720" width="54.00390625" customWidth="1"/>
    <col min="7" max="7" style="7720" width="10.00390625" customWidth="1"/>
    <col min="8" max="8" style="7720" width="40.7109375" hidden="1" customWidth="1"/>
    <col min="9" max="9" style="7720" width="40.00390625" customWidth="1"/>
    <col min="10" max="10" style="7720" width="102.00390625" customWidth="1"/>
    <col min="11" max="11" style="7669" width="9.00390625" customWidth="1"/>
    <col min="12" max="12" style="7217" width="5.00390625" customWidth="1"/>
    <col min="13" max="13" style="7217" width="3.00390625" customWidth="1"/>
    <col min="14" max="17" style="7669" width="3.00390625" customWidth="1"/>
    <col min="18" max="18" style="7217" width="10.00390625" customWidth="1"/>
    <col min="19" max="19" style="7669" width="34.00390625" customWidth="1"/>
    <col min="20" max="20" style="7669" width="9.00390625" customWidth="1"/>
    <col min="21" max="21" style="7195" width="8.00390625" customWidth="1"/>
    <col min="22" max="26" style="7669" width="8.00390625" customWidth="1"/>
    <col min="27" max="31" style="8008" width="8.00390625" customWidth="1"/>
    <col min="32" max="32" style="7720" width="9.140625" hidden="1"/>
  </cols>
  <sheetData>
    <row s="7669" customFormat="1" customHeight="1" ht="22.5" hidden="1">
      <c r="A1" s="1108"/>
      <c r="C1" s="1757"/>
      <c r="D1" s="658"/>
      <c r="H1" s="1281">
        <v>4</v>
      </c>
      <c r="I1" s="1281">
        <v>4</v>
      </c>
      <c r="L1" s="1757"/>
      <c r="M1" s="1757"/>
      <c r="R1" s="1757"/>
      <c r="AF1" s="1281" t="s">
        <v>14</v>
      </c>
    </row>
    <row s="7669" customFormat="1" customHeight="1" ht="22.5" hidden="1">
      <c r="A2" s="1108"/>
      <c r="C2" s="1757"/>
      <c r="D2" s="659"/>
      <c r="E2" s="1779"/>
      <c r="F2" s="661"/>
      <c r="G2" s="1778" t="s">
        <v>574</v>
      </c>
      <c r="H2" s="662"/>
      <c r="I2" s="662"/>
      <c r="J2" s="663" t="s">
        <v>577</v>
      </c>
      <c r="K2" s="664"/>
      <c r="L2" s="1757"/>
      <c r="M2" s="1757"/>
      <c r="R2" s="1757"/>
      <c r="U2" s="665"/>
      <c r="AA2" s="1753"/>
      <c r="AB2" s="1753"/>
      <c r="AC2" s="1753"/>
      <c r="AD2" s="1753"/>
      <c r="AE2" s="1753"/>
      <c r="AF2" s="1281">
        <v>0</v>
      </c>
    </row>
    <row customHeight="1" ht="11.25" hidden="1">
      <c r="AF3" s="1752">
        <v>0</v>
      </c>
    </row>
    <row s="8008"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69" t="s">
        <v>796</v>
      </c>
      <c r="F6" s="2369"/>
      <c r="G6" s="2369"/>
      <c r="H6" s="2369"/>
      <c r="I6" s="2369"/>
      <c r="J6" s="677"/>
      <c r="AF6" s="1752">
        <v>32</v>
      </c>
    </row>
    <row customHeight="1" ht="25.2">
      <c r="E7" s="2370" t="str">
        <f>IF(org=0,"Не определено",org)</f>
        <v>ПАО "ТГК-1" филиал "Невский"</v>
      </c>
      <c r="F7" s="2370"/>
      <c r="G7" s="2370"/>
      <c r="H7" s="2370"/>
      <c r="I7" s="2370"/>
      <c r="AF7" s="1752">
        <v>24</v>
      </c>
    </row>
    <row customHeight="1" ht="11.549999999999999">
      <c r="E8" s="1256"/>
      <c r="F8" s="1256"/>
      <c r="G8" s="1256"/>
      <c r="H8" s="1256"/>
      <c r="I8" s="1256"/>
      <c r="AF8" s="1752">
        <v>11</v>
      </c>
    </row>
    <row s="7217" customFormat="1" customHeight="1" ht="1.05">
      <c r="A9" s="1288"/>
      <c r="D9" s="1763"/>
      <c r="H9" s="1010"/>
      <c r="I9" s="1010" t="s">
        <v>130</v>
      </c>
      <c r="AF9" s="1757">
        <v>1</v>
      </c>
    </row>
    <row customHeight="1" ht="11.549999999999999">
      <c r="E10" s="832"/>
      <c r="F10" s="2488" t="s">
        <v>119</v>
      </c>
      <c r="G10" s="2489"/>
      <c r="H10" s="1780" t="str">
        <f>IF(H9="","",INDEX(DIFFERENTIATION_UNMERGE_VD,MATCH(H9,DIFFERENTIATION_ID_DIFF,0)))</f>
        <v/>
      </c>
      <c r="I10" s="1780">
        <f>IF(I9="","",INDEX(DIFFERENTIATION_UNMERGE_VD,MATCH(I9,DIFFERENTIATION_ID_DIFF,0)))</f>
        <v>0</v>
      </c>
      <c r="J10" s="2248"/>
      <c r="AF10" s="1752">
        <v>11</v>
      </c>
    </row>
    <row customHeight="1" ht="11.549999999999999">
      <c r="E11" s="832"/>
      <c r="F11" s="2488" t="s">
        <v>586</v>
      </c>
      <c r="G11" s="2489"/>
      <c r="H11" s="1780" t="str">
        <f>IF(H9="","",INDEX(DIFFERENTIATION_UNMERGE_AREA,MATCH(H9,DIFFERENTIATION_ID_DIFF,0)))</f>
        <v/>
      </c>
      <c r="I11" s="1780" t="str">
        <f>IF(I9="","",INDEX(DIFFERENTIATION_UNMERGE_AREA,MATCH(I9,DIFFERENTIATION_ID_DIFF,0)))</f>
        <v/>
      </c>
      <c r="J11" s="2248"/>
      <c r="AF11" s="1752">
        <v>11</v>
      </c>
    </row>
    <row customHeight="1" ht="11.25" hidden="1">
      <c r="E12" s="1783"/>
      <c r="F12" s="2511" t="s">
        <v>587</v>
      </c>
      <c r="G12" s="2512"/>
      <c r="H12" s="1784" t="str">
        <f>IF(H9="","",INDEX(DIFFERENTIATION_UNMERGE_SYSTEM,MATCH(H9,DIFFERENTIATION_ID_DIFF,0)))</f>
        <v/>
      </c>
      <c r="I12" s="1784" t="str">
        <f>IF(I9="","",INDEX(DIFFERENTIATION_UNMERGE_SYSTEM,MATCH(I9,DIFFERENTIATION_ID_DIFF,0)))</f>
        <v>без дифференциации</v>
      </c>
      <c r="J12" s="2248"/>
      <c r="AF12" s="1752">
        <v>0</v>
      </c>
    </row>
    <row customHeight="1" ht="11.549999999999999">
      <c r="E13" s="2490" t="s">
        <v>324</v>
      </c>
      <c r="F13" s="2491"/>
      <c r="G13" s="2491"/>
      <c r="H13" s="1777"/>
      <c r="I13" s="1777"/>
      <c r="J13" s="2248"/>
      <c r="AF13" s="1752">
        <v>11</v>
      </c>
    </row>
    <row customHeight="1" ht="24">
      <c r="E14" s="1778" t="s">
        <v>88</v>
      </c>
      <c r="F14" s="1781" t="s">
        <v>326</v>
      </c>
      <c r="G14" s="1781" t="s">
        <v>588</v>
      </c>
      <c r="H14" s="1781" t="s">
        <v>327</v>
      </c>
      <c r="I14" s="1781" t="s">
        <v>327</v>
      </c>
      <c r="J14" s="2248"/>
      <c r="AF14" s="1752">
        <v>23</v>
      </c>
    </row>
    <row customHeight="1" ht="19.95">
      <c r="D15" s="1759"/>
      <c r="E15" s="1751" t="s">
        <v>123</v>
      </c>
      <c r="F15" s="828" t="s">
        <v>797</v>
      </c>
      <c r="G15" s="1778" t="s">
        <v>574</v>
      </c>
      <c r="H15" s="678"/>
      <c r="I15" s="678"/>
      <c r="J15" s="410" t="s">
        <v>798</v>
      </c>
      <c r="K15" s="664" t="s">
        <v>652</v>
      </c>
      <c r="AF15" s="1752">
        <v>19</v>
      </c>
    </row>
    <row customHeight="1" ht="24">
      <c r="D16" s="1759"/>
      <c r="E16" s="1751" t="s">
        <v>103</v>
      </c>
      <c r="F16" s="1786" t="s">
        <v>799</v>
      </c>
      <c r="G16" s="1778" t="s">
        <v>574</v>
      </c>
      <c r="H16" s="679">
        <f>SUM(H17,H20:H27)</f>
        <v>0</v>
      </c>
      <c r="I16" s="679">
        <f>SUM(I17,I20:I27)</f>
        <v>0</v>
      </c>
      <c r="J16" s="410" t="s">
        <v>800</v>
      </c>
      <c r="K16" s="664" t="s">
        <v>652</v>
      </c>
      <c r="AF16" s="1752">
        <v>23</v>
      </c>
    </row>
    <row customHeight="1" ht="35.699999999999996">
      <c r="D17" s="1759"/>
      <c r="E17" s="1785" t="s">
        <v>730</v>
      </c>
      <c r="F17" s="1788" t="s">
        <v>801</v>
      </c>
      <c r="G17" s="1775" t="s">
        <v>574</v>
      </c>
      <c r="H17" s="678"/>
      <c r="I17" s="678"/>
      <c r="J17" s="410" t="s">
        <v>802</v>
      </c>
      <c r="K17" s="664"/>
      <c r="AF17" s="1752">
        <v>34</v>
      </c>
    </row>
    <row customHeight="1" ht="19.95">
      <c r="D18" s="1759"/>
      <c r="E18" s="1785" t="s">
        <v>733</v>
      </c>
      <c r="F18" s="1789" t="s">
        <v>803</v>
      </c>
      <c r="G18" s="1775" t="s">
        <v>574</v>
      </c>
      <c r="H18" s="678"/>
      <c r="I18" s="678"/>
      <c r="J18" s="410"/>
      <c r="K18" s="664"/>
      <c r="AF18" s="1752">
        <v>19</v>
      </c>
    </row>
    <row customHeight="1" ht="24">
      <c r="D19" s="1759"/>
      <c r="E19" s="1785" t="s">
        <v>736</v>
      </c>
      <c r="F19" s="1789" t="s">
        <v>804</v>
      </c>
      <c r="G19" s="1775" t="s">
        <v>574</v>
      </c>
      <c r="H19" s="678"/>
      <c r="I19" s="678"/>
      <c r="J19" s="410"/>
      <c r="K19" s="664"/>
      <c r="AF19" s="1752">
        <v>23</v>
      </c>
    </row>
    <row customHeight="1" ht="35.699999999999996">
      <c r="D20" s="1759"/>
      <c r="E20" s="1785" t="s">
        <v>331</v>
      </c>
      <c r="F20" s="1788" t="s">
        <v>805</v>
      </c>
      <c r="G20" s="1775" t="s">
        <v>574</v>
      </c>
      <c r="H20" s="678"/>
      <c r="I20" s="678"/>
      <c r="J20" s="410"/>
      <c r="K20" s="664"/>
      <c r="AF20" s="1752">
        <v>34</v>
      </c>
    </row>
    <row customHeight="1" ht="48.29999999999999">
      <c r="D21" s="1759"/>
      <c r="E21" s="1785" t="s">
        <v>334</v>
      </c>
      <c r="F21" s="1788" t="s">
        <v>806</v>
      </c>
      <c r="G21" s="1775" t="s">
        <v>574</v>
      </c>
      <c r="H21" s="678"/>
      <c r="I21" s="678"/>
      <c r="J21" s="410"/>
      <c r="K21" s="664"/>
      <c r="AF21" s="1752">
        <v>46</v>
      </c>
    </row>
    <row customHeight="1" ht="60">
      <c r="D22" s="1759"/>
      <c r="E22" s="1785" t="s">
        <v>750</v>
      </c>
      <c r="F22" s="1788" t="s">
        <v>807</v>
      </c>
      <c r="G22" s="1775" t="s">
        <v>574</v>
      </c>
      <c r="H22" s="678"/>
      <c r="I22" s="678"/>
      <c r="J22" s="410"/>
      <c r="K22" s="664"/>
      <c r="AF22" s="1752">
        <v>57</v>
      </c>
    </row>
    <row customHeight="1" ht="35.699999999999996">
      <c r="D23" s="1759"/>
      <c r="E23" s="1785" t="s">
        <v>757</v>
      </c>
      <c r="F23" s="1788" t="s">
        <v>808</v>
      </c>
      <c r="G23" s="1775" t="s">
        <v>574</v>
      </c>
      <c r="H23" s="678"/>
      <c r="I23" s="678"/>
      <c r="J23" s="410"/>
      <c r="K23" s="664"/>
      <c r="AF23" s="1752">
        <v>34</v>
      </c>
    </row>
    <row customHeight="1" ht="35.699999999999996">
      <c r="D24" s="1759"/>
      <c r="E24" s="1785" t="s">
        <v>759</v>
      </c>
      <c r="F24" s="1788" t="s">
        <v>809</v>
      </c>
      <c r="G24" s="1775" t="s">
        <v>574</v>
      </c>
      <c r="H24" s="678"/>
      <c r="I24" s="678"/>
      <c r="J24" s="410"/>
      <c r="K24" s="664"/>
      <c r="AF24" s="1752">
        <v>34</v>
      </c>
    </row>
    <row customHeight="1" ht="24">
      <c r="D25" s="1759"/>
      <c r="E25" s="1785" t="s">
        <v>761</v>
      </c>
      <c r="F25" s="1788" t="s">
        <v>810</v>
      </c>
      <c r="G25" s="1775" t="s">
        <v>574</v>
      </c>
      <c r="H25" s="678"/>
      <c r="I25" s="678"/>
      <c r="J25" s="410"/>
      <c r="K25" s="664"/>
      <c r="AF25" s="1752">
        <v>23</v>
      </c>
    </row>
    <row customHeight="1" ht="76.5">
      <c r="D26" s="1759"/>
      <c r="E26" s="1785" t="s">
        <v>763</v>
      </c>
      <c r="F26" s="1788" t="s">
        <v>811</v>
      </c>
      <c r="G26" s="1775" t="s">
        <v>574</v>
      </c>
      <c r="H26" s="678"/>
      <c r="I26" s="678"/>
      <c r="J26" s="410"/>
      <c r="K26" s="664"/>
      <c r="AF26" s="1752">
        <v>73</v>
      </c>
    </row>
    <row s="7669" customFormat="1" customHeight="1" ht="35.699999999999996">
      <c r="A27" s="1108"/>
      <c r="C27" s="1757"/>
      <c r="D27" s="1759"/>
      <c r="E27" s="1750" t="s">
        <v>767</v>
      </c>
      <c r="F27" s="1749" t="s">
        <v>812</v>
      </c>
      <c r="G27" s="1776" t="s">
        <v>574</v>
      </c>
      <c r="H27" s="700">
        <f>SUM(H28:H29)</f>
        <v>0</v>
      </c>
      <c r="I27" s="700">
        <f>SUM(I28:I29)</f>
        <v>0</v>
      </c>
      <c r="J27" s="410" t="s">
        <v>765</v>
      </c>
      <c r="K27" s="664"/>
      <c r="L27" s="1757"/>
      <c r="M27" s="1757"/>
      <c r="R27" s="1757"/>
      <c r="U27" s="665"/>
      <c r="AA27" s="1753"/>
      <c r="AB27" s="1753"/>
      <c r="AC27" s="1753"/>
      <c r="AD27" s="1753"/>
      <c r="AE27" s="1753"/>
      <c r="AF27" s="1281">
        <v>34</v>
      </c>
    </row>
    <row s="7217" customFormat="1" customHeight="1" ht="1.05">
      <c r="A28" s="1288"/>
      <c r="D28" s="669"/>
      <c r="E28" s="923" t="str">
        <f>E27&amp;".0"</f>
        <v>2.9.0</v>
      </c>
      <c r="F28" s="1112"/>
      <c r="G28" s="672"/>
      <c r="H28" s="1113"/>
      <c r="I28" s="1113"/>
      <c r="J28" s="1114"/>
      <c r="AF28" s="1757">
        <v>1</v>
      </c>
    </row>
    <row s="7669" customFormat="1" customHeight="1" ht="19.95">
      <c r="A29" s="1108"/>
      <c r="C29" s="1757"/>
      <c r="D29" s="1754"/>
      <c r="E29" s="691"/>
      <c r="F29" s="1787" t="s">
        <v>599</v>
      </c>
      <c r="G29" s="693"/>
      <c r="H29" s="694"/>
      <c r="I29" s="694"/>
      <c r="J29" s="422" t="s">
        <v>766</v>
      </c>
      <c r="K29" s="664"/>
      <c r="L29" s="1757"/>
      <c r="M29" s="1757"/>
      <c r="R29" s="1757"/>
      <c r="U29" s="665"/>
      <c r="AA29" s="1753"/>
      <c r="AB29" s="1753"/>
      <c r="AC29" s="1753"/>
      <c r="AD29" s="1753"/>
      <c r="AE29" s="1753"/>
      <c r="AF29" s="1281">
        <v>19</v>
      </c>
    </row>
    <row s="7669" customFormat="1" customHeight="1" ht="24">
      <c r="A30" s="1108"/>
      <c r="C30" s="1757"/>
      <c r="D30" s="1759"/>
      <c r="E30" s="1785" t="s">
        <v>90</v>
      </c>
      <c r="F30" s="1782" t="s">
        <v>813</v>
      </c>
      <c r="G30" s="1775" t="s">
        <v>574</v>
      </c>
      <c r="H30" s="678"/>
      <c r="I30" s="678"/>
      <c r="J30" s="410"/>
      <c r="K30" s="664"/>
      <c r="L30" s="1757"/>
      <c r="M30" s="1757"/>
      <c r="R30" s="1757"/>
      <c r="U30" s="665"/>
      <c r="AA30" s="1753"/>
      <c r="AB30" s="1753"/>
      <c r="AC30" s="1753"/>
      <c r="AD30" s="1753"/>
      <c r="AE30" s="1753"/>
      <c r="AF30" s="1281">
        <v>23</v>
      </c>
    </row>
    <row s="7669" customFormat="1" customHeight="1" ht="35.699999999999996">
      <c r="A31" s="1108"/>
      <c r="C31" s="1757"/>
      <c r="D31" s="696"/>
      <c r="E31" s="1785" t="s">
        <v>91</v>
      </c>
      <c r="F31" s="1782" t="s">
        <v>814</v>
      </c>
      <c r="G31" s="1775" t="s">
        <v>574</v>
      </c>
      <c r="H31" s="678"/>
      <c r="I31" s="678"/>
      <c r="J31" s="410" t="s">
        <v>815</v>
      </c>
      <c r="K31" s="664"/>
      <c r="L31" s="1757"/>
      <c r="M31" s="1757"/>
      <c r="R31" s="1757"/>
      <c r="U31" s="665"/>
      <c r="AA31" s="1753"/>
      <c r="AB31" s="1753"/>
      <c r="AC31" s="1753"/>
      <c r="AD31" s="1753"/>
      <c r="AE31" s="1753"/>
      <c r="AF31" s="1281">
        <v>34</v>
      </c>
    </row>
    <row s="7669" customFormat="1" customHeight="1" ht="24">
      <c r="A32" s="1108"/>
      <c r="C32" s="1757"/>
      <c r="D32" s="1759"/>
      <c r="E32" s="1785" t="s">
        <v>775</v>
      </c>
      <c r="F32" s="811" t="s">
        <v>779</v>
      </c>
      <c r="G32" s="1775" t="s">
        <v>574</v>
      </c>
      <c r="H32" s="678"/>
      <c r="I32" s="678"/>
      <c r="J32" s="410" t="s">
        <v>816</v>
      </c>
      <c r="K32" s="664"/>
      <c r="L32" s="1757"/>
      <c r="M32" s="1757"/>
      <c r="R32" s="1757"/>
      <c r="U32" s="665"/>
      <c r="AA32" s="1753"/>
      <c r="AB32" s="1753"/>
      <c r="AC32" s="1753"/>
      <c r="AD32" s="1753"/>
      <c r="AE32" s="1753"/>
      <c r="AF32" s="1281">
        <v>23</v>
      </c>
    </row>
    <row s="7669" customFormat="1" customHeight="1" ht="24">
      <c r="A33" s="1108"/>
      <c r="C33" s="1757"/>
      <c r="D33" s="1759"/>
      <c r="E33" s="1785" t="s">
        <v>817</v>
      </c>
      <c r="F33" s="811" t="s">
        <v>818</v>
      </c>
      <c r="G33" s="1775" t="s">
        <v>574</v>
      </c>
      <c r="H33" s="678"/>
      <c r="I33" s="678"/>
      <c r="J33" s="410" t="s">
        <v>819</v>
      </c>
      <c r="K33" s="664"/>
      <c r="L33" s="1757"/>
      <c r="M33" s="1757"/>
      <c r="R33" s="1757"/>
      <c r="U33" s="665"/>
      <c r="AA33" s="1753"/>
      <c r="AB33" s="1753"/>
      <c r="AC33" s="1753"/>
      <c r="AD33" s="1753"/>
      <c r="AE33" s="1753"/>
      <c r="AF33" s="1281">
        <v>23</v>
      </c>
    </row>
    <row s="7669" customFormat="1" customHeight="1" ht="24">
      <c r="A34" s="1108"/>
      <c r="C34" s="1757"/>
      <c r="D34" s="1759"/>
      <c r="E34" s="1785" t="s">
        <v>820</v>
      </c>
      <c r="F34" s="811" t="s">
        <v>785</v>
      </c>
      <c r="G34" s="1775" t="s">
        <v>574</v>
      </c>
      <c r="H34" s="678"/>
      <c r="I34" s="678"/>
      <c r="J34" s="410" t="s">
        <v>821</v>
      </c>
      <c r="K34" s="664"/>
      <c r="L34" s="1757"/>
      <c r="M34" s="1757"/>
      <c r="R34" s="1757"/>
      <c r="U34" s="665"/>
      <c r="AA34" s="1753"/>
      <c r="AB34" s="1753"/>
      <c r="AC34" s="1753"/>
      <c r="AD34" s="1753"/>
      <c r="AE34" s="1753"/>
      <c r="AF34" s="1281">
        <v>23</v>
      </c>
    </row>
    <row s="7669" customFormat="1" customHeight="1" ht="35.699999999999996">
      <c r="A35" s="1108"/>
      <c r="C35" s="1757" t="s">
        <v>610</v>
      </c>
      <c r="D35" s="1759"/>
      <c r="E35" s="1785" t="s">
        <v>124</v>
      </c>
      <c r="F35" s="1782" t="s">
        <v>651</v>
      </c>
      <c r="G35" s="1778" t="s">
        <v>330</v>
      </c>
      <c r="H35" s="522"/>
      <c r="I35" s="522"/>
      <c r="J35" s="410" t="s">
        <v>822</v>
      </c>
      <c r="K35" s="664"/>
      <c r="L35" s="1757"/>
      <c r="M35" s="1757"/>
      <c r="R35" s="1757"/>
      <c r="U35" s="665"/>
      <c r="AA35" s="1753"/>
      <c r="AB35" s="1753"/>
      <c r="AC35" s="1753"/>
      <c r="AD35" s="1753"/>
      <c r="AE35" s="1753"/>
      <c r="AF35" s="1281">
        <v>34</v>
      </c>
    </row>
    <row s="7669" customFormat="1" customHeight="1" ht="35.699999999999996">
      <c r="A36" s="1108"/>
      <c r="C36" s="1757"/>
      <c r="D36" s="1759"/>
      <c r="E36" s="1785" t="s">
        <v>92</v>
      </c>
      <c r="F36" s="1782" t="s">
        <v>823</v>
      </c>
      <c r="G36" s="1775" t="s">
        <v>790</v>
      </c>
      <c r="H36" s="666"/>
      <c r="I36" s="666"/>
      <c r="J36" s="410" t="s">
        <v>791</v>
      </c>
      <c r="K36" s="664"/>
      <c r="L36" s="1757"/>
      <c r="M36" s="1757"/>
      <c r="R36" s="1757"/>
      <c r="U36" s="665"/>
      <c r="AA36" s="1753"/>
      <c r="AB36" s="1753"/>
      <c r="AC36" s="1753"/>
      <c r="AD36" s="1753"/>
      <c r="AE36" s="1753"/>
      <c r="AF36" s="1281">
        <v>34</v>
      </c>
    </row>
    <row s="7669" customFormat="1" customHeight="1" ht="24">
      <c r="A37" s="1108"/>
      <c r="C37" s="1757"/>
      <c r="D37" s="1759"/>
      <c r="E37" s="1785" t="s">
        <v>93</v>
      </c>
      <c r="F37" s="1782" t="s">
        <v>824</v>
      </c>
      <c r="G37" s="1775" t="s">
        <v>793</v>
      </c>
      <c r="H37" s="666"/>
      <c r="I37" s="666"/>
      <c r="J37" s="410" t="s">
        <v>794</v>
      </c>
      <c r="K37" s="664"/>
      <c r="L37" s="1757"/>
      <c r="M37" s="1757"/>
      <c r="R37" s="1757"/>
      <c r="U37" s="665"/>
      <c r="AA37" s="1753"/>
      <c r="AB37" s="1753"/>
      <c r="AC37" s="1753"/>
      <c r="AD37" s="1753"/>
      <c r="AE37" s="1753"/>
      <c r="AF37" s="1281">
        <v>23</v>
      </c>
    </row>
    <row customHeight="1" ht="11.549999999999999">
      <c r="D38" s="1759"/>
      <c r="AF38" s="1752">
        <v>11</v>
      </c>
    </row>
    <row customHeight="1" ht="27.299999999999997">
      <c r="D39" s="1759"/>
      <c r="E39" s="1374" t="s">
        <v>825</v>
      </c>
      <c r="F39" s="2406" t="s">
        <v>826</v>
      </c>
      <c r="G39" s="2406"/>
      <c r="H39" s="490"/>
      <c r="I39" s="490"/>
      <c r="J39" s="490"/>
      <c r="AF39" s="1752">
        <v>26</v>
      </c>
    </row>
    <row s="6812" customFormat="1" customHeight="1" ht="39.75">
      <c r="A40" s="1108"/>
      <c r="B40" s="1757"/>
      <c r="C40" s="1757"/>
      <c r="D40" s="472"/>
      <c r="F40" s="2406" t="s">
        <v>827</v>
      </c>
      <c r="G40" s="2406"/>
      <c r="H40" s="490"/>
      <c r="I40" s="490"/>
      <c r="J40" s="490"/>
      <c r="K40" s="1281"/>
      <c r="L40" s="1757"/>
      <c r="M40" s="1757"/>
      <c r="N40" s="1281"/>
      <c r="O40" s="1281"/>
      <c r="P40" s="1281"/>
      <c r="Q40" s="1281"/>
      <c r="R40" s="1757"/>
      <c r="S40" s="1281"/>
      <c r="T40" s="1281"/>
      <c r="U40" s="665"/>
      <c r="V40" s="1281"/>
      <c r="W40" s="1281"/>
      <c r="X40" s="1281"/>
      <c r="Y40" s="1281"/>
      <c r="Z40" s="1281"/>
      <c r="AA40" s="1753"/>
      <c r="AB40" s="687"/>
      <c r="AC40" s="687"/>
      <c r="AD40" s="687"/>
      <c r="AE40" s="687"/>
      <c r="AF40" s="1762">
        <v>38</v>
      </c>
    </row>
    <row s="6812" customFormat="1" customHeight="1" ht="11.549999999999999">
      <c r="A41" s="1108"/>
      <c r="B41" s="1757"/>
      <c r="C41" s="1757"/>
      <c r="D41" s="472"/>
      <c r="K41" s="1281"/>
      <c r="L41" s="1757"/>
      <c r="M41" s="1757"/>
      <c r="N41" s="1281"/>
      <c r="O41" s="1281"/>
      <c r="P41" s="1281"/>
      <c r="Q41" s="1281"/>
      <c r="R41" s="1757"/>
      <c r="S41" s="1281"/>
      <c r="T41" s="1281"/>
      <c r="U41" s="665"/>
      <c r="V41" s="1281"/>
      <c r="W41" s="1281"/>
      <c r="X41" s="1281"/>
      <c r="Y41" s="1281"/>
      <c r="Z41" s="1281"/>
      <c r="AA41" s="1753"/>
      <c r="AB41" s="687"/>
      <c r="AC41" s="687"/>
      <c r="AD41" s="687"/>
      <c r="AE41" s="687"/>
      <c r="AF41" s="1762">
        <v>11</v>
      </c>
    </row>
    <row s="6812" customFormat="1" customHeight="1" ht="11.549999999999999">
      <c r="A42" s="1108"/>
      <c r="B42" s="1757"/>
      <c r="C42" s="1757"/>
      <c r="D42" s="472"/>
      <c r="K42" s="1281"/>
      <c r="L42" s="1757"/>
      <c r="M42" s="1757"/>
      <c r="N42" s="1281"/>
      <c r="O42" s="1281"/>
      <c r="P42" s="1281"/>
      <c r="Q42" s="1281"/>
      <c r="R42" s="1757"/>
      <c r="S42" s="1281"/>
      <c r="T42" s="1281"/>
      <c r="U42" s="665"/>
      <c r="V42" s="1281"/>
      <c r="W42" s="1281"/>
      <c r="X42" s="1281"/>
      <c r="Y42" s="1281"/>
      <c r="Z42" s="1281"/>
      <c r="AA42" s="1753"/>
      <c r="AB42" s="687"/>
      <c r="AC42" s="687"/>
      <c r="AD42" s="687"/>
      <c r="AE42" s="687"/>
      <c r="AF42" s="1762">
        <v>11</v>
      </c>
    </row>
    <row s="6812" customFormat="1" customHeight="1" ht="11.549999999999999">
      <c r="A43" s="1108"/>
      <c r="B43" s="1757"/>
      <c r="C43" s="1757"/>
      <c r="D43" s="472"/>
      <c r="H43" s="687"/>
      <c r="I43" s="687"/>
      <c r="K43" s="1281"/>
      <c r="L43" s="1757"/>
      <c r="M43" s="1757"/>
      <c r="N43" s="1281"/>
      <c r="O43" s="1281"/>
      <c r="P43" s="1281"/>
      <c r="Q43" s="1281"/>
      <c r="R43" s="1757"/>
      <c r="S43" s="1281"/>
      <c r="T43" s="1281"/>
      <c r="U43" s="665"/>
      <c r="V43" s="1281"/>
      <c r="W43" s="1281"/>
      <c r="X43" s="1281"/>
      <c r="Y43" s="1281"/>
      <c r="Z43" s="1281"/>
      <c r="AA43" s="1753"/>
      <c r="AB43" s="687"/>
      <c r="AC43" s="687"/>
      <c r="AD43" s="687"/>
      <c r="AE43" s="687"/>
      <c r="AF43" s="1762">
        <v>11</v>
      </c>
    </row>
    <row s="6812" customFormat="1" customHeight="1" ht="11.549999999999999">
      <c r="A44" s="1108"/>
      <c r="B44" s="1757"/>
      <c r="C44" s="1757"/>
      <c r="D44" s="472"/>
      <c r="K44" s="1281"/>
      <c r="L44" s="1757"/>
      <c r="M44" s="1757"/>
      <c r="N44" s="1281"/>
      <c r="O44" s="1281"/>
      <c r="P44" s="1281"/>
      <c r="Q44" s="1281"/>
      <c r="R44" s="1757"/>
      <c r="S44" s="1281"/>
      <c r="T44" s="1281"/>
      <c r="U44" s="665"/>
      <c r="V44" s="1281"/>
      <c r="W44" s="1281"/>
      <c r="X44" s="1281"/>
      <c r="Y44" s="1281"/>
      <c r="Z44" s="1281"/>
      <c r="AA44" s="1753"/>
      <c r="AB44" s="687"/>
      <c r="AC44" s="687"/>
      <c r="AD44" s="687"/>
      <c r="AE44" s="687"/>
      <c r="AF44" s="1762">
        <v>11</v>
      </c>
    </row>
    <row s="6812" customFormat="1" customHeight="1" ht="11.549999999999999">
      <c r="A45" s="1108"/>
      <c r="B45" s="1757"/>
      <c r="C45" s="1757"/>
      <c r="D45" s="472"/>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11</v>
      </c>
    </row>
    <row s="6812"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812"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812"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812"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812"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812"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812"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812"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812"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812"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812"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812"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812"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812"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812"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812"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812"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812"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812"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812"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812"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812"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812"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812"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812"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812"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812"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812"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812"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812"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812"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812"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812"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812"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812"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812"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812"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812"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812"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812"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812"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812"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812"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812"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812"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812"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812"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812"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812"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812"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812"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812"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812"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812"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812"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812"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812"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812"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812"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812"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812"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812"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812"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812"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812"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812"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812"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812"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812"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812"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812"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812"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812"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812"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812"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812"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812"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812"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812"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812"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812"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812"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812"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812"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812"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812"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812"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812"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81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81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812"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81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81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81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81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81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81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81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81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81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81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81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81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81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81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81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81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81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81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81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81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81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81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81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81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81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81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81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81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81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81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81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81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81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81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81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81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81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81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81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81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81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81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81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81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81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81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81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81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81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81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81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81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81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81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81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81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81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81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81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customHeight="1" ht="11.549999999999999">
      <c r="AF196" s="1752">
        <v>11</v>
      </c>
    </row>
    <row customHeight="1" ht="11.549999999999999">
      <c r="AF197" s="1752">
        <v>11</v>
      </c>
    </row>
    <row customHeight="1" ht="11.549999999999999">
      <c r="AF198" s="1752">
        <v>11</v>
      </c>
    </row>
    <row customHeight="1" ht="11.549999999999999">
      <c r="A199" s="1111"/>
      <c r="B199" s="1752"/>
      <c r="D199" s="1752"/>
      <c r="K199" s="1752"/>
      <c r="N199" s="1752"/>
      <c r="O199" s="1752"/>
      <c r="P199" s="1752"/>
      <c r="Q199" s="1752"/>
      <c r="S199" s="1752"/>
      <c r="T199" s="1752"/>
      <c r="U199" s="1752"/>
      <c r="V199" s="1752"/>
      <c r="W199" s="1752"/>
      <c r="X199" s="1752"/>
      <c r="Y199" s="1752"/>
      <c r="Z199" s="1752"/>
      <c r="AA199" s="1752"/>
      <c r="AB199" s="1752"/>
      <c r="AC199" s="1752"/>
      <c r="AD199" s="1752"/>
      <c r="AE199" s="1752"/>
      <c r="AF199" s="1752">
        <v>11</v>
      </c>
    </row>
    <row customHeight="1" ht="11.549999999999999">
      <c r="A200" s="1111"/>
      <c r="B200" s="1752"/>
      <c r="D200" s="1752"/>
      <c r="K200" s="1752"/>
      <c r="N200" s="1752"/>
      <c r="O200" s="1752"/>
      <c r="P200" s="1752"/>
      <c r="Q200" s="1752"/>
      <c r="S200" s="1752"/>
      <c r="T200" s="1752"/>
      <c r="U200" s="1752"/>
      <c r="V200" s="1752"/>
      <c r="W200" s="1752"/>
      <c r="X200" s="1752"/>
      <c r="Y200" s="1752"/>
      <c r="Z200" s="1752"/>
      <c r="AA200" s="1752"/>
      <c r="AB200" s="1752"/>
      <c r="AC200" s="1752"/>
      <c r="AD200" s="1752"/>
      <c r="AE200" s="1752"/>
      <c r="AF200" s="1752">
        <v>11</v>
      </c>
    </row>
    <row customHeight="1" ht="11.549999999999999">
      <c r="A201" s="1111"/>
      <c r="B201" s="1752"/>
      <c r="D201" s="1752"/>
      <c r="K201" s="1752"/>
      <c r="N201" s="1752"/>
      <c r="O201" s="1752"/>
      <c r="P201" s="1752"/>
      <c r="Q201" s="1752"/>
      <c r="S201" s="1752"/>
      <c r="T201" s="1752"/>
      <c r="U201" s="1752"/>
      <c r="V201" s="1752"/>
      <c r="W201" s="1752"/>
      <c r="X201" s="1752"/>
      <c r="Y201" s="1752"/>
      <c r="Z201" s="1752"/>
      <c r="AA201" s="1752"/>
      <c r="AB201" s="1752"/>
      <c r="AC201" s="1752"/>
      <c r="AD201" s="1752"/>
      <c r="AE201" s="1752"/>
      <c r="AF201" s="1752">
        <v>11</v>
      </c>
    </row>
    <row customHeight="1" ht="11.549999999999999">
      <c r="A202" s="1111"/>
      <c r="B202" s="1752"/>
      <c r="D202" s="1752"/>
      <c r="K202" s="1752"/>
      <c r="N202" s="1752"/>
      <c r="O202" s="1752"/>
      <c r="P202" s="1752"/>
      <c r="Q202" s="1752"/>
      <c r="S202" s="1752"/>
      <c r="T202" s="1752"/>
      <c r="U202" s="1752"/>
      <c r="V202" s="1752"/>
      <c r="W202" s="1752"/>
      <c r="X202" s="1752"/>
      <c r="Y202" s="1752"/>
      <c r="Z202" s="1752"/>
      <c r="AA202" s="1752"/>
      <c r="AB202" s="1752"/>
      <c r="AC202" s="1752"/>
      <c r="AD202" s="1752"/>
      <c r="AE202" s="1752"/>
      <c r="AF202" s="1752">
        <v>11</v>
      </c>
    </row>
    <row customHeight="1" ht="11.549999999999999">
      <c r="A203" s="1111"/>
      <c r="B203" s="1752"/>
      <c r="D203" s="1752"/>
      <c r="K203" s="1752"/>
      <c r="N203" s="1752"/>
      <c r="O203" s="1752"/>
      <c r="P203" s="1752"/>
      <c r="Q203" s="1752"/>
      <c r="S203" s="1752"/>
      <c r="T203" s="1752"/>
      <c r="U203" s="1752"/>
      <c r="V203" s="1752"/>
      <c r="W203" s="1752"/>
      <c r="X203" s="1752"/>
      <c r="Y203" s="1752"/>
      <c r="Z203" s="1752"/>
      <c r="AA203" s="1752"/>
      <c r="AB203" s="1752"/>
      <c r="AC203" s="1752"/>
      <c r="AD203" s="1752"/>
      <c r="AE203" s="1752"/>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25" hidden="1">
      <c r="A210" s="1108" t="s">
        <v>82</v>
      </c>
      <c r="B210" s="1281">
        <v>0</v>
      </c>
      <c r="C210" s="1757">
        <v>0</v>
      </c>
      <c r="D210" s="1756">
        <v>3</v>
      </c>
      <c r="E210" s="1752">
        <v>7</v>
      </c>
      <c r="F210" s="1752">
        <v>54</v>
      </c>
      <c r="G210" s="1752">
        <v>10</v>
      </c>
      <c r="H210" s="1752">
        <v>0</v>
      </c>
      <c r="I210" s="1752">
        <v>40</v>
      </c>
      <c r="J210" s="1752">
        <v>102</v>
      </c>
      <c r="K210" s="1281">
        <v>9</v>
      </c>
      <c r="L210" s="1757">
        <v>5</v>
      </c>
      <c r="M210" s="1757">
        <v>3</v>
      </c>
      <c r="N210" s="1281">
        <v>3</v>
      </c>
      <c r="O210" s="1281">
        <v>3</v>
      </c>
      <c r="P210" s="1281">
        <v>3</v>
      </c>
      <c r="Q210" s="1281">
        <v>3</v>
      </c>
      <c r="R210" s="1757">
        <v>10</v>
      </c>
      <c r="S210" s="1281">
        <v>34</v>
      </c>
      <c r="T210" s="1281">
        <v>9</v>
      </c>
      <c r="U210" s="665">
        <v>8</v>
      </c>
      <c r="V210" s="1281">
        <v>8</v>
      </c>
      <c r="W210" s="1281">
        <v>8</v>
      </c>
      <c r="X210" s="1281">
        <v>8</v>
      </c>
      <c r="Y210" s="1281">
        <v>8</v>
      </c>
      <c r="Z210" s="1281">
        <v>8</v>
      </c>
      <c r="AA210" s="1753">
        <v>8</v>
      </c>
      <c r="AB210" s="1753">
        <v>8</v>
      </c>
      <c r="AC210" s="1753">
        <v>8</v>
      </c>
      <c r="AD210" s="1753">
        <v>8</v>
      </c>
      <c r="AE210" s="1753">
        <v>8</v>
      </c>
      <c r="AF210" s="175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34B0D-5457-7CBA-ACE2-0.F83B176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455" width="9.140625" hidden="1" customWidth="1"/>
    <col min="2" max="2" style="7217" width="3.57421875" hidden="1" customWidth="1"/>
    <col min="3" max="3" style="7720" width="3.00390625" customWidth="1"/>
    <col min="4" max="4" style="7720" width="7.00390625" customWidth="1"/>
    <col min="5" max="5" style="7720" width="69.00390625" customWidth="1"/>
    <col min="6" max="6" style="7720" width="10.00390625" customWidth="1"/>
    <col min="7" max="8" style="7720" width="44.00390625" hidden="1" customWidth="1"/>
    <col min="9" max="9" style="7720" width="44.00390625" customWidth="1"/>
    <col min="10" max="10" style="7720" width="43.00390625" customWidth="1"/>
    <col min="11" max="11" style="7720" width="73.00390625" customWidth="1"/>
    <col min="12" max="12" style="7720" width="3.00390625" customWidth="1"/>
    <col min="13" max="23" style="7720" width="10.00390625" customWidth="1"/>
    <col min="24" max="24" style="7720" width="10.57421875" hidden="1"/>
  </cols>
  <sheetData>
    <row s="7669" customFormat="1" customHeight="1" ht="22.5" hidden="1">
      <c r="A1" s="657"/>
      <c r="B1" s="632"/>
      <c r="G1" s="538">
        <v>4</v>
      </c>
      <c r="I1" s="538">
        <v>4</v>
      </c>
      <c r="K1" s="538">
        <v>5</v>
      </c>
      <c r="X1" s="538" t="s">
        <v>14</v>
      </c>
    </row>
    <row customHeight="1" ht="3">
      <c r="X2" s="626">
        <v>3</v>
      </c>
    </row>
    <row customHeight="1" ht="78.75">
      <c r="D3"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0"/>
      <c r="F3" s="2361"/>
      <c r="X3" s="626">
        <v>75</v>
      </c>
    </row>
    <row s="7720" customFormat="1" customHeight="1" ht="21">
      <c r="A4" s="1072"/>
      <c r="B4" s="632"/>
      <c r="D4" s="2335" t="str">
        <f>IF(org=0,"Не определено",org)</f>
        <v>ПАО "ТГК-1" филиал "Невский"</v>
      </c>
      <c r="E4" s="2336"/>
      <c r="F4" s="2337"/>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130</v>
      </c>
      <c r="J6" s="1143"/>
      <c r="X6" s="626">
        <v>1</v>
      </c>
    </row>
    <row customHeight="1" ht="11.549999999999999">
      <c r="D7" s="832"/>
      <c r="E7" s="2488" t="s">
        <v>119</v>
      </c>
      <c r="F7" s="2489"/>
      <c r="G7" s="2514" t="str">
        <f>IF(G6="","",INDEX(DIFFERENTIATION_UNMERGE_VD,MATCH(G6,DIFFERENTIATION_ID_DIFF,0)))</f>
        <v/>
      </c>
      <c r="H7" s="2515"/>
      <c r="I7" s="2514">
        <f>IF(I6="","",INDEX(DIFFERENTIATION_UNMERGE_VD,MATCH(I6,DIFFERENTIATION_ID_DIFF,0)))</f>
        <v>0</v>
      </c>
      <c r="J7" s="2515"/>
      <c r="K7" s="2296"/>
      <c r="L7" s="630"/>
      <c r="X7" s="626">
        <v>11</v>
      </c>
    </row>
    <row customHeight="1" ht="11.549999999999999">
      <c r="A8" s="825"/>
      <c r="D8" s="832"/>
      <c r="E8" s="2488" t="s">
        <v>586</v>
      </c>
      <c r="F8" s="2489"/>
      <c r="G8" s="2514" t="str">
        <f>IF(G6="","",INDEX(DIFFERENTIATION_UNMERGE_AREA,MATCH(G6,DIFFERENTIATION_ID_DIFF,0)))</f>
        <v/>
      </c>
      <c r="H8" s="2515"/>
      <c r="I8" s="2514" t="str">
        <f>IF(I6="","",INDEX(DIFFERENTIATION_UNMERGE_AREA,MATCH(I6,DIFFERENTIATION_ID_DIFF,0)))</f>
        <v/>
      </c>
      <c r="J8" s="2515"/>
      <c r="K8" s="2320"/>
      <c r="L8" s="630"/>
      <c r="X8" s="626">
        <v>11</v>
      </c>
    </row>
    <row customHeight="1" ht="11.549999999999999">
      <c r="A9" s="825"/>
      <c r="D9" s="832"/>
      <c r="E9" s="2488" t="s">
        <v>587</v>
      </c>
      <c r="F9" s="2489"/>
      <c r="G9" s="2514" t="str">
        <f>IF(G6="","",INDEX(DIFFERENTIATION_UNMERGE_SYSTEM,MATCH(G6,DIFFERENTIATION_ID_DIFF,0)))</f>
        <v/>
      </c>
      <c r="H9" s="2515"/>
      <c r="I9" s="2514" t="str">
        <f>IF(I6="","",INDEX(DIFFERENTIATION_UNMERGE_SYSTEM,MATCH(I6,DIFFERENTIATION_ID_DIFF,0)))</f>
        <v>без дифференциации</v>
      </c>
      <c r="J9" s="2515"/>
      <c r="K9" s="2320"/>
      <c r="L9" s="630"/>
      <c r="X9" s="626">
        <v>11</v>
      </c>
    </row>
    <row s="7720" customFormat="1" customHeight="1" ht="11.549999999999999">
      <c r="A10" s="1142"/>
      <c r="B10" s="632"/>
      <c r="D10" s="2222" t="s">
        <v>324</v>
      </c>
      <c r="E10" s="2223"/>
      <c r="F10" s="2223"/>
      <c r="G10" s="2223"/>
      <c r="H10" s="2223"/>
      <c r="I10" s="2223"/>
      <c r="J10" s="2224"/>
      <c r="K10" s="2320"/>
      <c r="L10" s="630"/>
      <c r="X10" s="879">
        <v>11</v>
      </c>
    </row>
    <row s="7720" customFormat="1" customHeight="1" ht="24">
      <c r="A11" s="2506"/>
      <c r="B11" s="2506"/>
      <c r="C11" s="778"/>
      <c r="D11" s="824" t="s">
        <v>88</v>
      </c>
      <c r="E11" s="826" t="s">
        <v>828</v>
      </c>
      <c r="F11" s="826" t="s">
        <v>588</v>
      </c>
      <c r="G11" s="586" t="s">
        <v>327</v>
      </c>
      <c r="H11" s="586" t="s">
        <v>414</v>
      </c>
      <c r="I11" s="928" t="s">
        <v>327</v>
      </c>
      <c r="J11" s="929" t="s">
        <v>414</v>
      </c>
      <c r="K11" s="2353"/>
      <c r="L11" s="779"/>
      <c r="X11" s="630">
        <v>23</v>
      </c>
    </row>
    <row s="7217" customFormat="1" customHeight="1" ht="10.5">
      <c r="A12" s="1073"/>
      <c r="D12" s="1146" t="s">
        <v>123</v>
      </c>
      <c r="E12" s="1146" t="s">
        <v>103</v>
      </c>
      <c r="F12" s="1146" t="s">
        <v>90</v>
      </c>
      <c r="G12" s="1147" t="str">
        <f>G1&amp;".1"</f>
        <v>4.1</v>
      </c>
      <c r="H12" s="1147" t="str">
        <f>G1&amp;".2"</f>
        <v>4.2</v>
      </c>
      <c r="I12" s="1147" t="str">
        <f>I1&amp;".1"</f>
        <v>4.1</v>
      </c>
      <c r="J12" s="1147" t="str">
        <f>I1&amp;".2"</f>
        <v>4.2</v>
      </c>
      <c r="K12" s="1147"/>
      <c r="X12" s="632">
        <v>10</v>
      </c>
    </row>
    <row customHeight="1" ht="22.5">
      <c r="A13" s="2513" t="s">
        <v>829</v>
      </c>
      <c r="D13" s="1074" t="s">
        <v>123</v>
      </c>
      <c r="E13" s="400" t="s">
        <v>830</v>
      </c>
      <c r="F13" s="781" t="s">
        <v>831</v>
      </c>
      <c r="G13" s="678"/>
      <c r="H13" s="782"/>
      <c r="I13" s="678"/>
      <c r="J13" s="782"/>
      <c r="K13" s="410" t="s">
        <v>832</v>
      </c>
      <c r="L13" s="841"/>
      <c r="X13" s="626">
        <v>0</v>
      </c>
    </row>
    <row customHeight="1" ht="22.5">
      <c r="A14" s="2513"/>
      <c r="D14" s="660" t="s">
        <v>103</v>
      </c>
      <c r="E14" s="400" t="s">
        <v>833</v>
      </c>
      <c r="F14" s="781" t="s">
        <v>834</v>
      </c>
      <c r="G14" s="678"/>
      <c r="H14" s="783"/>
      <c r="I14" s="678"/>
      <c r="J14" s="783"/>
      <c r="K14" s="410" t="s">
        <v>835</v>
      </c>
      <c r="L14" s="841"/>
      <c r="X14" s="626">
        <v>0</v>
      </c>
    </row>
    <row s="7720" customFormat="1" customHeight="1" ht="78.75">
      <c r="A15" s="2513"/>
      <c r="B15" s="632"/>
      <c r="D15" s="1074" t="s">
        <v>90</v>
      </c>
      <c r="E15" s="828" t="s">
        <v>836</v>
      </c>
      <c r="F15" s="1071" t="s">
        <v>330</v>
      </c>
      <c r="G15" s="1071" t="s">
        <v>330</v>
      </c>
      <c r="H15" s="227"/>
      <c r="I15" s="1071" t="s">
        <v>330</v>
      </c>
      <c r="J15" s="227"/>
      <c r="K15" s="410" t="s">
        <v>837</v>
      </c>
      <c r="L15" s="841"/>
      <c r="X15" s="879">
        <v>0</v>
      </c>
    </row>
    <row s="7720" customFormat="1" customHeight="1" ht="22.5">
      <c r="A16" s="2513"/>
      <c r="B16" s="632"/>
      <c r="D16" s="1074" t="s">
        <v>348</v>
      </c>
      <c r="E16" s="1075" t="s">
        <v>838</v>
      </c>
      <c r="F16" s="1071" t="s">
        <v>839</v>
      </c>
      <c r="G16" s="938"/>
      <c r="H16" s="227"/>
      <c r="I16" s="938"/>
      <c r="J16" s="227"/>
      <c r="K16" s="410"/>
      <c r="L16" s="841"/>
      <c r="X16" s="879">
        <v>0</v>
      </c>
    </row>
    <row s="7720" customFormat="1" customHeight="1" ht="22.5">
      <c r="A17" s="2513"/>
      <c r="B17" s="632"/>
      <c r="D17" s="1074" t="s">
        <v>356</v>
      </c>
      <c r="E17" s="1075" t="s">
        <v>840</v>
      </c>
      <c r="F17" s="1071" t="s">
        <v>841</v>
      </c>
      <c r="G17" s="938"/>
      <c r="H17" s="227"/>
      <c r="I17" s="938"/>
      <c r="J17" s="227"/>
      <c r="K17" s="410"/>
      <c r="L17" s="841"/>
      <c r="X17" s="879">
        <v>0</v>
      </c>
    </row>
    <row s="7720" customFormat="1" customHeight="1" ht="33.75">
      <c r="A18" s="2513"/>
      <c r="B18" s="632"/>
      <c r="D18" s="1074" t="s">
        <v>358</v>
      </c>
      <c r="E18" s="1075" t="s">
        <v>842</v>
      </c>
      <c r="F18" s="1071" t="s">
        <v>593</v>
      </c>
      <c r="G18" s="801"/>
      <c r="H18" s="227"/>
      <c r="I18" s="801"/>
      <c r="J18" s="227"/>
      <c r="K18" s="410"/>
      <c r="L18" s="841"/>
      <c r="X18" s="879">
        <v>0</v>
      </c>
    </row>
    <row customHeight="1" ht="101.25">
      <c r="A19" s="2513"/>
      <c r="D19" s="1074" t="s">
        <v>91</v>
      </c>
      <c r="E19" s="400" t="s">
        <v>843</v>
      </c>
      <c r="F19" s="781" t="s">
        <v>568</v>
      </c>
      <c r="G19" s="784"/>
      <c r="H19" s="783"/>
      <c r="I19" s="1076"/>
      <c r="J19" s="783"/>
      <c r="K19" s="410" t="s">
        <v>844</v>
      </c>
      <c r="L19" s="841"/>
      <c r="X19" s="626">
        <v>0</v>
      </c>
    </row>
    <row s="7720" customFormat="1" customHeight="1" ht="18.75">
      <c r="A20" s="2513"/>
      <c r="C20" s="1077"/>
      <c r="D20" s="1074" t="s">
        <v>775</v>
      </c>
      <c r="E20" s="1075" t="s">
        <v>845</v>
      </c>
      <c r="F20" s="1071" t="s">
        <v>330</v>
      </c>
      <c r="G20" s="1071" t="s">
        <v>330</v>
      </c>
      <c r="H20" s="1070" t="s">
        <v>330</v>
      </c>
      <c r="I20" s="1071" t="s">
        <v>330</v>
      </c>
      <c r="J20" s="1070" t="s">
        <v>330</v>
      </c>
      <c r="K20" s="1069"/>
      <c r="L20" s="841"/>
      <c r="W20" s="796"/>
      <c r="X20" s="879">
        <v>0</v>
      </c>
    </row>
    <row s="7720" customFormat="1" customHeight="1" ht="33.75">
      <c r="A21" s="2513"/>
      <c r="C21" s="1077"/>
      <c r="D21" s="1074" t="s">
        <v>778</v>
      </c>
      <c r="E21" s="697" t="s">
        <v>846</v>
      </c>
      <c r="F21" s="1071" t="s">
        <v>847</v>
      </c>
      <c r="G21" s="801"/>
      <c r="H21" s="227"/>
      <c r="I21" s="801"/>
      <c r="J21" s="227"/>
      <c r="K21" s="1069"/>
      <c r="L21" s="841"/>
      <c r="W21" s="796"/>
      <c r="X21" s="879">
        <v>0</v>
      </c>
    </row>
    <row s="7720" customFormat="1" customHeight="1" ht="33.75">
      <c r="A22" s="2513"/>
      <c r="C22" s="1077"/>
      <c r="D22" s="1074" t="s">
        <v>781</v>
      </c>
      <c r="E22" s="697" t="s">
        <v>848</v>
      </c>
      <c r="F22" s="1071" t="s">
        <v>849</v>
      </c>
      <c r="G22" s="801"/>
      <c r="H22" s="227"/>
      <c r="I22" s="801"/>
      <c r="J22" s="227"/>
      <c r="K22" s="1069"/>
      <c r="L22" s="841"/>
      <c r="W22" s="796"/>
      <c r="X22" s="879">
        <v>0</v>
      </c>
    </row>
    <row s="7720" customFormat="1" customHeight="1" ht="22.5">
      <c r="A23" s="2513"/>
      <c r="C23" s="1077"/>
      <c r="D23" s="1074" t="s">
        <v>817</v>
      </c>
      <c r="E23" s="1075" t="s">
        <v>850</v>
      </c>
      <c r="F23" s="1071" t="s">
        <v>330</v>
      </c>
      <c r="G23" s="1071" t="s">
        <v>330</v>
      </c>
      <c r="H23" s="1070" t="s">
        <v>330</v>
      </c>
      <c r="I23" s="1071" t="s">
        <v>330</v>
      </c>
      <c r="J23" s="1070" t="s">
        <v>330</v>
      </c>
      <c r="K23" s="1069"/>
      <c r="L23" s="841"/>
      <c r="W23" s="796"/>
      <c r="X23" s="879">
        <v>0</v>
      </c>
    </row>
    <row s="7720" customFormat="1" customHeight="1" ht="22.5">
      <c r="A24" s="2513"/>
      <c r="C24" s="1077"/>
      <c r="D24" s="1074" t="s">
        <v>851</v>
      </c>
      <c r="E24" s="697" t="s">
        <v>852</v>
      </c>
      <c r="F24" s="1071" t="s">
        <v>853</v>
      </c>
      <c r="G24" s="801"/>
      <c r="H24" s="807"/>
      <c r="I24" s="801"/>
      <c r="J24" s="807"/>
      <c r="K24" s="1069"/>
      <c r="L24" s="841"/>
      <c r="W24" s="796"/>
      <c r="X24" s="879">
        <v>0</v>
      </c>
    </row>
    <row s="7720" customFormat="1" customHeight="1" ht="22.5">
      <c r="A25" s="2513"/>
      <c r="C25" s="1077"/>
      <c r="D25" s="1074" t="s">
        <v>854</v>
      </c>
      <c r="E25" s="697" t="s">
        <v>855</v>
      </c>
      <c r="F25" s="1071" t="s">
        <v>330</v>
      </c>
      <c r="G25" s="1071" t="s">
        <v>330</v>
      </c>
      <c r="H25" s="1070" t="s">
        <v>330</v>
      </c>
      <c r="I25" s="1071" t="s">
        <v>330</v>
      </c>
      <c r="J25" s="1070" t="s">
        <v>330</v>
      </c>
      <c r="K25" s="1069"/>
      <c r="L25" s="841"/>
      <c r="W25" s="796"/>
      <c r="X25" s="879">
        <v>0</v>
      </c>
    </row>
    <row s="7720" customFormat="1" customHeight="1" ht="18.75">
      <c r="A26" s="2513"/>
      <c r="C26" s="1077"/>
      <c r="D26" s="1074" t="s">
        <v>856</v>
      </c>
      <c r="E26" s="674" t="s">
        <v>857</v>
      </c>
      <c r="F26" s="1071" t="s">
        <v>858</v>
      </c>
      <c r="G26" s="801"/>
      <c r="H26" s="807"/>
      <c r="I26" s="801"/>
      <c r="J26" s="807"/>
      <c r="K26" s="1069"/>
      <c r="L26" s="841"/>
      <c r="W26" s="796"/>
      <c r="X26" s="879">
        <v>0</v>
      </c>
    </row>
    <row s="7720" customFormat="1" customHeight="1" ht="18.75">
      <c r="A27" s="2513"/>
      <c r="C27" s="1077"/>
      <c r="D27" s="1074" t="s">
        <v>859</v>
      </c>
      <c r="E27" s="674" t="s">
        <v>860</v>
      </c>
      <c r="F27" s="1071" t="s">
        <v>861</v>
      </c>
      <c r="G27" s="801"/>
      <c r="H27" s="807"/>
      <c r="I27" s="801"/>
      <c r="J27" s="807"/>
      <c r="K27" s="1069"/>
      <c r="L27" s="841"/>
      <c r="W27" s="796"/>
      <c r="X27" s="879">
        <v>0</v>
      </c>
    </row>
    <row s="7720" customFormat="1" customHeight="1" ht="18.75">
      <c r="A28" s="2513"/>
      <c r="C28" s="1077"/>
      <c r="D28" s="1074" t="s">
        <v>862</v>
      </c>
      <c r="E28" s="697" t="s">
        <v>863</v>
      </c>
      <c r="F28" s="1071" t="s">
        <v>330</v>
      </c>
      <c r="G28" s="1071" t="s">
        <v>330</v>
      </c>
      <c r="H28" s="1070" t="s">
        <v>330</v>
      </c>
      <c r="I28" s="1071" t="s">
        <v>330</v>
      </c>
      <c r="J28" s="1070" t="s">
        <v>330</v>
      </c>
      <c r="K28" s="1069"/>
      <c r="L28" s="841"/>
      <c r="W28" s="796"/>
      <c r="X28" s="879">
        <v>0</v>
      </c>
    </row>
    <row s="7720" customFormat="1" customHeight="1" ht="18.75">
      <c r="A29" s="2513"/>
      <c r="C29" s="1077"/>
      <c r="D29" s="1074" t="s">
        <v>864</v>
      </c>
      <c r="E29" s="674" t="s">
        <v>857</v>
      </c>
      <c r="F29" s="1071" t="s">
        <v>865</v>
      </c>
      <c r="G29" s="801"/>
      <c r="H29" s="807"/>
      <c r="I29" s="801"/>
      <c r="J29" s="807"/>
      <c r="K29" s="1069"/>
      <c r="L29" s="841"/>
      <c r="W29" s="796"/>
      <c r="X29" s="879">
        <v>0</v>
      </c>
    </row>
    <row s="7720" customFormat="1" customHeight="1" ht="18.75">
      <c r="A30" s="2513"/>
      <c r="C30" s="1077"/>
      <c r="D30" s="1074" t="s">
        <v>866</v>
      </c>
      <c r="E30" s="674" t="s">
        <v>867</v>
      </c>
      <c r="F30" s="1071" t="s">
        <v>868</v>
      </c>
      <c r="G30" s="801"/>
      <c r="H30" s="807"/>
      <c r="I30" s="801"/>
      <c r="J30" s="807"/>
      <c r="K30" s="1069"/>
      <c r="L30" s="841"/>
      <c r="W30" s="796"/>
      <c r="X30" s="879">
        <v>0</v>
      </c>
    </row>
    <row customHeight="1" ht="126.75">
      <c r="A31" s="2513"/>
      <c r="D31" s="1074" t="s">
        <v>124</v>
      </c>
      <c r="E31" s="400" t="s">
        <v>869</v>
      </c>
      <c r="F31" s="781" t="s">
        <v>580</v>
      </c>
      <c r="G31" s="678"/>
      <c r="H31" s="783"/>
      <c r="I31" s="678"/>
      <c r="J31" s="783"/>
      <c r="K31" s="410" t="s">
        <v>870</v>
      </c>
      <c r="L31" s="841"/>
      <c r="X31" s="626">
        <v>0</v>
      </c>
    </row>
    <row customHeight="1" ht="56.25">
      <c r="A32" s="2513"/>
      <c r="D32" s="1074" t="s">
        <v>92</v>
      </c>
      <c r="E32" s="400" t="s">
        <v>871</v>
      </c>
      <c r="F32" s="660" t="s">
        <v>841</v>
      </c>
      <c r="G32" s="678"/>
      <c r="H32" s="783"/>
      <c r="I32" s="678"/>
      <c r="J32" s="783"/>
      <c r="K32" s="410" t="s">
        <v>872</v>
      </c>
      <c r="L32" s="841"/>
      <c r="X32" s="626">
        <v>0</v>
      </c>
    </row>
    <row customHeight="1" ht="11.25">
      <c r="A33" s="2513"/>
      <c r="E33" s="785"/>
      <c r="F33" s="302"/>
      <c r="G33" s="302"/>
      <c r="H33" s="302"/>
      <c r="I33" s="302"/>
      <c r="J33" s="302"/>
      <c r="K33" s="302"/>
      <c r="X33" s="626">
        <v>0</v>
      </c>
    </row>
    <row customHeight="1" ht="12.75">
      <c r="A34" s="2513"/>
      <c r="D34" s="186">
        <v>1</v>
      </c>
      <c r="E34" s="456" t="s">
        <v>873</v>
      </c>
      <c r="X34" s="626">
        <v>0</v>
      </c>
    </row>
    <row customHeight="1" ht="11.25">
      <c r="A35" s="2513"/>
      <c r="D35" s="490"/>
      <c r="E35" s="456" t="s">
        <v>874</v>
      </c>
      <c r="X35" s="626">
        <v>0</v>
      </c>
    </row>
    <row s="7720" customFormat="1" customHeight="1" ht="11.549999999999999">
      <c r="A36" s="1154"/>
      <c r="B36" s="639"/>
      <c r="D36" s="1155"/>
      <c r="E36" s="1156"/>
      <c r="X36" s="630">
        <v>11</v>
      </c>
    </row>
    <row s="7720" customFormat="1" customHeight="1" ht="22.5" hidden="1">
      <c r="A37" s="2513" t="s">
        <v>875</v>
      </c>
      <c r="B37" s="632"/>
      <c r="D37" s="1074">
        <v>1</v>
      </c>
      <c r="E37" s="828" t="s">
        <v>876</v>
      </c>
      <c r="F37" s="781" t="s">
        <v>831</v>
      </c>
      <c r="G37" s="678"/>
      <c r="H37" s="640"/>
      <c r="I37" s="678"/>
      <c r="J37" s="640"/>
      <c r="K37" s="410" t="s">
        <v>877</v>
      </c>
      <c r="X37" s="879">
        <v>0</v>
      </c>
    </row>
    <row s="7720" customFormat="1" customHeight="1" ht="22.5" hidden="1">
      <c r="A38" s="2513"/>
      <c r="B38" s="632"/>
      <c r="D38" s="790" t="s">
        <v>103</v>
      </c>
      <c r="E38" s="1153" t="s">
        <v>878</v>
      </c>
      <c r="F38" s="1157" t="s">
        <v>568</v>
      </c>
      <c r="G38" s="1157" t="s">
        <v>568</v>
      </c>
      <c r="H38" s="1151"/>
      <c r="I38" s="1157" t="s">
        <v>568</v>
      </c>
      <c r="J38" s="1151"/>
      <c r="K38" s="1152"/>
      <c r="X38" s="879">
        <v>0</v>
      </c>
    </row>
    <row s="7720" customFormat="1" customHeight="1" ht="33.75" hidden="1">
      <c r="A39" s="2513"/>
      <c r="B39" s="632"/>
      <c r="D39" s="786" t="s">
        <v>733</v>
      </c>
      <c r="E39" s="844" t="s">
        <v>879</v>
      </c>
      <c r="F39" s="781" t="s">
        <v>880</v>
      </c>
      <c r="G39" s="789"/>
      <c r="H39" s="1144"/>
      <c r="I39" s="789"/>
      <c r="J39" s="1144"/>
      <c r="K39" s="410" t="s">
        <v>881</v>
      </c>
      <c r="X39" s="879">
        <v>0</v>
      </c>
    </row>
    <row s="7720" customFormat="1" customHeight="1" ht="33.75" hidden="1">
      <c r="A40" s="2513"/>
      <c r="B40" s="632"/>
      <c r="D40" s="786" t="s">
        <v>736</v>
      </c>
      <c r="E40" s="844" t="s">
        <v>882</v>
      </c>
      <c r="F40" s="1148" t="s">
        <v>883</v>
      </c>
      <c r="G40" s="862"/>
      <c r="H40" s="1144"/>
      <c r="I40" s="862"/>
      <c r="J40" s="1144"/>
      <c r="K40" s="410" t="s">
        <v>884</v>
      </c>
      <c r="X40" s="879">
        <v>0</v>
      </c>
    </row>
    <row s="7720" customFormat="1" customHeight="1" ht="22.5" hidden="1">
      <c r="A41" s="2513"/>
      <c r="B41" s="632"/>
      <c r="D41" s="786" t="s">
        <v>90</v>
      </c>
      <c r="E41" s="843" t="s">
        <v>885</v>
      </c>
      <c r="F41" s="781" t="s">
        <v>568</v>
      </c>
      <c r="G41" s="781" t="s">
        <v>568</v>
      </c>
      <c r="H41" s="1145"/>
      <c r="I41" s="781" t="s">
        <v>568</v>
      </c>
      <c r="J41" s="1145"/>
      <c r="K41" s="423"/>
      <c r="X41" s="879">
        <v>0</v>
      </c>
    </row>
    <row s="7720" customFormat="1" customHeight="1" ht="45" hidden="1">
      <c r="A42" s="2513"/>
      <c r="B42" s="632"/>
      <c r="D42" s="786" t="s">
        <v>348</v>
      </c>
      <c r="E42" s="844" t="s">
        <v>886</v>
      </c>
      <c r="F42" s="781" t="s">
        <v>580</v>
      </c>
      <c r="G42" s="678"/>
      <c r="H42" s="1145"/>
      <c r="I42" s="678"/>
      <c r="J42" s="1145"/>
      <c r="K42" s="423" t="s">
        <v>887</v>
      </c>
      <c r="X42" s="879">
        <v>0</v>
      </c>
    </row>
    <row s="7720" customFormat="1" customHeight="1" ht="45" hidden="1">
      <c r="A43" s="2513"/>
      <c r="B43" s="632"/>
      <c r="D43" s="786" t="s">
        <v>356</v>
      </c>
      <c r="E43" s="788" t="s">
        <v>888</v>
      </c>
      <c r="F43" s="1149" t="s">
        <v>580</v>
      </c>
      <c r="G43" s="863"/>
      <c r="H43" s="1144"/>
      <c r="I43" s="863"/>
      <c r="J43" s="1144"/>
      <c r="K43" s="423" t="s">
        <v>889</v>
      </c>
      <c r="X43" s="879">
        <v>0</v>
      </c>
    </row>
    <row s="7720" customFormat="1" customHeight="1" ht="11.25" hidden="1">
      <c r="A44" s="2513"/>
      <c r="B44" s="632"/>
      <c r="D44" s="786" t="s">
        <v>91</v>
      </c>
      <c r="E44" s="787" t="s">
        <v>890</v>
      </c>
      <c r="F44" s="781" t="s">
        <v>880</v>
      </c>
      <c r="G44" s="789"/>
      <c r="H44" s="1144"/>
      <c r="I44" s="789"/>
      <c r="J44" s="1144"/>
      <c r="K44" s="410"/>
      <c r="X44" s="879">
        <v>0</v>
      </c>
    </row>
    <row s="7720" customFormat="1" customHeight="1" ht="11.25" hidden="1">
      <c r="A45" s="2513"/>
      <c r="B45" s="632"/>
      <c r="D45" s="786" t="s">
        <v>775</v>
      </c>
      <c r="E45" s="788" t="s">
        <v>891</v>
      </c>
      <c r="F45" s="781" t="s">
        <v>880</v>
      </c>
      <c r="G45" s="789"/>
      <c r="H45" s="1144"/>
      <c r="I45" s="789"/>
      <c r="J45" s="1144"/>
      <c r="K45" s="410"/>
      <c r="X45" s="879">
        <v>0</v>
      </c>
    </row>
    <row s="7720" customFormat="1" customHeight="1" ht="11.25" hidden="1">
      <c r="A46" s="2513"/>
      <c r="B46" s="632"/>
      <c r="D46" s="786" t="s">
        <v>817</v>
      </c>
      <c r="E46" s="788" t="s">
        <v>892</v>
      </c>
      <c r="F46" s="781" t="s">
        <v>880</v>
      </c>
      <c r="G46" s="789"/>
      <c r="H46" s="1144"/>
      <c r="I46" s="789"/>
      <c r="J46" s="1144"/>
      <c r="K46" s="410"/>
      <c r="X46" s="879">
        <v>0</v>
      </c>
    </row>
    <row s="7720" customFormat="1" customHeight="1" ht="11.25" hidden="1">
      <c r="A47" s="2513"/>
      <c r="B47" s="632"/>
      <c r="D47" s="786" t="s">
        <v>820</v>
      </c>
      <c r="E47" s="788" t="s">
        <v>893</v>
      </c>
      <c r="F47" s="781" t="s">
        <v>880</v>
      </c>
      <c r="G47" s="789"/>
      <c r="H47" s="1144"/>
      <c r="I47" s="789"/>
      <c r="J47" s="1144"/>
      <c r="K47" s="410"/>
      <c r="X47" s="879">
        <v>0</v>
      </c>
    </row>
    <row s="7720" customFormat="1" customHeight="1" ht="11.25" hidden="1">
      <c r="A48" s="2513"/>
      <c r="B48" s="632"/>
      <c r="D48" s="786" t="s">
        <v>894</v>
      </c>
      <c r="E48" s="792" t="s">
        <v>895</v>
      </c>
      <c r="F48" s="781" t="s">
        <v>880</v>
      </c>
      <c r="G48" s="789"/>
      <c r="H48" s="1144"/>
      <c r="I48" s="789"/>
      <c r="J48" s="1144"/>
      <c r="K48" s="410"/>
      <c r="X48" s="879">
        <v>0</v>
      </c>
    </row>
    <row s="7720" customFormat="1" customHeight="1" ht="11.25" hidden="1">
      <c r="A49" s="2513"/>
      <c r="B49" s="632"/>
      <c r="D49" s="786" t="s">
        <v>896</v>
      </c>
      <c r="E49" s="792" t="s">
        <v>897</v>
      </c>
      <c r="F49" s="781" t="s">
        <v>880</v>
      </c>
      <c r="G49" s="789"/>
      <c r="H49" s="1144"/>
      <c r="I49" s="789"/>
      <c r="J49" s="1144"/>
      <c r="K49" s="410"/>
      <c r="X49" s="879">
        <v>0</v>
      </c>
    </row>
    <row s="7720" customFormat="1" customHeight="1" ht="11.25" hidden="1">
      <c r="A50" s="2513"/>
      <c r="B50" s="632"/>
      <c r="D50" s="786" t="s">
        <v>898</v>
      </c>
      <c r="E50" s="788" t="s">
        <v>899</v>
      </c>
      <c r="F50" s="781" t="s">
        <v>880</v>
      </c>
      <c r="G50" s="789"/>
      <c r="H50" s="1144"/>
      <c r="I50" s="789"/>
      <c r="J50" s="1144"/>
      <c r="K50" s="410"/>
      <c r="X50" s="879">
        <v>0</v>
      </c>
    </row>
    <row s="7720" customFormat="1" customHeight="1" ht="11.25" hidden="1">
      <c r="A51" s="2513"/>
      <c r="B51" s="632"/>
      <c r="D51" s="786" t="s">
        <v>900</v>
      </c>
      <c r="E51" s="788" t="s">
        <v>901</v>
      </c>
      <c r="F51" s="781" t="s">
        <v>880</v>
      </c>
      <c r="G51" s="789"/>
      <c r="H51" s="1144"/>
      <c r="I51" s="789"/>
      <c r="J51" s="1144"/>
      <c r="K51" s="410"/>
      <c r="X51" s="879">
        <v>0</v>
      </c>
    </row>
    <row s="7720" customFormat="1" customHeight="1" ht="45" hidden="1">
      <c r="A52" s="2513"/>
      <c r="B52" s="632"/>
      <c r="D52" s="786" t="s">
        <v>124</v>
      </c>
      <c r="E52" s="787" t="s">
        <v>902</v>
      </c>
      <c r="F52" s="781" t="s">
        <v>880</v>
      </c>
      <c r="G52" s="789"/>
      <c r="H52" s="1144"/>
      <c r="I52" s="789"/>
      <c r="J52" s="1144"/>
      <c r="K52" s="410"/>
      <c r="X52" s="879">
        <v>0</v>
      </c>
    </row>
    <row s="7720" customFormat="1" customHeight="1" ht="11.25" hidden="1">
      <c r="A53" s="2513"/>
      <c r="B53" s="632"/>
      <c r="D53" s="786" t="s">
        <v>337</v>
      </c>
      <c r="E53" s="788" t="s">
        <v>891</v>
      </c>
      <c r="F53" s="781" t="s">
        <v>880</v>
      </c>
      <c r="G53" s="789"/>
      <c r="H53" s="1144"/>
      <c r="I53" s="789"/>
      <c r="J53" s="1144"/>
      <c r="K53" s="410"/>
      <c r="X53" s="879">
        <v>0</v>
      </c>
    </row>
    <row s="7720" customFormat="1" customHeight="1" ht="11.25" hidden="1">
      <c r="A54" s="2513"/>
      <c r="B54" s="632"/>
      <c r="D54" s="786" t="s">
        <v>903</v>
      </c>
      <c r="E54" s="788" t="s">
        <v>892</v>
      </c>
      <c r="F54" s="781" t="s">
        <v>880</v>
      </c>
      <c r="G54" s="789"/>
      <c r="H54" s="1144"/>
      <c r="I54" s="789"/>
      <c r="J54" s="1144"/>
      <c r="K54" s="410"/>
      <c r="X54" s="879">
        <v>0</v>
      </c>
    </row>
    <row s="7720" customFormat="1" customHeight="1" ht="11.25" hidden="1">
      <c r="A55" s="2513"/>
      <c r="B55" s="632"/>
      <c r="D55" s="786" t="s">
        <v>904</v>
      </c>
      <c r="E55" s="788" t="s">
        <v>893</v>
      </c>
      <c r="F55" s="781" t="s">
        <v>880</v>
      </c>
      <c r="G55" s="789"/>
      <c r="H55" s="1144"/>
      <c r="I55" s="789"/>
      <c r="J55" s="1144"/>
      <c r="K55" s="410"/>
      <c r="X55" s="879">
        <v>0</v>
      </c>
    </row>
    <row s="7720" customFormat="1" customHeight="1" ht="11.25" hidden="1">
      <c r="A56" s="2513"/>
      <c r="B56" s="632"/>
      <c r="D56" s="786" t="s">
        <v>905</v>
      </c>
      <c r="E56" s="792" t="s">
        <v>895</v>
      </c>
      <c r="F56" s="781" t="s">
        <v>880</v>
      </c>
      <c r="G56" s="789"/>
      <c r="H56" s="1144"/>
      <c r="I56" s="789"/>
      <c r="J56" s="1144"/>
      <c r="K56" s="410"/>
      <c r="X56" s="879">
        <v>0</v>
      </c>
    </row>
    <row s="7720" customFormat="1" customHeight="1" ht="11.25" hidden="1">
      <c r="A57" s="2513"/>
      <c r="B57" s="632"/>
      <c r="D57" s="786" t="s">
        <v>906</v>
      </c>
      <c r="E57" s="792" t="s">
        <v>897</v>
      </c>
      <c r="F57" s="781" t="s">
        <v>880</v>
      </c>
      <c r="G57" s="789"/>
      <c r="H57" s="1144"/>
      <c r="I57" s="789"/>
      <c r="J57" s="1144"/>
      <c r="K57" s="410"/>
      <c r="X57" s="879">
        <v>0</v>
      </c>
    </row>
    <row s="7720" customFormat="1" customHeight="1" ht="11.25" hidden="1">
      <c r="A58" s="2513"/>
      <c r="B58" s="632"/>
      <c r="D58" s="786" t="s">
        <v>907</v>
      </c>
      <c r="E58" s="788" t="s">
        <v>899</v>
      </c>
      <c r="F58" s="781" t="s">
        <v>880</v>
      </c>
      <c r="G58" s="789"/>
      <c r="H58" s="1144"/>
      <c r="I58" s="789"/>
      <c r="J58" s="1144"/>
      <c r="K58" s="410"/>
      <c r="X58" s="879">
        <v>0</v>
      </c>
    </row>
    <row s="7720" customFormat="1" customHeight="1" ht="11.25" hidden="1">
      <c r="A59" s="2513"/>
      <c r="B59" s="632"/>
      <c r="D59" s="786" t="s">
        <v>908</v>
      </c>
      <c r="E59" s="788" t="s">
        <v>901</v>
      </c>
      <c r="F59" s="781" t="s">
        <v>880</v>
      </c>
      <c r="G59" s="789"/>
      <c r="H59" s="1144"/>
      <c r="I59" s="789"/>
      <c r="J59" s="1144"/>
      <c r="K59" s="410"/>
      <c r="X59" s="879">
        <v>0</v>
      </c>
    </row>
    <row s="7720" customFormat="1" customHeight="1" ht="33.75" hidden="1">
      <c r="A60" s="2513"/>
      <c r="B60" s="632"/>
      <c r="D60" s="786" t="s">
        <v>92</v>
      </c>
      <c r="E60" s="787" t="s">
        <v>909</v>
      </c>
      <c r="F60" s="842" t="s">
        <v>580</v>
      </c>
      <c r="G60" s="863"/>
      <c r="H60" s="1144"/>
      <c r="I60" s="863"/>
      <c r="J60" s="1144"/>
      <c r="K60" s="423" t="s">
        <v>910</v>
      </c>
      <c r="X60" s="879">
        <v>0</v>
      </c>
    </row>
    <row s="7720" customFormat="1" customHeight="1" ht="33.75" hidden="1">
      <c r="A61" s="2513"/>
      <c r="B61" s="632"/>
      <c r="D61" s="786" t="s">
        <v>93</v>
      </c>
      <c r="E61" s="787" t="s">
        <v>911</v>
      </c>
      <c r="F61" s="847" t="s">
        <v>841</v>
      </c>
      <c r="G61" s="789"/>
      <c r="H61" s="1144"/>
      <c r="I61" s="789"/>
      <c r="J61" s="1144"/>
      <c r="K61" s="410"/>
      <c r="X61" s="879">
        <v>0</v>
      </c>
    </row>
    <row s="7720" customFormat="1" customHeight="1" ht="22.5" hidden="1">
      <c r="A62" s="2513"/>
      <c r="B62" s="632" t="s">
        <v>610</v>
      </c>
      <c r="D62" s="786" t="s">
        <v>125</v>
      </c>
      <c r="E62" s="787" t="s">
        <v>912</v>
      </c>
      <c r="F62" s="847" t="s">
        <v>330</v>
      </c>
      <c r="G62" s="503"/>
      <c r="H62" s="1144"/>
      <c r="I62" s="503"/>
      <c r="J62" s="1144"/>
      <c r="K62" s="410" t="s">
        <v>653</v>
      </c>
      <c r="X62" s="879">
        <v>0</v>
      </c>
    </row>
    <row s="7720" customFormat="1" customHeight="1" ht="45" hidden="1">
      <c r="A63" s="2513"/>
      <c r="B63" s="632" t="s">
        <v>610</v>
      </c>
      <c r="D63" s="786" t="s">
        <v>913</v>
      </c>
      <c r="E63" s="788" t="s">
        <v>914</v>
      </c>
      <c r="F63" s="842" t="s">
        <v>330</v>
      </c>
      <c r="G63" s="503"/>
      <c r="H63" s="1144"/>
      <c r="I63" s="503"/>
      <c r="J63" s="1144"/>
      <c r="K63" s="410" t="s">
        <v>653</v>
      </c>
      <c r="X63" s="879">
        <v>0</v>
      </c>
    </row>
    <row s="7720" customFormat="1" customHeight="1" ht="11.549999999999999">
      <c r="A64" s="1154"/>
      <c r="B64" s="639"/>
      <c r="D64" s="1155"/>
      <c r="E64" s="1156"/>
      <c r="X64" s="630">
        <v>11</v>
      </c>
    </row>
    <row s="7720" customFormat="1" customHeight="1" ht="22.5" hidden="1">
      <c r="A65" s="2513" t="s">
        <v>915</v>
      </c>
      <c r="B65" s="632"/>
      <c r="D65" s="786">
        <v>1</v>
      </c>
      <c r="E65" s="865" t="s">
        <v>916</v>
      </c>
      <c r="F65" s="861" t="s">
        <v>831</v>
      </c>
      <c r="G65" s="862"/>
      <c r="H65" s="1150"/>
      <c r="I65" s="862"/>
      <c r="J65" s="1150"/>
      <c r="K65" s="422" t="s">
        <v>917</v>
      </c>
      <c r="X65" s="879">
        <v>0</v>
      </c>
    </row>
    <row s="7720" customFormat="1" customHeight="1" ht="56.25" hidden="1">
      <c r="A66" s="2513"/>
      <c r="B66" s="632"/>
      <c r="D66" s="864" t="s">
        <v>103</v>
      </c>
      <c r="E66" s="828" t="s">
        <v>918</v>
      </c>
      <c r="F66" s="781" t="s">
        <v>568</v>
      </c>
      <c r="G66" s="781" t="s">
        <v>568</v>
      </c>
      <c r="H66" s="640"/>
      <c r="I66" s="781" t="s">
        <v>568</v>
      </c>
      <c r="J66" s="640"/>
      <c r="K66" s="410"/>
      <c r="X66" s="879">
        <v>0</v>
      </c>
    </row>
    <row s="7720" customFormat="1" customHeight="1" ht="33.75" hidden="1">
      <c r="A67" s="2513"/>
      <c r="B67" s="632"/>
      <c r="D67" s="864" t="s">
        <v>730</v>
      </c>
      <c r="E67" s="1075" t="s">
        <v>919</v>
      </c>
      <c r="F67" s="781" t="s">
        <v>883</v>
      </c>
      <c r="G67" s="848"/>
      <c r="H67" s="640"/>
      <c r="I67" s="848"/>
      <c r="J67" s="640"/>
      <c r="K67" s="410"/>
      <c r="X67" s="879">
        <v>0</v>
      </c>
    </row>
    <row s="7720" customFormat="1" customHeight="1" ht="22.5" hidden="1">
      <c r="A68" s="2513"/>
      <c r="B68" s="632"/>
      <c r="D68" s="864" t="s">
        <v>331</v>
      </c>
      <c r="E68" s="1075" t="s">
        <v>920</v>
      </c>
      <c r="F68" s="781" t="s">
        <v>883</v>
      </c>
      <c r="G68" s="848"/>
      <c r="H68" s="640"/>
      <c r="I68" s="848"/>
      <c r="J68" s="640"/>
      <c r="K68" s="410"/>
      <c r="X68" s="879">
        <v>0</v>
      </c>
    </row>
    <row s="7720" customFormat="1" customHeight="1" ht="22.5" hidden="1">
      <c r="A69" s="2513"/>
      <c r="B69" s="632"/>
      <c r="D69" s="864" t="s">
        <v>334</v>
      </c>
      <c r="E69" s="1075" t="s">
        <v>921</v>
      </c>
      <c r="F69" s="842" t="s">
        <v>580</v>
      </c>
      <c r="G69" s="863"/>
      <c r="H69" s="640"/>
      <c r="I69" s="863"/>
      <c r="J69" s="640"/>
      <c r="K69" s="410"/>
      <c r="X69" s="879">
        <v>0</v>
      </c>
    </row>
    <row s="7720" customFormat="1" customHeight="1" ht="22.5" hidden="1">
      <c r="A70" s="2513"/>
      <c r="B70" s="632"/>
      <c r="D70" s="864" t="s">
        <v>750</v>
      </c>
      <c r="E70" s="1075" t="s">
        <v>922</v>
      </c>
      <c r="F70" s="842" t="s">
        <v>580</v>
      </c>
      <c r="G70" s="863"/>
      <c r="H70" s="640"/>
      <c r="I70" s="863"/>
      <c r="J70" s="640"/>
      <c r="K70" s="410"/>
      <c r="X70" s="879">
        <v>0</v>
      </c>
    </row>
    <row s="7720" customFormat="1" customHeight="1" ht="22.5" hidden="1">
      <c r="A71" s="2513"/>
      <c r="B71" s="632"/>
      <c r="D71" s="786" t="s">
        <v>90</v>
      </c>
      <c r="E71" s="787" t="s">
        <v>923</v>
      </c>
      <c r="F71" s="781" t="s">
        <v>883</v>
      </c>
      <c r="G71" s="678"/>
      <c r="H71" s="1151"/>
      <c r="I71" s="678"/>
      <c r="J71" s="1151"/>
      <c r="K71" s="423"/>
      <c r="X71" s="879">
        <v>0</v>
      </c>
    </row>
    <row s="7720" customFormat="1" customHeight="1" ht="56.25" hidden="1">
      <c r="A72" s="2513"/>
      <c r="B72" s="632"/>
      <c r="D72" s="786" t="s">
        <v>91</v>
      </c>
      <c r="E72" s="787" t="s">
        <v>924</v>
      </c>
      <c r="F72" s="842" t="s">
        <v>580</v>
      </c>
      <c r="G72" s="863"/>
      <c r="H72" s="1144"/>
      <c r="I72" s="863"/>
      <c r="J72" s="1144"/>
      <c r="K72" s="423"/>
      <c r="X72" s="879">
        <v>0</v>
      </c>
    </row>
    <row s="7720" customFormat="1" customHeight="1" ht="33.75" hidden="1">
      <c r="A73" s="2513"/>
      <c r="B73" s="632"/>
      <c r="D73" s="786" t="s">
        <v>124</v>
      </c>
      <c r="E73" s="787" t="s">
        <v>925</v>
      </c>
      <c r="F73" s="847" t="s">
        <v>841</v>
      </c>
      <c r="G73" s="789"/>
      <c r="H73" s="1144"/>
      <c r="I73" s="789"/>
      <c r="J73" s="1144"/>
      <c r="K73" s="410"/>
      <c r="X73" s="879">
        <v>0</v>
      </c>
    </row>
    <row s="7720" customFormat="1" customHeight="1" ht="22.5" hidden="1">
      <c r="A74" s="2513"/>
      <c r="B74" s="632" t="s">
        <v>610</v>
      </c>
      <c r="D74" s="786" t="s">
        <v>92</v>
      </c>
      <c r="E74" s="787" t="s">
        <v>926</v>
      </c>
      <c r="F74" s="847" t="s">
        <v>330</v>
      </c>
      <c r="G74" s="503"/>
      <c r="H74" s="1144"/>
      <c r="I74" s="503"/>
      <c r="J74" s="1144"/>
      <c r="K74" s="410" t="s">
        <v>653</v>
      </c>
      <c r="X74" s="879">
        <v>0</v>
      </c>
    </row>
    <row s="7720" customFormat="1" customHeight="1" ht="45" hidden="1">
      <c r="A75" s="2513"/>
      <c r="B75" s="632" t="s">
        <v>610</v>
      </c>
      <c r="D75" s="786" t="s">
        <v>674</v>
      </c>
      <c r="E75" s="788" t="s">
        <v>927</v>
      </c>
      <c r="F75" s="842" t="s">
        <v>330</v>
      </c>
      <c r="G75" s="503"/>
      <c r="H75" s="1144"/>
      <c r="I75" s="503"/>
      <c r="J75" s="1144"/>
      <c r="K75" s="410" t="s">
        <v>653</v>
      </c>
      <c r="X75" s="879">
        <v>0</v>
      </c>
    </row>
    <row s="7720" customFormat="1" customHeight="1" ht="11.549999999999999">
      <c r="A76" s="1154"/>
      <c r="B76" s="639"/>
      <c r="D76" s="1155"/>
      <c r="E76" s="1156"/>
      <c r="X76" s="630">
        <v>11</v>
      </c>
    </row>
    <row s="7720" customFormat="1" customHeight="1" ht="11.25" hidden="1">
      <c r="A77" s="2513" t="s">
        <v>928</v>
      </c>
      <c r="B77" s="632"/>
      <c r="D77" s="786">
        <v>1</v>
      </c>
      <c r="E77" s="787" t="s">
        <v>929</v>
      </c>
      <c r="F77" s="842" t="s">
        <v>831</v>
      </c>
      <c r="G77" s="845"/>
      <c r="H77" s="1144"/>
      <c r="I77" s="845"/>
      <c r="J77" s="1144"/>
      <c r="K77" s="410" t="s">
        <v>930</v>
      </c>
      <c r="X77" s="879">
        <v>0</v>
      </c>
    </row>
    <row s="7720" customFormat="1" customHeight="1" ht="11.25" hidden="1">
      <c r="A78" s="2513"/>
      <c r="B78" s="632"/>
      <c r="D78" s="786" t="s">
        <v>103</v>
      </c>
      <c r="E78" s="787" t="s">
        <v>931</v>
      </c>
      <c r="F78" s="842" t="s">
        <v>831</v>
      </c>
      <c r="G78" s="845"/>
      <c r="H78" s="1144"/>
      <c r="I78" s="845"/>
      <c r="J78" s="1144"/>
      <c r="K78" s="410" t="s">
        <v>932</v>
      </c>
      <c r="X78" s="879">
        <v>0</v>
      </c>
    </row>
    <row s="7720" customFormat="1" customHeight="1" ht="22.5" hidden="1">
      <c r="A79" s="2513"/>
      <c r="B79" s="632"/>
      <c r="D79" s="786" t="s">
        <v>90</v>
      </c>
      <c r="E79" s="843" t="s">
        <v>933</v>
      </c>
      <c r="F79" s="781" t="s">
        <v>880</v>
      </c>
      <c r="G79" s="845"/>
      <c r="H79" s="1144"/>
      <c r="I79" s="845"/>
      <c r="J79" s="1144"/>
      <c r="K79" s="410" t="s">
        <v>934</v>
      </c>
      <c r="X79" s="879">
        <v>0</v>
      </c>
    </row>
    <row s="7720" customFormat="1" customHeight="1" ht="11.25" hidden="1">
      <c r="A80" s="2513"/>
      <c r="B80" s="632"/>
      <c r="D80" s="786" t="s">
        <v>348</v>
      </c>
      <c r="E80" s="844" t="s">
        <v>935</v>
      </c>
      <c r="F80" s="781" t="s">
        <v>880</v>
      </c>
      <c r="G80" s="845"/>
      <c r="H80" s="1144"/>
      <c r="I80" s="845"/>
      <c r="J80" s="1144"/>
      <c r="K80" s="410"/>
      <c r="X80" s="879">
        <v>0</v>
      </c>
    </row>
    <row s="7720" customFormat="1" customHeight="1" ht="11.25" hidden="1">
      <c r="A81" s="2513"/>
      <c r="B81" s="632"/>
      <c r="D81" s="786" t="s">
        <v>356</v>
      </c>
      <c r="E81" s="844" t="s">
        <v>936</v>
      </c>
      <c r="F81" s="781" t="s">
        <v>880</v>
      </c>
      <c r="G81" s="845"/>
      <c r="H81" s="1144"/>
      <c r="I81" s="845"/>
      <c r="J81" s="1144"/>
      <c r="K81" s="410"/>
      <c r="X81" s="879">
        <v>0</v>
      </c>
    </row>
    <row s="7720" customFormat="1" customHeight="1" ht="11.25" hidden="1">
      <c r="A82" s="2513"/>
      <c r="B82" s="632"/>
      <c r="D82" s="786" t="s">
        <v>358</v>
      </c>
      <c r="E82" s="844" t="s">
        <v>937</v>
      </c>
      <c r="F82" s="781" t="s">
        <v>880</v>
      </c>
      <c r="G82" s="845"/>
      <c r="H82" s="1144"/>
      <c r="I82" s="845"/>
      <c r="J82" s="1144"/>
      <c r="K82" s="410"/>
      <c r="X82" s="879">
        <v>0</v>
      </c>
    </row>
    <row s="7720" customFormat="1" customHeight="1" ht="11.25" hidden="1">
      <c r="A83" s="2513"/>
      <c r="B83" s="632"/>
      <c r="D83" s="786" t="s">
        <v>360</v>
      </c>
      <c r="E83" s="844" t="s">
        <v>938</v>
      </c>
      <c r="F83" s="781" t="s">
        <v>880</v>
      </c>
      <c r="G83" s="845"/>
      <c r="H83" s="1144"/>
      <c r="I83" s="845"/>
      <c r="J83" s="1144"/>
      <c r="K83" s="410"/>
      <c r="X83" s="879">
        <v>0</v>
      </c>
    </row>
    <row s="7720" customFormat="1" customHeight="1" ht="11.25" hidden="1">
      <c r="A84" s="2513"/>
      <c r="B84" s="632"/>
      <c r="D84" s="786" t="s">
        <v>939</v>
      </c>
      <c r="E84" s="844" t="s">
        <v>940</v>
      </c>
      <c r="F84" s="781" t="s">
        <v>880</v>
      </c>
      <c r="G84" s="845"/>
      <c r="H84" s="1144"/>
      <c r="I84" s="845"/>
      <c r="J84" s="1144"/>
      <c r="K84" s="410"/>
      <c r="X84" s="879">
        <v>0</v>
      </c>
    </row>
    <row s="7720" customFormat="1" customHeight="1" ht="11.25" hidden="1">
      <c r="A85" s="2513"/>
      <c r="B85" s="632"/>
      <c r="D85" s="786" t="s">
        <v>941</v>
      </c>
      <c r="E85" s="844" t="s">
        <v>942</v>
      </c>
      <c r="F85" s="781" t="s">
        <v>880</v>
      </c>
      <c r="G85" s="845"/>
      <c r="H85" s="1144"/>
      <c r="I85" s="845"/>
      <c r="J85" s="1144"/>
      <c r="K85" s="410"/>
      <c r="X85" s="879">
        <v>0</v>
      </c>
    </row>
    <row s="7720" customFormat="1" customHeight="1" ht="11.25" hidden="1">
      <c r="A86" s="2513"/>
      <c r="B86" s="632"/>
      <c r="D86" s="786" t="s">
        <v>943</v>
      </c>
      <c r="E86" s="844" t="s">
        <v>944</v>
      </c>
      <c r="F86" s="781" t="s">
        <v>880</v>
      </c>
      <c r="G86" s="845"/>
      <c r="H86" s="1144"/>
      <c r="I86" s="845"/>
      <c r="J86" s="1144"/>
      <c r="K86" s="410"/>
      <c r="X86" s="879">
        <v>0</v>
      </c>
    </row>
    <row s="7720" customFormat="1" customHeight="1" ht="45" hidden="1">
      <c r="A87" s="2513"/>
      <c r="B87" s="632"/>
      <c r="D87" s="786" t="s">
        <v>91</v>
      </c>
      <c r="E87" s="787" t="s">
        <v>945</v>
      </c>
      <c r="F87" s="781" t="s">
        <v>880</v>
      </c>
      <c r="G87" s="845"/>
      <c r="H87" s="1144"/>
      <c r="I87" s="845"/>
      <c r="J87" s="1144"/>
      <c r="K87" s="410" t="s">
        <v>946</v>
      </c>
      <c r="X87" s="879">
        <v>0</v>
      </c>
    </row>
    <row s="7720" customFormat="1" customHeight="1" ht="11.25" hidden="1">
      <c r="A88" s="2513"/>
      <c r="B88" s="632"/>
      <c r="D88" s="786" t="s">
        <v>775</v>
      </c>
      <c r="E88" s="844" t="s">
        <v>935</v>
      </c>
      <c r="F88" s="781" t="s">
        <v>880</v>
      </c>
      <c r="G88" s="845"/>
      <c r="H88" s="1144"/>
      <c r="I88" s="845"/>
      <c r="J88" s="1144"/>
      <c r="K88" s="410"/>
      <c r="X88" s="879">
        <v>0</v>
      </c>
    </row>
    <row s="7720" customFormat="1" customHeight="1" ht="11.25" hidden="1">
      <c r="A89" s="2513"/>
      <c r="B89" s="632"/>
      <c r="D89" s="786" t="s">
        <v>817</v>
      </c>
      <c r="E89" s="844" t="s">
        <v>936</v>
      </c>
      <c r="F89" s="781" t="s">
        <v>880</v>
      </c>
      <c r="G89" s="845"/>
      <c r="H89" s="1144"/>
      <c r="I89" s="845"/>
      <c r="J89" s="1144"/>
      <c r="K89" s="410"/>
      <c r="X89" s="879">
        <v>0</v>
      </c>
    </row>
    <row s="7720" customFormat="1" customHeight="1" ht="11.25" hidden="1">
      <c r="A90" s="2513"/>
      <c r="B90" s="632"/>
      <c r="D90" s="786" t="s">
        <v>820</v>
      </c>
      <c r="E90" s="844" t="s">
        <v>937</v>
      </c>
      <c r="F90" s="781" t="s">
        <v>880</v>
      </c>
      <c r="G90" s="845"/>
      <c r="H90" s="1144"/>
      <c r="I90" s="845"/>
      <c r="J90" s="1144"/>
      <c r="K90" s="410"/>
      <c r="X90" s="879">
        <v>0</v>
      </c>
    </row>
    <row s="7720" customFormat="1" customHeight="1" ht="11.25" hidden="1">
      <c r="A91" s="2513"/>
      <c r="B91" s="632"/>
      <c r="D91" s="786" t="s">
        <v>898</v>
      </c>
      <c r="E91" s="844" t="s">
        <v>938</v>
      </c>
      <c r="F91" s="781" t="s">
        <v>880</v>
      </c>
      <c r="G91" s="845"/>
      <c r="H91" s="1144"/>
      <c r="I91" s="845"/>
      <c r="J91" s="1144"/>
      <c r="K91" s="410"/>
      <c r="X91" s="879">
        <v>0</v>
      </c>
    </row>
    <row s="7720" customFormat="1" customHeight="1" ht="11.25" hidden="1">
      <c r="A92" s="2513"/>
      <c r="B92" s="632"/>
      <c r="D92" s="786" t="s">
        <v>900</v>
      </c>
      <c r="E92" s="844" t="s">
        <v>940</v>
      </c>
      <c r="F92" s="781" t="s">
        <v>880</v>
      </c>
      <c r="G92" s="845"/>
      <c r="H92" s="1144"/>
      <c r="I92" s="845"/>
      <c r="J92" s="1144"/>
      <c r="K92" s="410"/>
      <c r="X92" s="879">
        <v>0</v>
      </c>
    </row>
    <row s="7720" customFormat="1" customHeight="1" ht="11.25" hidden="1">
      <c r="A93" s="2513"/>
      <c r="B93" s="632"/>
      <c r="D93" s="786" t="s">
        <v>947</v>
      </c>
      <c r="E93" s="844" t="s">
        <v>942</v>
      </c>
      <c r="F93" s="781" t="s">
        <v>880</v>
      </c>
      <c r="G93" s="845"/>
      <c r="H93" s="1144"/>
      <c r="I93" s="845"/>
      <c r="J93" s="1144"/>
      <c r="K93" s="410"/>
      <c r="X93" s="879">
        <v>0</v>
      </c>
    </row>
    <row s="7720" customFormat="1" customHeight="1" ht="11.25" hidden="1">
      <c r="A94" s="2513"/>
      <c r="B94" s="632"/>
      <c r="D94" s="786" t="s">
        <v>948</v>
      </c>
      <c r="E94" s="844" t="s">
        <v>944</v>
      </c>
      <c r="F94" s="781" t="s">
        <v>880</v>
      </c>
      <c r="G94" s="845"/>
      <c r="H94" s="1144"/>
      <c r="I94" s="845"/>
      <c r="J94" s="1144"/>
      <c r="K94" s="410"/>
      <c r="X94" s="879">
        <v>0</v>
      </c>
    </row>
    <row s="7720" customFormat="1" customHeight="1" ht="24.75" hidden="1">
      <c r="A95" s="2513"/>
      <c r="B95" s="632"/>
      <c r="D95" s="786" t="s">
        <v>124</v>
      </c>
      <c r="E95" s="787" t="s">
        <v>949</v>
      </c>
      <c r="F95" s="846" t="s">
        <v>580</v>
      </c>
      <c r="G95" s="848"/>
      <c r="H95" s="1144"/>
      <c r="I95" s="848"/>
      <c r="J95" s="1144"/>
      <c r="K95" s="410" t="s">
        <v>950</v>
      </c>
      <c r="X95" s="879">
        <v>0</v>
      </c>
    </row>
    <row s="7720" customFormat="1" customHeight="1" ht="33.75" hidden="1">
      <c r="A96" s="2513"/>
      <c r="B96" s="632"/>
      <c r="D96" s="786" t="s">
        <v>92</v>
      </c>
      <c r="E96" s="787" t="s">
        <v>951</v>
      </c>
      <c r="F96" s="847" t="s">
        <v>841</v>
      </c>
      <c r="G96" s="849"/>
      <c r="H96" s="1144"/>
      <c r="I96" s="849"/>
      <c r="J96" s="1144"/>
      <c r="K96" s="410"/>
      <c r="X96" s="879">
        <v>0</v>
      </c>
    </row>
    <row s="7720" customFormat="1" customHeight="1" ht="22.5" hidden="1">
      <c r="A97" s="2513"/>
      <c r="B97" s="632" t="s">
        <v>610</v>
      </c>
      <c r="D97" s="786" t="s">
        <v>93</v>
      </c>
      <c r="E97" s="787" t="s">
        <v>952</v>
      </c>
      <c r="F97" s="847" t="s">
        <v>330</v>
      </c>
      <c r="G97" s="506"/>
      <c r="H97" s="1144"/>
      <c r="I97" s="506"/>
      <c r="J97" s="1144"/>
      <c r="K97" s="410" t="s">
        <v>653</v>
      </c>
      <c r="X97" s="879">
        <v>0</v>
      </c>
    </row>
    <row s="7720" customFormat="1" customHeight="1" ht="45" hidden="1">
      <c r="A98" s="2513"/>
      <c r="B98" s="632" t="s">
        <v>610</v>
      </c>
      <c r="D98" s="786" t="s">
        <v>953</v>
      </c>
      <c r="E98" s="788" t="s">
        <v>954</v>
      </c>
      <c r="F98" s="842" t="s">
        <v>330</v>
      </c>
      <c r="G98" s="506"/>
      <c r="H98" s="1144"/>
      <c r="I98" s="506"/>
      <c r="J98" s="1144"/>
      <c r="K98" s="410" t="s">
        <v>653</v>
      </c>
      <c r="X98" s="879">
        <v>0</v>
      </c>
    </row>
    <row s="7720" customFormat="1" customHeight="1" ht="95.25" hidden="1">
      <c r="A99" s="2513"/>
      <c r="B99" s="632" t="s">
        <v>610</v>
      </c>
      <c r="D99" s="786" t="s">
        <v>125</v>
      </c>
      <c r="E99" s="787" t="s">
        <v>955</v>
      </c>
      <c r="F99" s="842" t="s">
        <v>330</v>
      </c>
      <c r="G99" s="506"/>
      <c r="H99" s="1144"/>
      <c r="I99" s="506"/>
      <c r="J99" s="1144"/>
      <c r="K99" s="410" t="s">
        <v>653</v>
      </c>
      <c r="X99" s="879">
        <v>0</v>
      </c>
    </row>
    <row s="7720" customFormat="1" customHeight="1" ht="22.5" hidden="1">
      <c r="A100" s="2513"/>
      <c r="B100" s="632" t="s">
        <v>610</v>
      </c>
      <c r="D100" s="786" t="s">
        <v>161</v>
      </c>
      <c r="E100" s="787" t="s">
        <v>956</v>
      </c>
      <c r="F100" s="842" t="s">
        <v>330</v>
      </c>
      <c r="G100" s="506"/>
      <c r="H100" s="1144"/>
      <c r="I100" s="506"/>
      <c r="J100" s="1144"/>
      <c r="K100" s="410" t="s">
        <v>653</v>
      </c>
      <c r="X100" s="879">
        <v>0</v>
      </c>
    </row>
    <row s="7720" customFormat="1" customHeight="1" ht="11.549999999999999">
      <c r="A101" s="1154"/>
      <c r="B101" s="639"/>
      <c r="D101" s="1155"/>
      <c r="E101" s="1156"/>
      <c r="X101" s="630">
        <v>11</v>
      </c>
    </row>
    <row customHeight="1" ht="22.5" hidden="1">
      <c r="A102" s="657" t="s">
        <v>82</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1709-94F1-C2DD-2C78-0.E346955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08" width="9.140625" hidden="1" customWidth="1"/>
    <col min="2" max="2" style="7720" width="9.140625" hidden="1" customWidth="1"/>
    <col min="3" max="3" style="7632" width="4.00390625" customWidth="1"/>
    <col min="4" max="4" style="7720" width="6.00390625" customWidth="1"/>
    <col min="5" max="5" style="7720" width="36.00390625" customWidth="1"/>
    <col min="6" max="6" style="7720" width="9.00390625" customWidth="1"/>
    <col min="7" max="7" style="7720" width="25.7109375" hidden="1" customWidth="1"/>
    <col min="8" max="8" style="7720" width="33.7109375" hidden="1" customWidth="1"/>
    <col min="9" max="9" style="7720" width="25.7109375" customWidth="1"/>
    <col min="10" max="10" style="7720" width="33.00390625" customWidth="1"/>
    <col min="11" max="11" style="7669" width="93.00390625" customWidth="1"/>
    <col min="12" max="20" style="7720" width="10.00390625" customWidth="1"/>
    <col min="21" max="21" style="7794" width="10.00390625" customWidth="1"/>
    <col min="22" max="22" style="7720" width="10.57421875" hidden="1"/>
  </cols>
  <sheetData>
    <row s="7669" customFormat="1" customHeight="1" ht="22.5" hidden="1">
      <c r="C1" s="793"/>
      <c r="G1" s="538">
        <v>4</v>
      </c>
      <c r="I1" s="538">
        <v>4</v>
      </c>
      <c r="U1" s="541"/>
      <c r="V1" s="538" t="s">
        <v>14</v>
      </c>
    </row>
    <row s="7669" customFormat="1" customHeight="1" ht="15" hidden="1">
      <c r="C2" s="793"/>
      <c r="U2" s="541"/>
      <c r="V2" s="538">
        <v>0</v>
      </c>
    </row>
    <row customHeight="1" ht="22.5" hidden="1">
      <c r="A3" s="626"/>
      <c r="B3" s="2518"/>
      <c r="C3" s="2519" t="s">
        <v>104</v>
      </c>
      <c r="D3" s="810" t="str">
        <f>B3&amp;".1"</f>
        <v>.1</v>
      </c>
      <c r="E3" s="811" t="s">
        <v>957</v>
      </c>
      <c r="F3" s="812" t="s">
        <v>330</v>
      </c>
      <c r="G3" s="807"/>
      <c r="H3" s="522"/>
      <c r="I3" s="807"/>
      <c r="J3" s="522"/>
      <c r="K3" s="410" t="s">
        <v>958</v>
      </c>
      <c r="V3" s="626">
        <v>0</v>
      </c>
    </row>
    <row customHeight="1" ht="15" hidden="1">
      <c r="A4" s="626"/>
      <c r="B4" s="2518"/>
      <c r="C4" s="2519"/>
      <c r="D4" s="810" t="str">
        <f>B3&amp;".2"</f>
        <v>.2</v>
      </c>
      <c r="E4" s="811" t="s">
        <v>959</v>
      </c>
      <c r="F4" s="812" t="s">
        <v>330</v>
      </c>
      <c r="G4" s="1859" t="s">
        <v>28</v>
      </c>
      <c r="H4" s="522"/>
      <c r="I4" s="1859" t="s">
        <v>28</v>
      </c>
      <c r="J4" s="522"/>
      <c r="K4" s="410" t="s">
        <v>960</v>
      </c>
      <c r="V4" s="626">
        <v>0</v>
      </c>
    </row>
    <row s="7669" customFormat="1" customHeight="1" ht="15" hidden="1">
      <c r="C5" s="793"/>
      <c r="U5" s="541"/>
      <c r="V5" s="538">
        <v>0</v>
      </c>
    </row>
    <row customHeight="1" ht="22.5" hidden="1">
      <c r="A6" s="626"/>
      <c r="B6" s="2518"/>
      <c r="C6" s="2519" t="s">
        <v>104</v>
      </c>
      <c r="D6" s="810" t="str">
        <f>B6&amp;".1"</f>
        <v>.1</v>
      </c>
      <c r="E6" s="811" t="s">
        <v>961</v>
      </c>
      <c r="F6" s="812" t="s">
        <v>330</v>
      </c>
      <c r="G6" s="807"/>
      <c r="H6" s="522"/>
      <c r="I6" s="807"/>
      <c r="J6" s="522"/>
      <c r="K6" s="410" t="s">
        <v>962</v>
      </c>
      <c r="V6" s="626">
        <v>0</v>
      </c>
    </row>
    <row customHeight="1" ht="15" hidden="1">
      <c r="A7" s="626"/>
      <c r="B7" s="2518"/>
      <c r="C7" s="2519"/>
      <c r="D7" s="810" t="str">
        <f>B6&amp;".2"</f>
        <v>.2</v>
      </c>
      <c r="E7" s="811" t="s">
        <v>959</v>
      </c>
      <c r="F7" s="812" t="s">
        <v>330</v>
      </c>
      <c r="G7" s="1859" t="s">
        <v>28</v>
      </c>
      <c r="H7" s="522"/>
      <c r="I7" s="1859" t="s">
        <v>28</v>
      </c>
      <c r="J7" s="522"/>
      <c r="K7" s="410" t="s">
        <v>960</v>
      </c>
      <c r="V7" s="626">
        <v>0</v>
      </c>
    </row>
    <row s="7669" customFormat="1" customHeight="1" ht="15" hidden="1">
      <c r="C8" s="793"/>
      <c r="U8" s="541"/>
      <c r="V8" s="538">
        <v>0</v>
      </c>
    </row>
    <row customHeight="1" ht="22.5" hidden="1">
      <c r="A9" s="626"/>
      <c r="B9" s="2518"/>
      <c r="C9" s="2519" t="s">
        <v>104</v>
      </c>
      <c r="D9" s="810" t="str">
        <f>B9&amp;".1"</f>
        <v>.1</v>
      </c>
      <c r="E9" s="811" t="s">
        <v>963</v>
      </c>
      <c r="F9" s="812" t="s">
        <v>330</v>
      </c>
      <c r="G9" s="818" t="s">
        <v>28</v>
      </c>
      <c r="H9" s="522" t="s">
        <v>28</v>
      </c>
      <c r="I9" s="818" t="s">
        <v>28</v>
      </c>
      <c r="J9" s="522" t="s">
        <v>28</v>
      </c>
      <c r="K9" s="410"/>
      <c r="V9" s="626">
        <v>0</v>
      </c>
    </row>
    <row customHeight="1" ht="15" hidden="1">
      <c r="A10" s="626"/>
      <c r="B10" s="2518"/>
      <c r="C10" s="2519"/>
      <c r="D10" s="810" t="str">
        <f>B9&amp;".2"</f>
        <v>.2</v>
      </c>
      <c r="E10" s="811" t="s">
        <v>964</v>
      </c>
      <c r="F10" s="812" t="s">
        <v>330</v>
      </c>
      <c r="G10" s="1853" t="s">
        <v>28</v>
      </c>
      <c r="H10" s="522" t="s">
        <v>28</v>
      </c>
      <c r="I10" s="1853" t="s">
        <v>28</v>
      </c>
      <c r="J10" s="522" t="s">
        <v>28</v>
      </c>
      <c r="K10" s="410" t="s">
        <v>965</v>
      </c>
      <c r="V10" s="626">
        <v>0</v>
      </c>
    </row>
    <row customHeight="1" ht="15" hidden="1">
      <c r="A11" s="626"/>
      <c r="B11" s="2518"/>
      <c r="C11" s="2519"/>
      <c r="D11" s="810" t="str">
        <f>B9&amp;".3"</f>
        <v>.3</v>
      </c>
      <c r="E11" s="811" t="s">
        <v>966</v>
      </c>
      <c r="F11" s="812" t="s">
        <v>330</v>
      </c>
      <c r="G11" s="1853" t="s">
        <v>28</v>
      </c>
      <c r="H11" s="522" t="s">
        <v>28</v>
      </c>
      <c r="I11" s="1853" t="s">
        <v>28</v>
      </c>
      <c r="J11" s="522" t="s">
        <v>28</v>
      </c>
      <c r="K11" s="410" t="s">
        <v>967</v>
      </c>
      <c r="V11" s="626">
        <v>0</v>
      </c>
    </row>
    <row s="7669" customFormat="1" customHeight="1" ht="15" hidden="1">
      <c r="C12" s="793"/>
      <c r="U12" s="541"/>
      <c r="V12" s="538">
        <v>0</v>
      </c>
    </row>
    <row customHeight="1" ht="33.75" hidden="1">
      <c r="A13" s="626"/>
      <c r="B13" s="2518"/>
      <c r="C13" s="2519" t="s">
        <v>104</v>
      </c>
      <c r="D13" s="810" t="str">
        <f>B13&amp;".1"</f>
        <v>.1</v>
      </c>
      <c r="E13" s="811" t="s">
        <v>968</v>
      </c>
      <c r="F13" s="812" t="s">
        <v>330</v>
      </c>
      <c r="G13" s="818" t="s">
        <v>28</v>
      </c>
      <c r="H13" s="522" t="s">
        <v>28</v>
      </c>
      <c r="I13" s="818" t="s">
        <v>28</v>
      </c>
      <c r="J13" s="522" t="s">
        <v>28</v>
      </c>
      <c r="K13" s="410" t="s">
        <v>969</v>
      </c>
      <c r="V13" s="626">
        <v>0</v>
      </c>
    </row>
    <row customHeight="1" ht="15" hidden="1">
      <c r="B14" s="2518"/>
      <c r="C14" s="2519"/>
      <c r="D14" s="810" t="str">
        <f>B13&amp;".2"</f>
        <v>.2</v>
      </c>
      <c r="E14" s="811" t="s">
        <v>970</v>
      </c>
      <c r="F14" s="812" t="s">
        <v>330</v>
      </c>
      <c r="G14" s="1853" t="s">
        <v>28</v>
      </c>
      <c r="H14" s="522" t="s">
        <v>28</v>
      </c>
      <c r="I14" s="1853" t="s">
        <v>28</v>
      </c>
      <c r="J14" s="522" t="s">
        <v>28</v>
      </c>
      <c r="K14" s="410" t="s">
        <v>971</v>
      </c>
      <c r="V14" s="626">
        <v>0</v>
      </c>
    </row>
    <row s="7669" customFormat="1" customHeight="1" ht="15" hidden="1">
      <c r="C15" s="793"/>
      <c r="U15" s="541"/>
      <c r="V15" s="538">
        <v>0</v>
      </c>
    </row>
    <row s="7669" customFormat="1" customHeight="1" ht="15" hidden="1">
      <c r="C16" s="793"/>
      <c r="U16" s="541"/>
      <c r="V16" s="538">
        <v>0</v>
      </c>
    </row>
    <row s="7669" customFormat="1" customHeight="1" ht="15" hidden="1">
      <c r="C17" s="793"/>
      <c r="U17" s="541"/>
      <c r="V17" s="538">
        <v>0</v>
      </c>
    </row>
    <row s="7669" customFormat="1" customHeight="1" ht="15" hidden="1">
      <c r="C18" s="793"/>
      <c r="U18" s="541"/>
      <c r="V18" s="538">
        <v>0</v>
      </c>
    </row>
    <row s="7669" customFormat="1" customHeight="1" ht="15" hidden="1">
      <c r="C19" s="793"/>
      <c r="U19" s="541"/>
      <c r="V19" s="538">
        <v>0</v>
      </c>
    </row>
    <row s="7669" customFormat="1" customHeight="1" ht="15" hidden="1">
      <c r="C20" s="793"/>
      <c r="U20" s="541"/>
      <c r="V20" s="538">
        <v>0</v>
      </c>
    </row>
    <row customHeight="1" ht="15.75">
      <c r="C21" s="297"/>
      <c r="D21" s="630"/>
      <c r="E21" s="630"/>
      <c r="F21" s="630"/>
      <c r="G21" s="630"/>
      <c r="H21" s="630"/>
      <c r="I21" s="630"/>
      <c r="J21" s="630"/>
      <c r="V21" s="626">
        <v>15</v>
      </c>
    </row>
    <row customHeight="1" ht="23.25">
      <c r="C22" s="297"/>
      <c r="D22"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8"/>
      <c r="F22" s="2358"/>
      <c r="G22" s="2358"/>
      <c r="H22" s="2358"/>
      <c r="I22" s="2358"/>
      <c r="J22" s="797"/>
      <c r="K22" s="658"/>
      <c r="V22" s="626">
        <v>22</v>
      </c>
    </row>
    <row customHeight="1" ht="15.75">
      <c r="C23" s="297"/>
      <c r="D23" s="2297" t="str">
        <f>IF(org=0,"Не определено",org)</f>
        <v>ПАО "ТГК-1" филиал "Невский"</v>
      </c>
      <c r="E23" s="2297"/>
      <c r="F23" s="2297"/>
      <c r="G23" s="2297"/>
      <c r="H23" s="2297"/>
      <c r="I23" s="2297"/>
      <c r="J23" s="797"/>
      <c r="K23" s="658"/>
      <c r="V23" s="626">
        <v>15</v>
      </c>
    </row>
    <row customHeight="1" ht="15.75">
      <c r="C24" s="297"/>
      <c r="D24" s="630"/>
      <c r="E24" s="630"/>
      <c r="F24" s="630"/>
      <c r="G24" s="658">
        <v>22</v>
      </c>
      <c r="H24" s="873"/>
      <c r="I24" s="658">
        <v>22</v>
      </c>
      <c r="J24" s="873"/>
      <c r="V24" s="626">
        <v>15</v>
      </c>
    </row>
    <row s="7720" customFormat="1" customHeight="1" ht="1.05">
      <c r="A25" s="880"/>
      <c r="C25" s="297"/>
      <c r="D25" s="630"/>
      <c r="E25" s="630"/>
      <c r="F25" s="630"/>
      <c r="G25" s="658"/>
      <c r="H25" s="873"/>
      <c r="I25" s="658" t="s">
        <v>130</v>
      </c>
      <c r="J25" s="873"/>
      <c r="K25" s="538"/>
      <c r="U25" s="796"/>
      <c r="V25" s="879">
        <v>1</v>
      </c>
    </row>
    <row customHeight="1" ht="15.75">
      <c r="C26" s="297"/>
      <c r="D26" s="832"/>
      <c r="E26" s="2488" t="s">
        <v>119</v>
      </c>
      <c r="F26" s="2489"/>
      <c r="G26" s="2516" t="str">
        <f>IF(G25="","",INDEX(DIFFERENTIATION_UNMERGE_VD,MATCH(G25,DIFFERENTIATION_ID_DIFF,0)))</f>
        <v/>
      </c>
      <c r="H26" s="2517"/>
      <c r="I26" s="2516">
        <f>IF(I25="","",INDEX(DIFFERENTIATION_UNMERGE_VD,MATCH(I25,DIFFERENTIATION_ID_DIFF,0)))</f>
        <v>0</v>
      </c>
      <c r="J26" s="2517"/>
      <c r="K26" s="2296" t="s">
        <v>325</v>
      </c>
      <c r="V26" s="626">
        <v>15</v>
      </c>
    </row>
    <row s="7720" customFormat="1" customHeight="1" ht="15.75">
      <c r="A27" s="880"/>
      <c r="C27" s="297"/>
      <c r="D27" s="832"/>
      <c r="E27" s="2488" t="s">
        <v>586</v>
      </c>
      <c r="F27" s="2489"/>
      <c r="G27" s="2516" t="str">
        <f>IF(G25="","",INDEX(DIFFERENTIATION_UNMERGE_AREA,MATCH(G25,DIFFERENTIATION_ID_DIFF,0)))</f>
        <v/>
      </c>
      <c r="H27" s="2517"/>
      <c r="I27" s="2516" t="str">
        <f>IF(I25="","",INDEX(DIFFERENTIATION_UNMERGE_AREA,MATCH(I25,DIFFERENTIATION_ID_DIFF,0)))</f>
        <v/>
      </c>
      <c r="J27" s="2517"/>
      <c r="K27" s="2316"/>
      <c r="U27" s="796"/>
      <c r="V27" s="879">
        <v>15</v>
      </c>
    </row>
    <row s="7720" customFormat="1" customHeight="1" ht="15.75">
      <c r="A28" s="880"/>
      <c r="C28" s="297"/>
      <c r="D28" s="832"/>
      <c r="E28" s="2488" t="s">
        <v>587</v>
      </c>
      <c r="F28" s="2489"/>
      <c r="G28" s="2516" t="str">
        <f>IF(G25="","",INDEX(DIFFERENTIATION_UNMERGE_SYSTEM,MATCH(G25,DIFFERENTIATION_ID_DIFF,0)))</f>
        <v/>
      </c>
      <c r="H28" s="2517"/>
      <c r="I28" s="2516" t="str">
        <f>IF(I25="","",INDEX(DIFFERENTIATION_UNMERGE_SYSTEM,MATCH(I25,DIFFERENTIATION_ID_DIFF,0)))</f>
        <v>без дифференциации</v>
      </c>
      <c r="J28" s="2517"/>
      <c r="K28" s="2316"/>
      <c r="U28" s="796"/>
      <c r="V28" s="879">
        <v>15</v>
      </c>
    </row>
    <row s="7720" customFormat="1" customHeight="1" ht="15.75">
      <c r="A29" s="880"/>
      <c r="C29" s="297"/>
      <c r="D29" s="2490" t="s">
        <v>324</v>
      </c>
      <c r="E29" s="2491"/>
      <c r="F29" s="2491"/>
      <c r="G29" s="1008"/>
      <c r="H29" s="1008"/>
      <c r="I29" s="1008"/>
      <c r="J29" s="1009"/>
      <c r="K29" s="2316"/>
      <c r="U29" s="796"/>
      <c r="V29" s="879">
        <v>15</v>
      </c>
    </row>
    <row customHeight="1" ht="35.699999999999996">
      <c r="C30" s="297"/>
      <c r="D30" s="882" t="s">
        <v>88</v>
      </c>
      <c r="E30" s="881" t="s">
        <v>326</v>
      </c>
      <c r="F30" s="881" t="s">
        <v>588</v>
      </c>
      <c r="G30" s="929" t="s">
        <v>327</v>
      </c>
      <c r="H30" s="928" t="s">
        <v>414</v>
      </c>
      <c r="I30" s="805" t="s">
        <v>327</v>
      </c>
      <c r="J30" s="586" t="s">
        <v>414</v>
      </c>
      <c r="K30" s="2322"/>
      <c r="V30" s="626">
        <v>34</v>
      </c>
    </row>
    <row customHeight="1" ht="15" hidden="1">
      <c r="C31" s="297"/>
      <c r="D31" s="714"/>
      <c r="E31" s="714"/>
      <c r="F31" s="714"/>
      <c r="G31" s="780"/>
      <c r="H31" s="780"/>
      <c r="I31" s="780"/>
      <c r="J31" s="780"/>
      <c r="K31" s="410"/>
      <c r="V31" s="626">
        <v>0</v>
      </c>
    </row>
    <row customHeight="1" ht="24">
      <c r="A32" s="626"/>
      <c r="B32" s="626" t="s">
        <v>972</v>
      </c>
      <c r="C32" s="647"/>
      <c r="D32" s="813">
        <v>1</v>
      </c>
      <c r="E32" s="814" t="s">
        <v>973</v>
      </c>
      <c r="F32" s="812" t="s">
        <v>330</v>
      </c>
      <c r="G32" s="934" t="s">
        <v>330</v>
      </c>
      <c r="H32" s="934" t="s">
        <v>330</v>
      </c>
      <c r="I32" s="812" t="s">
        <v>330</v>
      </c>
      <c r="J32" s="812" t="s">
        <v>330</v>
      </c>
      <c r="K32" s="410"/>
      <c r="V32" s="626">
        <v>23</v>
      </c>
    </row>
    <row customHeight="1" ht="11.549999999999999">
      <c r="A33" s="626"/>
      <c r="C33" s="626"/>
      <c r="D33" s="468"/>
      <c r="E33" s="701" t="s">
        <v>608</v>
      </c>
      <c r="F33" s="693"/>
      <c r="G33" s="693"/>
      <c r="H33" s="693"/>
      <c r="I33" s="693"/>
      <c r="J33" s="693"/>
      <c r="K33" s="694"/>
      <c r="U33" s="626"/>
      <c r="V33" s="626">
        <v>11</v>
      </c>
    </row>
    <row customHeight="1" ht="24">
      <c r="A34" s="626"/>
      <c r="B34" s="702" t="s">
        <v>658</v>
      </c>
      <c r="C34" s="647"/>
      <c r="D34" s="813">
        <v>2</v>
      </c>
      <c r="E34" s="814" t="s">
        <v>974</v>
      </c>
      <c r="F34" s="941" t="s">
        <v>330</v>
      </c>
      <c r="G34" s="941" t="s">
        <v>330</v>
      </c>
      <c r="H34" s="941" t="s">
        <v>330</v>
      </c>
      <c r="I34" s="812"/>
      <c r="J34" s="812"/>
      <c r="K34" s="410"/>
      <c r="V34" s="626">
        <v>23</v>
      </c>
    </row>
    <row customHeight="1" ht="11.549999999999999">
      <c r="A35" s="626"/>
      <c r="C35" s="626"/>
      <c r="D35" s="468"/>
      <c r="E35" s="701" t="s">
        <v>975</v>
      </c>
      <c r="F35" s="693"/>
      <c r="G35" s="815"/>
      <c r="H35" s="693"/>
      <c r="I35" s="815"/>
      <c r="J35" s="693"/>
      <c r="K35" s="694"/>
      <c r="U35" s="626"/>
      <c r="V35" s="626">
        <v>11</v>
      </c>
    </row>
    <row customHeight="1" ht="71.25">
      <c r="A36" s="626"/>
      <c r="B36" s="626" t="s">
        <v>976</v>
      </c>
      <c r="C36" s="647"/>
      <c r="D36" s="813">
        <v>3</v>
      </c>
      <c r="E36" s="814" t="s">
        <v>977</v>
      </c>
      <c r="F36" s="816" t="s">
        <v>330</v>
      </c>
      <c r="G36" s="935" t="s">
        <v>978</v>
      </c>
      <c r="H36" s="934" t="s">
        <v>330</v>
      </c>
      <c r="I36" s="645" t="s">
        <v>978</v>
      </c>
      <c r="J36" s="812" t="s">
        <v>330</v>
      </c>
      <c r="K36" s="410" t="s">
        <v>979</v>
      </c>
      <c r="V36" s="626">
        <v>68</v>
      </c>
    </row>
    <row customHeight="1" ht="11.549999999999999">
      <c r="A37" s="626"/>
      <c r="C37" s="626"/>
      <c r="D37" s="468"/>
      <c r="E37" s="701" t="s">
        <v>980</v>
      </c>
      <c r="F37" s="693"/>
      <c r="G37" s="815"/>
      <c r="H37" s="815"/>
      <c r="I37" s="815"/>
      <c r="J37" s="815"/>
      <c r="K37" s="694"/>
      <c r="U37" s="626"/>
      <c r="V37" s="626">
        <v>11</v>
      </c>
    </row>
    <row customHeight="1" ht="71.25">
      <c r="A38" s="626"/>
      <c r="B38" s="626" t="s">
        <v>981</v>
      </c>
      <c r="C38" s="647"/>
      <c r="D38" s="813">
        <v>4</v>
      </c>
      <c r="E38" s="814" t="s">
        <v>982</v>
      </c>
      <c r="F38" s="816" t="s">
        <v>330</v>
      </c>
      <c r="G38" s="935" t="s">
        <v>978</v>
      </c>
      <c r="H38" s="936" t="s">
        <v>330</v>
      </c>
      <c r="I38" s="645" t="s">
        <v>978</v>
      </c>
      <c r="J38" s="642" t="s">
        <v>330</v>
      </c>
      <c r="K38" s="800" t="s">
        <v>983</v>
      </c>
      <c r="V38" s="626">
        <v>68</v>
      </c>
    </row>
    <row customHeight="1" ht="11.549999999999999">
      <c r="A39" s="626"/>
      <c r="C39" s="626"/>
      <c r="D39" s="468"/>
      <c r="E39" s="701" t="s">
        <v>984</v>
      </c>
      <c r="F39" s="693"/>
      <c r="G39" s="693"/>
      <c r="H39" s="817"/>
      <c r="I39" s="693"/>
      <c r="J39" s="817"/>
      <c r="K39" s="694"/>
      <c r="U39" s="626"/>
      <c r="V39" s="626">
        <v>11</v>
      </c>
    </row>
    <row customHeight="1" ht="22.5" hidden="1">
      <c r="A40" s="570" t="s">
        <v>82</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2974E-2CB3-43EC-1A44-0.0D61358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455" width="6.7109375" hidden="1" customWidth="1"/>
    <col min="4" max="4" style="7669" width="6.7109375" hidden="1" customWidth="1"/>
    <col min="5" max="5" style="7720" width="3.00390625" customWidth="1"/>
    <col min="6" max="6" style="7720" width="6.00390625" customWidth="1"/>
    <col min="7" max="7" style="7720" width="37.00390625" customWidth="1"/>
    <col min="8" max="8" style="7720" width="16.00390625" customWidth="1"/>
    <col min="9" max="10" style="7720" width="19.00390625" customWidth="1"/>
    <col min="11" max="11" style="7720" width="24.00390625" customWidth="1"/>
    <col min="12" max="13" style="7720" width="25.00390625" customWidth="1"/>
    <col min="14" max="16" style="7720" width="17.00390625" customWidth="1"/>
    <col min="17" max="24" style="7720" width="19.00390625" customWidth="1"/>
    <col min="25" max="25" style="7720" width="7.00390625" customWidth="1"/>
    <col min="26" max="26" style="7720" width="3.00390625" customWidth="1"/>
    <col min="27" max="27" style="7720" width="6.00390625" customWidth="1"/>
    <col min="28" max="28" style="7720" width="34.00390625" customWidth="1"/>
    <col min="29" max="30" style="7720" width="8.00390625" customWidth="1"/>
    <col min="31" max="31" style="7720" width="9.140625" hidden="1"/>
  </cols>
  <sheetData>
    <row s="7669" customFormat="1" customHeight="1" ht="10.5" hidden="1">
      <c r="A1" s="1016"/>
      <c r="B1" s="1016"/>
      <c r="C1" s="1016"/>
      <c r="E1" s="658"/>
      <c r="H1" s="1281"/>
      <c r="AE1" s="538" t="s">
        <v>14</v>
      </c>
    </row>
    <row customHeight="1" ht="10.5" hidden="1">
      <c r="AE2" s="879">
        <v>0</v>
      </c>
    </row>
    <row s="8008" customFormat="1" customHeight="1" ht="10.5" hidden="1">
      <c r="A3" s="1016"/>
      <c r="B3" s="1016"/>
      <c r="C3" s="1016"/>
      <c r="D3" s="538"/>
      <c r="E3" s="483"/>
      <c r="G3" s="1753" t="s">
        <v>985</v>
      </c>
      <c r="H3" s="1277"/>
      <c r="AE3" s="880">
        <v>0</v>
      </c>
    </row>
    <row customHeight="1" ht="3">
      <c r="AE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M5" s="703"/>
      <c r="AB5" s="1027"/>
      <c r="AE5" s="879">
        <v>26</v>
      </c>
    </row>
    <row s="7720" customFormat="1" customHeight="1" ht="16.8">
      <c r="A6" s="1287"/>
      <c r="B6" s="1287"/>
      <c r="C6" s="1287"/>
      <c r="D6" s="1281"/>
      <c r="E6" s="1756"/>
      <c r="F6" s="2370" t="str">
        <f>IF(org=0,"Не определено",org)</f>
        <v>ПАО "ТГК-1" филиал "Невский"</v>
      </c>
      <c r="G6" s="2370"/>
      <c r="H6" s="2370"/>
      <c r="I6" s="2370"/>
      <c r="J6" s="2370"/>
      <c r="K6" s="2370"/>
      <c r="M6" s="703"/>
      <c r="AB6" s="1269"/>
      <c r="AE6" s="1752">
        <v>16</v>
      </c>
    </row>
    <row customHeight="1" ht="10.5">
      <c r="AE7" s="879">
        <v>10</v>
      </c>
    </row>
    <row customHeight="1" ht="10.5">
      <c r="A8" s="1172"/>
      <c r="B8" s="1172"/>
      <c r="C8" s="1172"/>
      <c r="F8" s="2222" t="s">
        <v>324</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48" t="s">
        <v>88</v>
      </c>
      <c r="G9" s="2248" t="s">
        <v>985</v>
      </c>
      <c r="H9" s="2296" t="s">
        <v>986</v>
      </c>
      <c r="I9" s="2248" t="s">
        <v>987</v>
      </c>
      <c r="J9" s="2248" t="s">
        <v>988</v>
      </c>
      <c r="K9" s="2248" t="s">
        <v>989</v>
      </c>
      <c r="L9" s="2248" t="s">
        <v>990</v>
      </c>
      <c r="M9" s="2248" t="s">
        <v>991</v>
      </c>
      <c r="N9" s="2330" t="s">
        <v>992</v>
      </c>
      <c r="O9" s="2330"/>
      <c r="P9" s="2330"/>
      <c r="Q9" s="2520" t="s">
        <v>993</v>
      </c>
      <c r="R9" s="2521"/>
      <c r="S9" s="2521"/>
      <c r="T9" s="2522"/>
      <c r="U9" s="2520" t="s">
        <v>994</v>
      </c>
      <c r="V9" s="2521"/>
      <c r="W9" s="2521"/>
      <c r="X9" s="2522"/>
      <c r="Y9" s="2222" t="s">
        <v>995</v>
      </c>
      <c r="Z9" s="2223"/>
      <c r="AA9" s="2223"/>
      <c r="AB9" s="2224"/>
      <c r="AE9" s="879">
        <v>41</v>
      </c>
    </row>
    <row customHeight="1" ht="43.050000000000004">
      <c r="A10" s="1026"/>
      <c r="B10" s="1026"/>
      <c r="C10" s="1026"/>
      <c r="F10" s="2296"/>
      <c r="G10" s="2296"/>
      <c r="H10" s="2353"/>
      <c r="I10" s="2296"/>
      <c r="J10" s="2296"/>
      <c r="K10" s="2296"/>
      <c r="L10" s="2296"/>
      <c r="M10" s="2296"/>
      <c r="N10" s="1024" t="s">
        <v>996</v>
      </c>
      <c r="O10" s="1024" t="s">
        <v>997</v>
      </c>
      <c r="P10" s="1025" t="s">
        <v>998</v>
      </c>
      <c r="Q10" s="1036" t="s">
        <v>89</v>
      </c>
      <c r="R10" s="1036" t="s">
        <v>999</v>
      </c>
      <c r="S10" s="1036" t="s">
        <v>1000</v>
      </c>
      <c r="T10" s="1037" t="s">
        <v>1001</v>
      </c>
      <c r="U10" s="1036" t="s">
        <v>89</v>
      </c>
      <c r="V10" s="1036" t="s">
        <v>1002</v>
      </c>
      <c r="W10" s="1036" t="s">
        <v>1000</v>
      </c>
      <c r="X10" s="1037" t="s">
        <v>1001</v>
      </c>
      <c r="Y10" s="422" t="s">
        <v>1003</v>
      </c>
      <c r="Z10" s="2222" t="s">
        <v>88</v>
      </c>
      <c r="AA10" s="2224"/>
      <c r="AB10" s="1170" t="s">
        <v>1004</v>
      </c>
      <c r="AE10" s="879">
        <v>41</v>
      </c>
    </row>
    <row s="7217" customFormat="1" customHeight="1" ht="5.25" hidden="1">
      <c r="A11" s="1173"/>
      <c r="B11" s="1173"/>
      <c r="C11" s="1173"/>
      <c r="E11" s="1171"/>
      <c r="F11" s="2527" t="s">
        <v>400</v>
      </c>
      <c r="G11" s="2524"/>
      <c r="H11" s="2523"/>
      <c r="I11" s="2523"/>
      <c r="J11" s="2523"/>
      <c r="K11" s="2525"/>
      <c r="L11" s="2525"/>
      <c r="M11" s="2525"/>
      <c r="N11" s="2523"/>
      <c r="O11" s="2523"/>
      <c r="P11" s="2248"/>
      <c r="Q11" s="2300"/>
      <c r="R11" s="2300"/>
      <c r="S11" s="2300"/>
      <c r="T11" s="2523"/>
      <c r="U11" s="2300"/>
      <c r="V11" s="2300"/>
      <c r="W11" s="2300"/>
      <c r="X11" s="2523"/>
      <c r="Y11" s="2229"/>
      <c r="Z11" s="2229"/>
      <c r="AA11" s="2229"/>
      <c r="AB11" s="2229"/>
      <c r="AD11" s="632" t="s">
        <v>1005</v>
      </c>
      <c r="AE11" s="632">
        <v>0</v>
      </c>
    </row>
    <row s="7217" customFormat="1" customHeight="1" ht="5.25" hidden="1">
      <c r="A12" s="1017"/>
      <c r="B12" s="1017"/>
      <c r="C12" s="1017"/>
      <c r="E12" s="639"/>
      <c r="F12" s="2527"/>
      <c r="G12" s="2524"/>
      <c r="H12" s="2523"/>
      <c r="I12" s="2523"/>
      <c r="J12" s="2523"/>
      <c r="K12" s="2525"/>
      <c r="L12" s="2525"/>
      <c r="M12" s="2525"/>
      <c r="N12" s="2523"/>
      <c r="O12" s="2523"/>
      <c r="P12" s="2248"/>
      <c r="Q12" s="2300"/>
      <c r="R12" s="2300"/>
      <c r="S12" s="2300"/>
      <c r="T12" s="2523"/>
      <c r="U12" s="2300"/>
      <c r="V12" s="2300"/>
      <c r="W12" s="2300"/>
      <c r="X12" s="2523"/>
      <c r="Y12" s="2526"/>
      <c r="Z12" s="2526"/>
      <c r="AA12" s="2526"/>
      <c r="AB12" s="2526"/>
      <c r="AE12" s="632">
        <v>0</v>
      </c>
    </row>
    <row customHeight="1" ht="10.5">
      <c r="F13" s="1023"/>
      <c r="G13" s="771" t="s">
        <v>1006</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7217" customFormat="1" customHeight="1" ht="10.5">
      <c r="A15" s="1288"/>
      <c r="B15" s="1288"/>
      <c r="C15" s="1288"/>
      <c r="E15" s="639"/>
      <c r="H15" s="632">
        <f>_xlfn.IFERROR(MATCH("нет",IP_MAIN_DIFFERENTIATION_EVENTS_FLAG,0),0)</f>
        <v>0</v>
      </c>
      <c r="AE15" s="632">
        <v>10</v>
      </c>
    </row>
    <row customHeight="1" ht="10.5" hidden="1">
      <c r="A16" s="1016" t="s">
        <v>82</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E0C88-5D4D-63E5-39D8-0.84DB02D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455" width="4.140625" hidden="1" customWidth="1"/>
    <col min="4" max="4" style="7669" width="4.140625" hidden="1" customWidth="1"/>
    <col min="5" max="5" style="7720" width="3.00390625" customWidth="1"/>
    <col min="6" max="6" style="7720" width="14.00390625" customWidth="1"/>
    <col min="7" max="7" style="7720" width="3.00390625" customWidth="1"/>
    <col min="8" max="8" style="7720" width="7.00390625" customWidth="1"/>
    <col min="9" max="10" style="7720" width="16.00390625" customWidth="1"/>
    <col min="11" max="11" style="7720" width="25.00390625" customWidth="1"/>
    <col min="12" max="12" style="7720" width="7.00390625" customWidth="1"/>
    <col min="13" max="13" style="7720" width="15.00390625" customWidth="1"/>
    <col min="14" max="14" style="7720" width="3.00390625" customWidth="1"/>
    <col min="15" max="15" style="7720" width="4.00390625" customWidth="1"/>
    <col min="16" max="16" style="7720" width="8.00390625" customWidth="1"/>
    <col min="17" max="17" style="7720" width="21.00390625" customWidth="1"/>
    <col min="18" max="18" style="7720" width="14.00390625" customWidth="1"/>
    <col min="19" max="20" style="7720" width="17.00390625" customWidth="1"/>
    <col min="21" max="21" style="7720" width="9.00390625" customWidth="1"/>
    <col min="22" max="22" style="7720" width="12.00390625" customWidth="1"/>
    <col min="23" max="23" style="7720" width="9.00390625" customWidth="1"/>
    <col min="24" max="24" style="7720" width="21.00390625" customWidth="1"/>
    <col min="25" max="25" style="7720" width="12.00390625" customWidth="1"/>
    <col min="26" max="26" style="7720" width="3.00390625" customWidth="1"/>
    <col min="27" max="27" style="7720" width="6.00390625" customWidth="1"/>
    <col min="28" max="28" style="7720" width="38.00390625" customWidth="1"/>
    <col min="29" max="29" style="7720" width="15.00390625" customWidth="1"/>
    <col min="30" max="30" style="7720" width="37.57421875" hidden="1" customWidth="1"/>
    <col min="31" max="31" style="7720" width="15.7109375" hidden="1" customWidth="1"/>
    <col min="32" max="34" style="7720" width="16.00390625" customWidth="1"/>
    <col min="35" max="37" style="7720" width="16.7109375" hidden="1" customWidth="1"/>
    <col min="38" max="58" style="7720" width="8.00390625" customWidth="1"/>
    <col min="59" max="59" style="7720" width="9.140625" hidden="1"/>
  </cols>
  <sheetData>
    <row s="7669" customFormat="1" customHeight="1" ht="10.5" hidden="1">
      <c r="A1" s="1016"/>
      <c r="B1" s="1016"/>
      <c r="C1" s="1016"/>
      <c r="E1" s="658"/>
      <c r="H1" s="1281"/>
      <c r="L1" s="1249"/>
      <c r="M1" s="1249"/>
      <c r="AD1" s="1249"/>
      <c r="AH1" s="1268"/>
      <c r="AI1" s="1261"/>
      <c r="BG1" s="538" t="s">
        <v>14</v>
      </c>
    </row>
    <row customHeight="1" ht="10.5" hidden="1">
      <c r="BG2" s="879">
        <v>0</v>
      </c>
    </row>
    <row s="8008"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L5" s="1256"/>
      <c r="M5" s="1256"/>
      <c r="AG5" s="1027"/>
      <c r="AH5" s="1269"/>
      <c r="BG5" s="879">
        <v>26</v>
      </c>
    </row>
    <row customHeight="1" ht="10.5">
      <c r="F6" s="2297" t="str">
        <f>IF(org=0,"Не определено",org)</f>
        <v>ПАО "ТГК-1" филиал "Невский"</v>
      </c>
      <c r="G6" s="2297"/>
      <c r="H6" s="2297"/>
      <c r="I6" s="2297"/>
      <c r="J6" s="2297"/>
      <c r="K6" s="2297"/>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6" t="s">
        <v>324</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29" t="s">
        <v>1007</v>
      </c>
      <c r="G9" s="2530" t="s">
        <v>1008</v>
      </c>
      <c r="H9" s="2531"/>
      <c r="I9" s="2248" t="s">
        <v>1009</v>
      </c>
      <c r="J9" s="2248"/>
      <c r="K9" s="2248" t="s">
        <v>1010</v>
      </c>
      <c r="L9" s="2248"/>
      <c r="M9" s="2248"/>
      <c r="N9" s="2248"/>
      <c r="O9" s="2248"/>
      <c r="P9" s="2248"/>
      <c r="Q9" s="2248"/>
      <c r="R9" s="2248"/>
      <c r="S9" s="2248"/>
      <c r="T9" s="2248"/>
      <c r="U9" s="2248"/>
      <c r="V9" s="2248"/>
      <c r="W9" s="2248"/>
      <c r="X9" s="2248"/>
      <c r="Y9" s="2248"/>
      <c r="Z9" s="2313" t="s">
        <v>1011</v>
      </c>
      <c r="AA9" s="2314"/>
      <c r="AB9" s="2248" t="s">
        <v>1012</v>
      </c>
      <c r="AC9" s="2248"/>
      <c r="AD9" s="2248"/>
      <c r="AE9" s="2248"/>
      <c r="AF9" s="2296" t="s">
        <v>1013</v>
      </c>
      <c r="AG9" s="2248" t="s">
        <v>1014</v>
      </c>
      <c r="AH9" s="2248"/>
      <c r="AI9" s="2296" t="s">
        <v>1015</v>
      </c>
      <c r="AJ9" s="2248" t="s">
        <v>1016</v>
      </c>
      <c r="AK9" s="224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29"/>
      <c r="G10" s="2532"/>
      <c r="H10" s="2533"/>
      <c r="I10" s="2248"/>
      <c r="J10" s="2248"/>
      <c r="K10" s="2248" t="s">
        <v>1017</v>
      </c>
      <c r="L10" s="2222" t="s">
        <v>1018</v>
      </c>
      <c r="M10" s="2224"/>
      <c r="N10" s="2248" t="s">
        <v>1019</v>
      </c>
      <c r="O10" s="2248"/>
      <c r="P10" s="2248"/>
      <c r="Q10" s="2248"/>
      <c r="R10" s="2248"/>
      <c r="S10" s="2248"/>
      <c r="T10" s="2248"/>
      <c r="U10" s="2248"/>
      <c r="V10" s="2248"/>
      <c r="W10" s="2248"/>
      <c r="X10" s="2248"/>
      <c r="Y10" s="2248"/>
      <c r="Z10" s="2315"/>
      <c r="AA10" s="2316"/>
      <c r="AB10" s="2248"/>
      <c r="AC10" s="2248"/>
      <c r="AD10" s="2248"/>
      <c r="AE10" s="2248"/>
      <c r="AF10" s="2320"/>
      <c r="AG10" s="2248"/>
      <c r="AH10" s="2248"/>
      <c r="AI10" s="2320"/>
      <c r="AJ10" s="2248"/>
      <c r="AK10" s="224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720" customFormat="1" customHeight="1" ht="25.2">
      <c r="A11" s="1250"/>
      <c r="B11" s="1250"/>
      <c r="C11" s="1250"/>
      <c r="D11" s="1249"/>
      <c r="E11" s="1251"/>
      <c r="F11" s="2529"/>
      <c r="G11" s="2532"/>
      <c r="H11" s="2533"/>
      <c r="I11" s="2248"/>
      <c r="J11" s="2248"/>
      <c r="K11" s="2248"/>
      <c r="L11" s="2296" t="s">
        <v>1020</v>
      </c>
      <c r="M11" s="2296" t="s">
        <v>1021</v>
      </c>
      <c r="N11" s="2248" t="s">
        <v>1022</v>
      </c>
      <c r="O11" s="2248"/>
      <c r="P11" s="2539" t="s">
        <v>1003</v>
      </c>
      <c r="Q11" s="2539" t="s">
        <v>1023</v>
      </c>
      <c r="R11" s="2539" t="s">
        <v>1024</v>
      </c>
      <c r="S11" s="2539" t="s">
        <v>1025</v>
      </c>
      <c r="T11" s="2539"/>
      <c r="U11" s="2539"/>
      <c r="V11" s="2539"/>
      <c r="W11" s="2539"/>
      <c r="X11" s="2539"/>
      <c r="Y11" s="2539"/>
      <c r="Z11" s="2315"/>
      <c r="AA11" s="2316"/>
      <c r="AB11" s="2248" t="s">
        <v>1026</v>
      </c>
      <c r="AC11" s="2248"/>
      <c r="AD11" s="2222" t="s">
        <v>1027</v>
      </c>
      <c r="AE11" s="2224"/>
      <c r="AF11" s="2320"/>
      <c r="AG11" s="2248"/>
      <c r="AH11" s="2248"/>
      <c r="AI11" s="2320"/>
      <c r="AJ11" s="2248"/>
      <c r="AK11" s="224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29"/>
      <c r="G12" s="2534"/>
      <c r="H12" s="2535"/>
      <c r="I12" s="1274" t="s">
        <v>89</v>
      </c>
      <c r="J12" s="1274" t="s">
        <v>1028</v>
      </c>
      <c r="K12" s="2248"/>
      <c r="L12" s="2353"/>
      <c r="M12" s="2353"/>
      <c r="N12" s="2248"/>
      <c r="O12" s="2248"/>
      <c r="P12" s="2539"/>
      <c r="Q12" s="2539"/>
      <c r="R12" s="2539"/>
      <c r="S12" s="1255" t="s">
        <v>86</v>
      </c>
      <c r="T12" s="1255" t="s">
        <v>87</v>
      </c>
      <c r="U12" s="1255" t="s">
        <v>85</v>
      </c>
      <c r="V12" s="1255" t="s">
        <v>1029</v>
      </c>
      <c r="W12" s="1255" t="s">
        <v>85</v>
      </c>
      <c r="X12" s="1255" t="s">
        <v>1030</v>
      </c>
      <c r="Y12" s="1255" t="s">
        <v>1031</v>
      </c>
      <c r="Z12" s="2321"/>
      <c r="AA12" s="2322"/>
      <c r="AB12" s="1262" t="s">
        <v>1032</v>
      </c>
      <c r="AC12" s="1262" t="s">
        <v>1033</v>
      </c>
      <c r="AD12" s="1262" t="s">
        <v>1032</v>
      </c>
      <c r="AE12" s="1262" t="s">
        <v>1033</v>
      </c>
      <c r="AF12" s="2353"/>
      <c r="AG12" s="1275" t="s">
        <v>1034</v>
      </c>
      <c r="AH12" s="1275" t="s">
        <v>1035</v>
      </c>
      <c r="AI12" s="2353"/>
      <c r="AJ12" s="1275" t="s">
        <v>1034</v>
      </c>
      <c r="AK12" s="1275" t="s">
        <v>1035</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1036</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8"/>
      <c r="G17" s="2528"/>
      <c r="H17" s="2528"/>
      <c r="I17" s="2528"/>
      <c r="J17" s="2528"/>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8"/>
      <c r="G18" s="2528"/>
      <c r="H18" s="2528"/>
      <c r="I18" s="2528"/>
      <c r="J18" s="2528"/>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8"/>
      <c r="G19" s="2528"/>
      <c r="H19" s="2528"/>
      <c r="I19" s="2528"/>
      <c r="J19" s="2528"/>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82</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EA281-821C-C64B-3CEF-0.0E4180D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455" width="4.140625" hidden="1" customWidth="1"/>
    <col min="4" max="4" style="7669" width="4.140625" hidden="1" customWidth="1"/>
    <col min="5" max="5" style="7720" width="3.00390625" customWidth="1"/>
    <col min="6" max="6" style="7720" width="6.00390625" customWidth="1"/>
    <col min="7" max="7" style="7720" width="60.00390625" customWidth="1"/>
    <col min="8" max="9" style="7720" width="21.7109375" hidden="1" customWidth="1"/>
    <col min="10" max="10" style="7720" width="0.140625" customWidth="1"/>
    <col min="11" max="11" style="7720" width="1.00390625" customWidth="1"/>
    <col min="12" max="22" style="7720" width="8.00390625" customWidth="1"/>
    <col min="23" max="23" style="7720" width="9.140625" hidden="1"/>
  </cols>
  <sheetData>
    <row s="7669" customFormat="1" customHeight="1" ht="10.5" hidden="1">
      <c r="A1" s="1287"/>
      <c r="B1" s="1287"/>
      <c r="C1" s="1287"/>
      <c r="E1" s="658"/>
      <c r="W1" s="1281" t="s">
        <v>14</v>
      </c>
    </row>
    <row customHeight="1" ht="10.5" hidden="1">
      <c r="W2" s="1276">
        <v>0</v>
      </c>
    </row>
    <row s="8008" customFormat="1" customHeight="1" ht="10.5" hidden="1">
      <c r="A3" s="1287"/>
      <c r="B3" s="1287"/>
      <c r="C3" s="1287"/>
      <c r="D3" s="1281"/>
      <c r="E3" s="483"/>
      <c r="W3" s="1277">
        <v>0</v>
      </c>
    </row>
    <row customHeight="1" ht="3">
      <c r="W4" s="1276">
        <v>3</v>
      </c>
    </row>
    <row customHeight="1" ht="27.299999999999997">
      <c r="F5" s="23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9"/>
      <c r="H5" s="2369"/>
      <c r="I5" s="2369"/>
      <c r="J5" s="2369"/>
      <c r="W5" s="1276">
        <v>26</v>
      </c>
    </row>
    <row customHeight="1" ht="10.5">
      <c r="F6" s="2297" t="str">
        <f>IF(org=0,"Не определено",org)</f>
        <v>ПАО "ТГК-1" филиал "Невский"</v>
      </c>
      <c r="G6" s="2297"/>
      <c r="H6" s="2297"/>
      <c r="I6" s="2297"/>
      <c r="J6" s="2297"/>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7217"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324</v>
      </c>
      <c r="G9" s="2541"/>
      <c r="H9" s="2541"/>
      <c r="I9" s="2541"/>
      <c r="J9" s="2541"/>
      <c r="K9" s="1361"/>
      <c r="L9" s="1278"/>
      <c r="M9" s="1278"/>
      <c r="N9" s="1278"/>
      <c r="O9" s="1278"/>
      <c r="P9" s="1278"/>
      <c r="Q9" s="1278"/>
      <c r="R9" s="1278"/>
      <c r="S9" s="1278"/>
      <c r="T9" s="1278"/>
      <c r="U9" s="1278"/>
      <c r="V9" s="1278"/>
      <c r="W9" s="1276">
        <v>10</v>
      </c>
    </row>
    <row customHeight="1" ht="25.2">
      <c r="E10" s="1278"/>
      <c r="F10" s="2544" t="s">
        <v>88</v>
      </c>
      <c r="G10" s="2549" t="s">
        <v>1037</v>
      </c>
      <c r="H10" s="2547" t="s">
        <v>1038</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1039</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1040</v>
      </c>
      <c r="G14" s="2542" t="s">
        <v>1041</v>
      </c>
      <c r="H14" s="2542"/>
      <c r="I14" s="2542"/>
      <c r="J14" s="2542"/>
      <c r="K14" s="1355"/>
      <c r="W14" s="1276">
        <v>11</v>
      </c>
    </row>
    <row customHeight="1" ht="11.549999999999999">
      <c r="F15" s="1351">
        <v>1</v>
      </c>
      <c r="G15" s="811" t="s">
        <v>1042</v>
      </c>
      <c r="H15" s="1357">
        <f>SUM(I15:J15)</f>
        <v>0</v>
      </c>
      <c r="I15" s="1357">
        <f>SUM(I16:I27)</f>
        <v>0</v>
      </c>
      <c r="J15" s="1346"/>
      <c r="K15" s="1355"/>
      <c r="W15" s="1276">
        <v>11</v>
      </c>
    </row>
    <row customHeight="1" ht="24">
      <c r="F16" s="1351" t="s">
        <v>1043</v>
      </c>
      <c r="G16" s="1358" t="s">
        <v>1044</v>
      </c>
      <c r="H16" s="1357">
        <f>SUM(I16:J16)</f>
        <v>0</v>
      </c>
      <c r="I16" s="1356"/>
      <c r="J16" s="1346"/>
      <c r="K16" s="1355"/>
      <c r="W16" s="1276">
        <v>23</v>
      </c>
    </row>
    <row customHeight="1" ht="24">
      <c r="F17" s="1351" t="s">
        <v>1045</v>
      </c>
      <c r="G17" s="1358" t="s">
        <v>1046</v>
      </c>
      <c r="H17" s="1357">
        <f>SUM(I17:J17)</f>
        <v>0</v>
      </c>
      <c r="I17" s="1356"/>
      <c r="J17" s="1346"/>
      <c r="K17" s="1355"/>
      <c r="W17" s="1276">
        <v>23</v>
      </c>
    </row>
    <row customHeight="1" ht="35.699999999999996">
      <c r="F18" s="1351" t="s">
        <v>1047</v>
      </c>
      <c r="G18" s="1358" t="s">
        <v>1048</v>
      </c>
      <c r="H18" s="1357">
        <f>SUM(I18:J18)</f>
        <v>0</v>
      </c>
      <c r="I18" s="1356"/>
      <c r="J18" s="1346"/>
      <c r="K18" s="1355"/>
      <c r="W18" s="1276">
        <v>34</v>
      </c>
    </row>
    <row customHeight="1" ht="35.699999999999996">
      <c r="F19" s="1351" t="s">
        <v>1049</v>
      </c>
      <c r="G19" s="1358" t="s">
        <v>1050</v>
      </c>
      <c r="H19" s="1357">
        <f>SUM(I19:J19)</f>
        <v>0</v>
      </c>
      <c r="I19" s="1356"/>
      <c r="J19" s="1346"/>
      <c r="K19" s="1355"/>
      <c r="W19" s="1276">
        <v>34</v>
      </c>
    </row>
    <row customHeight="1" ht="48.29999999999999">
      <c r="F20" s="1351" t="s">
        <v>1051</v>
      </c>
      <c r="G20" s="1358" t="s">
        <v>1052</v>
      </c>
      <c r="H20" s="1357">
        <f>SUM(I20:J20)</f>
        <v>0</v>
      </c>
      <c r="I20" s="1356"/>
      <c r="J20" s="1346"/>
      <c r="K20" s="1355"/>
      <c r="W20" s="1276">
        <v>46</v>
      </c>
    </row>
    <row customHeight="1" ht="35.699999999999996">
      <c r="F21" s="1351" t="s">
        <v>1053</v>
      </c>
      <c r="G21" s="1358" t="s">
        <v>1054</v>
      </c>
      <c r="H21" s="1357">
        <f>SUM(I21:J21)</f>
        <v>0</v>
      </c>
      <c r="I21" s="1356"/>
      <c r="J21" s="1346"/>
      <c r="K21" s="1355"/>
      <c r="W21" s="1276">
        <v>34</v>
      </c>
    </row>
    <row customHeight="1" ht="35.699999999999996">
      <c r="F22" s="1351" t="s">
        <v>1055</v>
      </c>
      <c r="G22" s="1358" t="s">
        <v>1056</v>
      </c>
      <c r="H22" s="1357">
        <f>SUM(I22:J22)</f>
        <v>0</v>
      </c>
      <c r="I22" s="1356"/>
      <c r="J22" s="1346"/>
      <c r="K22" s="1355"/>
      <c r="W22" s="1276">
        <v>34</v>
      </c>
    </row>
    <row customHeight="1" ht="24">
      <c r="F23" s="1351" t="s">
        <v>1057</v>
      </c>
      <c r="G23" s="1358" t="s">
        <v>1058</v>
      </c>
      <c r="H23" s="1357">
        <f>SUM(I23:J23)</f>
        <v>0</v>
      </c>
      <c r="I23" s="1356"/>
      <c r="J23" s="1346"/>
      <c r="K23" s="1355"/>
      <c r="W23" s="1276">
        <v>23</v>
      </c>
    </row>
    <row customHeight="1" ht="24">
      <c r="F24" s="1351" t="s">
        <v>1059</v>
      </c>
      <c r="G24" s="1358" t="s">
        <v>1060</v>
      </c>
      <c r="H24" s="1357">
        <f>SUM(I24:J24)</f>
        <v>0</v>
      </c>
      <c r="I24" s="1356"/>
      <c r="J24" s="1346"/>
      <c r="K24" s="1355"/>
      <c r="W24" s="1276">
        <v>23</v>
      </c>
    </row>
    <row customHeight="1" ht="35.699999999999996">
      <c r="F25" s="1351" t="s">
        <v>1061</v>
      </c>
      <c r="G25" s="1358" t="s">
        <v>1062</v>
      </c>
      <c r="H25" s="1357">
        <f>SUM(I25:J25)</f>
        <v>0</v>
      </c>
      <c r="I25" s="1356"/>
      <c r="J25" s="1346"/>
      <c r="K25" s="1355"/>
      <c r="W25" s="1276">
        <v>34</v>
      </c>
    </row>
    <row customHeight="1" ht="35.699999999999996">
      <c r="F26" s="1351" t="s">
        <v>1063</v>
      </c>
      <c r="G26" s="1358" t="s">
        <v>1064</v>
      </c>
      <c r="H26" s="1357">
        <f>SUM(I26:J26)</f>
        <v>0</v>
      </c>
      <c r="I26" s="1356"/>
      <c r="J26" s="1346"/>
      <c r="K26" s="1355"/>
      <c r="W26" s="1276">
        <v>34</v>
      </c>
    </row>
    <row customHeight="1" ht="11.549999999999999">
      <c r="F27" s="1351" t="s">
        <v>1065</v>
      </c>
      <c r="G27" s="1358" t="s">
        <v>1066</v>
      </c>
      <c r="H27" s="1357">
        <f>SUM(I27:J27)</f>
        <v>0</v>
      </c>
      <c r="I27" s="1356"/>
      <c r="J27" s="1346"/>
      <c r="K27" s="1355"/>
      <c r="W27" s="1276">
        <v>11</v>
      </c>
    </row>
    <row customHeight="1" ht="11.549999999999999">
      <c r="F28" s="1351">
        <v>2</v>
      </c>
      <c r="G28" s="811" t="s">
        <v>1067</v>
      </c>
      <c r="H28" s="1357">
        <f>SUM(I28:J28)</f>
        <v>0</v>
      </c>
      <c r="I28" s="1357">
        <f>SUM(I29:I31)</f>
        <v>0</v>
      </c>
      <c r="J28" s="1346"/>
      <c r="K28" s="1355"/>
      <c r="W28" s="1276">
        <v>11</v>
      </c>
    </row>
    <row customHeight="1" ht="11.549999999999999">
      <c r="F29" s="1351" t="s">
        <v>730</v>
      </c>
      <c r="G29" s="1358" t="s">
        <v>1068</v>
      </c>
      <c r="H29" s="1357">
        <f>SUM(I29:J29)</f>
        <v>0</v>
      </c>
      <c r="I29" s="1356"/>
      <c r="J29" s="1346"/>
      <c r="K29" s="1355"/>
      <c r="W29" s="1276">
        <v>11</v>
      </c>
    </row>
    <row customHeight="1" ht="11.549999999999999">
      <c r="F30" s="1351" t="s">
        <v>331</v>
      </c>
      <c r="G30" s="1358" t="s">
        <v>1069</v>
      </c>
      <c r="H30" s="1357">
        <f>SUM(I30:J30)</f>
        <v>0</v>
      </c>
      <c r="I30" s="1356"/>
      <c r="J30" s="1346"/>
      <c r="K30" s="1355"/>
      <c r="W30" s="1276">
        <v>11</v>
      </c>
    </row>
    <row customHeight="1" ht="11.549999999999999">
      <c r="F31" s="1351" t="s">
        <v>334</v>
      </c>
      <c r="G31" s="1358" t="s">
        <v>1070</v>
      </c>
      <c r="H31" s="1357">
        <f>SUM(I31:J31)</f>
        <v>0</v>
      </c>
      <c r="I31" s="1356"/>
      <c r="J31" s="1346"/>
      <c r="K31" s="1355"/>
      <c r="W31" s="1276">
        <v>11</v>
      </c>
    </row>
    <row customHeight="1" ht="11.549999999999999">
      <c r="F32" s="1351">
        <v>3</v>
      </c>
      <c r="G32" s="811" t="s">
        <v>1071</v>
      </c>
      <c r="H32" s="1357">
        <f>SUM(I32:J32)</f>
        <v>0</v>
      </c>
      <c r="I32" s="1357">
        <f>SUM(I33:I34)</f>
        <v>0</v>
      </c>
      <c r="J32" s="1346"/>
      <c r="K32" s="1355"/>
      <c r="W32" s="1276">
        <v>11</v>
      </c>
    </row>
    <row customHeight="1" ht="48.29999999999999">
      <c r="F33" s="1351" t="s">
        <v>348</v>
      </c>
      <c r="G33" s="1358" t="s">
        <v>1072</v>
      </c>
      <c r="H33" s="1357">
        <f>SUM(I33:J33)</f>
        <v>0</v>
      </c>
      <c r="I33" s="1356"/>
      <c r="J33" s="1346"/>
      <c r="K33" s="1355"/>
      <c r="W33" s="1276">
        <v>46</v>
      </c>
    </row>
    <row customHeight="1" ht="11.549999999999999">
      <c r="F34" s="1351" t="s">
        <v>356</v>
      </c>
      <c r="G34" s="1358" t="s">
        <v>1073</v>
      </c>
      <c r="H34" s="1357">
        <f>SUM(I34:J34)</f>
        <v>0</v>
      </c>
      <c r="I34" s="1356"/>
      <c r="J34" s="1346"/>
      <c r="K34" s="1355"/>
      <c r="W34" s="1276">
        <v>11</v>
      </c>
    </row>
    <row customHeight="1" ht="11.549999999999999">
      <c r="F35" s="1351">
        <v>4</v>
      </c>
      <c r="G35" s="811" t="s">
        <v>1074</v>
      </c>
      <c r="H35" s="1357">
        <f>SUM(I35:J35)</f>
        <v>0</v>
      </c>
      <c r="I35" s="1356"/>
      <c r="J35" s="1346"/>
      <c r="K35" s="1355"/>
      <c r="W35" s="1276">
        <v>11</v>
      </c>
    </row>
    <row customHeight="1" ht="11.549999999999999">
      <c r="F36" s="1351"/>
      <c r="G36" s="814" t="s">
        <v>1075</v>
      </c>
      <c r="H36" s="1357">
        <f>SUM(I36:J36)</f>
        <v>0</v>
      </c>
      <c r="I36" s="1357">
        <f>SUM(I15,I28,I32,I35)</f>
        <v>0</v>
      </c>
      <c r="J36" s="1346"/>
      <c r="K36" s="1355"/>
      <c r="W36" s="1276">
        <v>11</v>
      </c>
    </row>
    <row customHeight="1" ht="29.25">
      <c r="F37" s="1352" t="s">
        <v>1076</v>
      </c>
      <c r="G37" s="2543" t="s">
        <v>1077</v>
      </c>
      <c r="H37" s="2543"/>
      <c r="I37" s="2543"/>
      <c r="J37" s="2543"/>
      <c r="K37" s="1355"/>
      <c r="W37" s="1276">
        <v>28</v>
      </c>
    </row>
    <row customHeight="1" ht="24">
      <c r="F38" s="1351" t="s">
        <v>123</v>
      </c>
      <c r="G38" s="811" t="s">
        <v>1078</v>
      </c>
      <c r="H38" s="1357">
        <f>SUM(I38:J38)</f>
        <v>0</v>
      </c>
      <c r="I38" s="1357">
        <f>SUM(I39,I44,I47)</f>
        <v>0</v>
      </c>
      <c r="J38" s="1346"/>
      <c r="K38" s="1355"/>
      <c r="W38" s="1276">
        <v>23</v>
      </c>
    </row>
    <row customHeight="1" ht="11.549999999999999">
      <c r="F39" s="1351" t="s">
        <v>1043</v>
      </c>
      <c r="G39" s="1358" t="s">
        <v>1042</v>
      </c>
      <c r="H39" s="1357">
        <f>SUM(I39:J39)</f>
        <v>0</v>
      </c>
      <c r="I39" s="1357">
        <f>SUM(I40:I43)</f>
        <v>0</v>
      </c>
      <c r="J39" s="1346"/>
      <c r="K39" s="1355"/>
      <c r="W39" s="1276">
        <v>11</v>
      </c>
    </row>
    <row customHeight="1" ht="24">
      <c r="F40" s="1351" t="s">
        <v>1079</v>
      </c>
      <c r="G40" s="1359" t="s">
        <v>1080</v>
      </c>
      <c r="H40" s="1357">
        <f>SUM(I40:J40)</f>
        <v>0</v>
      </c>
      <c r="I40" s="1356"/>
      <c r="J40" s="1346"/>
      <c r="K40" s="1355"/>
      <c r="W40" s="1276">
        <v>23</v>
      </c>
    </row>
    <row customHeight="1" ht="11.549999999999999">
      <c r="F41" s="1351" t="s">
        <v>1081</v>
      </c>
      <c r="G41" s="1359" t="s">
        <v>1082</v>
      </c>
      <c r="H41" s="1357">
        <f>SUM(I41:J41)</f>
        <v>0</v>
      </c>
      <c r="I41" s="1356"/>
      <c r="J41" s="1346"/>
      <c r="K41" s="1355"/>
      <c r="W41" s="1276">
        <v>11</v>
      </c>
    </row>
    <row customHeight="1" ht="11.549999999999999">
      <c r="F42" s="1351" t="s">
        <v>1083</v>
      </c>
      <c r="G42" s="1359" t="s">
        <v>1084</v>
      </c>
      <c r="H42" s="1357">
        <f>SUM(I42:J42)</f>
        <v>0</v>
      </c>
      <c r="I42" s="1356"/>
      <c r="J42" s="1346"/>
      <c r="K42" s="1355"/>
      <c r="W42" s="1276">
        <v>11</v>
      </c>
    </row>
    <row customHeight="1" ht="35.699999999999996">
      <c r="F43" s="1351" t="s">
        <v>1085</v>
      </c>
      <c r="G43" s="1359" t="s">
        <v>1086</v>
      </c>
      <c r="H43" s="1357">
        <f>SUM(I43:J43)</f>
        <v>0</v>
      </c>
      <c r="I43" s="1356"/>
      <c r="J43" s="1346"/>
      <c r="K43" s="1355"/>
      <c r="W43" s="1276">
        <v>34</v>
      </c>
    </row>
    <row customHeight="1" ht="11.549999999999999">
      <c r="F44" s="1351" t="s">
        <v>1045</v>
      </c>
      <c r="G44" s="1358" t="s">
        <v>1071</v>
      </c>
      <c r="H44" s="1357">
        <f>SUM(I44:J44)</f>
        <v>0</v>
      </c>
      <c r="I44" s="1357">
        <f>SUM(I45:I46)</f>
        <v>0</v>
      </c>
      <c r="J44" s="1346"/>
      <c r="K44" s="1355"/>
      <c r="W44" s="1276">
        <v>11</v>
      </c>
    </row>
    <row customHeight="1" ht="48.29999999999999">
      <c r="F45" s="1351" t="s">
        <v>1087</v>
      </c>
      <c r="G45" s="1359" t="s">
        <v>1072</v>
      </c>
      <c r="H45" s="1357">
        <f>SUM(I45:J45)</f>
        <v>0</v>
      </c>
      <c r="I45" s="1356"/>
      <c r="J45" s="1346"/>
      <c r="K45" s="1355"/>
      <c r="W45" s="1276">
        <v>46</v>
      </c>
    </row>
    <row customHeight="1" ht="11.549999999999999">
      <c r="F46" s="1351" t="s">
        <v>1088</v>
      </c>
      <c r="G46" s="1359" t="s">
        <v>1073</v>
      </c>
      <c r="H46" s="1357">
        <f>SUM(I46:J46)</f>
        <v>0</v>
      </c>
      <c r="I46" s="1356"/>
      <c r="J46" s="1346"/>
      <c r="K46" s="1355"/>
      <c r="W46" s="1276">
        <v>11</v>
      </c>
    </row>
    <row customHeight="1" ht="11.549999999999999">
      <c r="F47" s="1351" t="s">
        <v>1047</v>
      </c>
      <c r="G47" s="1358" t="s">
        <v>1089</v>
      </c>
      <c r="H47" s="1357">
        <f>SUM(I47:J47)</f>
        <v>0</v>
      </c>
      <c r="I47" s="1356"/>
      <c r="J47" s="1346"/>
      <c r="K47" s="1355"/>
      <c r="W47" s="1276">
        <v>11</v>
      </c>
    </row>
    <row customHeight="1" ht="24">
      <c r="F48" s="1351" t="s">
        <v>103</v>
      </c>
      <c r="G48" s="811" t="s">
        <v>1090</v>
      </c>
      <c r="H48" s="1357">
        <f>SUM(I48:J48)</f>
        <v>0</v>
      </c>
      <c r="I48" s="1357">
        <f>SUM(I49,I54,I57)</f>
        <v>0</v>
      </c>
      <c r="J48" s="1346"/>
      <c r="K48" s="1355"/>
      <c r="W48" s="1276">
        <v>23</v>
      </c>
    </row>
    <row customHeight="1" ht="11.549999999999999">
      <c r="F49" s="1351" t="s">
        <v>730</v>
      </c>
      <c r="G49" s="1358" t="s">
        <v>1042</v>
      </c>
      <c r="H49" s="1357">
        <f>SUM(I49:J49)</f>
        <v>0</v>
      </c>
      <c r="I49" s="1357">
        <f>SUM(I50:I53)</f>
        <v>0</v>
      </c>
      <c r="J49" s="1346"/>
      <c r="K49" s="1355"/>
      <c r="W49" s="1276">
        <v>11</v>
      </c>
    </row>
    <row customHeight="1" ht="24">
      <c r="F50" s="1351" t="s">
        <v>733</v>
      </c>
      <c r="G50" s="1359" t="s">
        <v>1080</v>
      </c>
      <c r="H50" s="1357">
        <f>SUM(I50:J50)</f>
        <v>0</v>
      </c>
      <c r="I50" s="1356"/>
      <c r="J50" s="1346"/>
      <c r="K50" s="1355"/>
      <c r="W50" s="1276">
        <v>23</v>
      </c>
    </row>
    <row customHeight="1" ht="11.549999999999999">
      <c r="F51" s="1351" t="s">
        <v>736</v>
      </c>
      <c r="G51" s="1359" t="s">
        <v>1082</v>
      </c>
      <c r="H51" s="1357">
        <f>SUM(I51:J51)</f>
        <v>0</v>
      </c>
      <c r="I51" s="1356"/>
      <c r="J51" s="1346"/>
      <c r="K51" s="1355"/>
      <c r="W51" s="1276">
        <v>11</v>
      </c>
    </row>
    <row customHeight="1" ht="11.549999999999999">
      <c r="F52" s="1351" t="s">
        <v>1091</v>
      </c>
      <c r="G52" s="1359" t="s">
        <v>1084</v>
      </c>
      <c r="H52" s="1357">
        <f>SUM(I52:J52)</f>
        <v>0</v>
      </c>
      <c r="I52" s="1356"/>
      <c r="J52" s="1346"/>
      <c r="K52" s="1355"/>
      <c r="W52" s="1276">
        <v>11</v>
      </c>
    </row>
    <row customHeight="1" ht="35.699999999999996">
      <c r="F53" s="1351" t="s">
        <v>1092</v>
      </c>
      <c r="G53" s="1359" t="s">
        <v>1086</v>
      </c>
      <c r="H53" s="1357">
        <f>SUM(I53:J53)</f>
        <v>0</v>
      </c>
      <c r="I53" s="1356"/>
      <c r="J53" s="1346"/>
      <c r="K53" s="1355"/>
      <c r="W53" s="1276">
        <v>34</v>
      </c>
    </row>
    <row customHeight="1" ht="11.549999999999999">
      <c r="F54" s="1351" t="s">
        <v>331</v>
      </c>
      <c r="G54" s="1358" t="s">
        <v>1071</v>
      </c>
      <c r="H54" s="1357">
        <f>SUM(I54:J54)</f>
        <v>0</v>
      </c>
      <c r="I54" s="1357">
        <f>SUM(I55:I56)</f>
        <v>0</v>
      </c>
      <c r="J54" s="1346"/>
      <c r="K54" s="1355"/>
      <c r="W54" s="1276">
        <v>11</v>
      </c>
    </row>
    <row customHeight="1" ht="48.29999999999999">
      <c r="F55" s="1351" t="s">
        <v>740</v>
      </c>
      <c r="G55" s="1359" t="s">
        <v>1072</v>
      </c>
      <c r="H55" s="1357">
        <f>SUM(I55:J55)</f>
        <v>0</v>
      </c>
      <c r="I55" s="1356"/>
      <c r="J55" s="1346"/>
      <c r="K55" s="1355"/>
      <c r="W55" s="1276">
        <v>46</v>
      </c>
    </row>
    <row customHeight="1" ht="11.549999999999999">
      <c r="F56" s="1351" t="s">
        <v>742</v>
      </c>
      <c r="G56" s="1359" t="s">
        <v>1073</v>
      </c>
      <c r="H56" s="1357">
        <f>SUM(I56:J56)</f>
        <v>0</v>
      </c>
      <c r="I56" s="1356"/>
      <c r="J56" s="1346"/>
      <c r="K56" s="1355"/>
      <c r="W56" s="1276">
        <v>11</v>
      </c>
    </row>
    <row customHeight="1" ht="11.549999999999999">
      <c r="F57" s="1351" t="s">
        <v>334</v>
      </c>
      <c r="G57" s="1358" t="s">
        <v>1089</v>
      </c>
      <c r="H57" s="1357">
        <f>SUM(I57:J57)</f>
        <v>0</v>
      </c>
      <c r="I57" s="1356"/>
      <c r="J57" s="1346"/>
      <c r="K57" s="1355"/>
      <c r="W57" s="1276">
        <v>11</v>
      </c>
    </row>
    <row customHeight="1" ht="11.549999999999999">
      <c r="F58" s="1351"/>
      <c r="G58" s="1360" t="s">
        <v>1075</v>
      </c>
      <c r="H58" s="1357">
        <f>SUM(I58:J58)</f>
        <v>0</v>
      </c>
      <c r="I58" s="1357">
        <f>SUM(I38,I48)</f>
        <v>0</v>
      </c>
      <c r="J58" s="1346"/>
      <c r="K58" s="1355"/>
      <c r="W58" s="1276">
        <v>11</v>
      </c>
    </row>
    <row customHeight="1" ht="10.5" hidden="1">
      <c r="A59" s="1287" t="s">
        <v>82</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ACFD5-E9CB-D335-6154-0.0A45BF0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629" width="4.7109375" hidden="1" customWidth="1"/>
    <col min="2" max="2" style="7631" width="4.7109375" hidden="1" customWidth="1"/>
    <col min="3" max="4" style="7629" width="4.7109375" hidden="1" customWidth="1"/>
    <col min="5" max="5" style="7629" width="3.00390625" customWidth="1"/>
    <col min="6" max="6" style="7629" width="6.00390625" customWidth="1"/>
    <col min="7" max="7" style="7629" width="18.00390625" customWidth="1"/>
    <col min="8" max="8" style="7629" width="27.00390625" customWidth="1"/>
    <col min="9" max="9" style="7629" width="18.00390625" customWidth="1"/>
    <col min="10" max="14" style="7629" width="0.8515625" hidden="1" customWidth="1"/>
    <col min="15" max="28" style="7629" width="21.7109375" customWidth="1"/>
    <col min="29" max="71" style="7629" width="0.8515625" customWidth="1"/>
    <col min="72" max="79" style="7629" width="21.7109375" hidden="1" customWidth="1"/>
    <col min="80" max="81" style="7629" width="29.140625" hidden="1" customWidth="1"/>
    <col min="82" max="89" style="7629" width="21.7109375" hidden="1" customWidth="1"/>
    <col min="90" max="102" style="7629" width="0.7109375" hidden="1" customWidth="1"/>
    <col min="103" max="114" style="7629" width="21.7109375" hidden="1" customWidth="1"/>
    <col min="115" max="178" style="7629" width="0.7109375" hidden="1" customWidth="1"/>
    <col min="179" max="179" style="7629" width="0.140625" customWidth="1"/>
    <col min="180" max="184" style="7629" width="8.00390625" customWidth="1"/>
    <col min="185" max="185" style="7629" width="9.140625" hidden="1"/>
  </cols>
  <sheetData>
    <row s="7559" customFormat="1" customHeight="1" ht="12" hidden="1">
      <c r="B1" s="1044"/>
      <c r="C1" s="1045"/>
      <c r="D1" s="1045"/>
      <c r="GC1" s="1043" t="s">
        <v>14</v>
      </c>
    </row>
    <row s="7559"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559"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569" customFormat="1" customHeight="1" ht="27.299999999999997">
      <c r="B5" s="1993"/>
      <c r="E5" s="1995"/>
      <c r="F5" s="255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994">
        <v>26</v>
      </c>
    </row>
    <row s="8299" customFormat="1" customHeight="1" ht="18.75">
      <c r="B6" s="1064"/>
      <c r="E6" s="1066"/>
      <c r="F6" s="2335" t="str">
        <f>IF(org=0,"Не определено",org)</f>
        <v>ПАО "ТГК-1" филиал "Невский"</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1065">
        <v>18</v>
      </c>
    </row>
    <row s="7578"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578" customFormat="1" customHeight="1" ht="11.25" hidden="1">
      <c r="B8" s="1055"/>
      <c r="F8" s="1177"/>
      <c r="G8" s="884"/>
      <c r="H8" s="481"/>
      <c r="I8" s="481"/>
      <c r="J8" s="481"/>
      <c r="K8" s="481"/>
      <c r="L8" s="481"/>
      <c r="M8" s="1177"/>
      <c r="N8" s="1177"/>
      <c r="O8" s="2571" t="s">
        <v>1093</v>
      </c>
      <c r="P8" s="2572"/>
      <c r="Q8" s="2572"/>
      <c r="R8" s="2572"/>
      <c r="S8" s="2572"/>
      <c r="T8" s="2572"/>
      <c r="U8" s="2572"/>
      <c r="V8" s="2572"/>
      <c r="W8" s="2572"/>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2572"/>
      <c r="BA8" s="2572"/>
      <c r="BB8" s="2572"/>
      <c r="BC8" s="2572"/>
      <c r="BD8" s="2572"/>
      <c r="BE8" s="2572"/>
      <c r="BF8" s="2572"/>
      <c r="BG8" s="2572"/>
      <c r="BH8" s="2572"/>
      <c r="BI8" s="2572"/>
      <c r="BJ8" s="2572"/>
      <c r="BK8" s="2572"/>
      <c r="BL8" s="2572"/>
      <c r="BM8" s="2572"/>
      <c r="BN8" s="2572"/>
      <c r="BO8" s="2572"/>
      <c r="BP8" s="2572"/>
      <c r="BQ8" s="2572"/>
      <c r="BR8" s="2572"/>
      <c r="BS8" s="2573"/>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66" t="s">
        <v>1094</v>
      </c>
      <c r="DZ8" s="2567"/>
      <c r="EA8" s="2567"/>
      <c r="EB8" s="2567"/>
      <c r="EC8" s="2567"/>
      <c r="ED8" s="2567"/>
      <c r="EE8" s="2567"/>
      <c r="EF8" s="2567"/>
      <c r="EG8" s="2567"/>
      <c r="EH8" s="2567"/>
      <c r="EI8" s="2567"/>
      <c r="EJ8" s="2567"/>
      <c r="EK8" s="2567"/>
      <c r="EL8" s="2567"/>
      <c r="EM8" s="2567"/>
      <c r="EN8" s="2567"/>
      <c r="EO8" s="2567"/>
      <c r="EP8" s="2567"/>
      <c r="EQ8" s="2567"/>
      <c r="ER8" s="2567"/>
      <c r="ES8" s="2567"/>
      <c r="ET8" s="2567"/>
      <c r="EU8" s="2567"/>
      <c r="EV8" s="2567"/>
      <c r="EW8" s="2567"/>
      <c r="EX8" s="2567"/>
      <c r="EY8" s="2567"/>
      <c r="EZ8" s="2567"/>
      <c r="FA8" s="2567"/>
      <c r="FB8" s="2567"/>
      <c r="FC8" s="2567"/>
      <c r="FD8" s="2567"/>
      <c r="FE8" s="2567"/>
      <c r="FF8" s="2567"/>
      <c r="FG8" s="2567"/>
      <c r="FH8" s="2567"/>
      <c r="FI8" s="2567"/>
      <c r="FJ8" s="2567"/>
      <c r="FK8" s="2567"/>
      <c r="FL8" s="2567"/>
      <c r="FM8" s="2567"/>
      <c r="FN8" s="2567"/>
      <c r="FO8" s="2567"/>
      <c r="FP8" s="2567"/>
      <c r="FQ8" s="2567"/>
      <c r="FR8" s="2567"/>
      <c r="FS8" s="2567"/>
      <c r="FT8" s="2567"/>
      <c r="FU8" s="2567"/>
      <c r="FV8" s="2567"/>
      <c r="FW8" s="2568"/>
      <c r="FX8" s="1177"/>
      <c r="GC8" s="1054">
        <v>0</v>
      </c>
    </row>
    <row s="7578"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69"/>
      <c r="FX9" s="1177"/>
      <c r="GC9" s="1054">
        <v>0</v>
      </c>
    </row>
    <row s="7578" customFormat="1" customHeight="1" ht="11.549999999999999">
      <c r="B10" s="1055"/>
      <c r="F10" s="2550" t="s">
        <v>324</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69"/>
      <c r="FX10" s="1177"/>
      <c r="GC10" s="1054">
        <v>11</v>
      </c>
    </row>
    <row customHeight="1" ht="12.75">
      <c r="E11" s="1058"/>
      <c r="F11" s="2326" t="s">
        <v>88</v>
      </c>
      <c r="G11" s="2326" t="s">
        <v>1095</v>
      </c>
      <c r="H11" s="2558" t="s">
        <v>1096</v>
      </c>
      <c r="I11" s="2558" t="s">
        <v>1097</v>
      </c>
      <c r="J11" s="2559"/>
      <c r="K11" s="2559"/>
      <c r="L11" s="2559"/>
      <c r="M11" s="2559"/>
      <c r="N11" s="2559"/>
      <c r="O11" s="2330" t="s">
        <v>1098</v>
      </c>
      <c r="P11" s="2330"/>
      <c r="Q11" s="2330"/>
      <c r="R11" s="2330"/>
      <c r="S11" s="2330"/>
      <c r="T11" s="2330"/>
      <c r="U11" s="2330"/>
      <c r="V11" s="2330"/>
      <c r="W11" s="2330"/>
      <c r="X11" s="2330"/>
      <c r="Y11" s="2330"/>
      <c r="Z11" s="2330"/>
      <c r="AA11" s="2330"/>
      <c r="AB11" s="2330"/>
      <c r="AC11" s="2555"/>
      <c r="AD11" s="2555"/>
      <c r="AE11" s="2555"/>
      <c r="AF11" s="2555"/>
      <c r="AG11" s="2555"/>
      <c r="AH11" s="2555"/>
      <c r="AI11" s="2555"/>
      <c r="AJ11" s="2555"/>
      <c r="AK11" s="2555"/>
      <c r="AL11" s="2555"/>
      <c r="AM11" s="2555"/>
      <c r="AN11" s="2555"/>
      <c r="AO11" s="2555"/>
      <c r="AP11" s="2555"/>
      <c r="AQ11" s="2555"/>
      <c r="AR11" s="2555"/>
      <c r="AS11" s="2555"/>
      <c r="AT11" s="2555"/>
      <c r="AU11" s="2555"/>
      <c r="AV11" s="2555"/>
      <c r="AW11" s="2555"/>
      <c r="AX11" s="2555"/>
      <c r="AY11" s="2555"/>
      <c r="AZ11" s="2555"/>
      <c r="BA11" s="2555"/>
      <c r="BB11" s="2555"/>
      <c r="BC11" s="2555"/>
      <c r="BD11" s="2555"/>
      <c r="BE11" s="2555"/>
      <c r="BF11" s="2555"/>
      <c r="BG11" s="2555"/>
      <c r="BH11" s="2555"/>
      <c r="BI11" s="2555"/>
      <c r="BJ11" s="2555"/>
      <c r="BK11" s="2555"/>
      <c r="BL11" s="2555"/>
      <c r="BM11" s="2555"/>
      <c r="BN11" s="2555"/>
      <c r="BO11" s="2555"/>
      <c r="BP11" s="2555"/>
      <c r="BQ11" s="2555"/>
      <c r="BR11" s="2555"/>
      <c r="BS11" s="2574"/>
      <c r="BT11" s="2507" t="s">
        <v>1098</v>
      </c>
      <c r="BU11" s="2508"/>
      <c r="BV11" s="2508"/>
      <c r="BW11" s="2508"/>
      <c r="BX11" s="2508"/>
      <c r="BY11" s="2508"/>
      <c r="BZ11" s="2508"/>
      <c r="CA11" s="2508"/>
      <c r="CB11" s="2508"/>
      <c r="CC11" s="2508"/>
      <c r="CD11" s="2508"/>
      <c r="CE11" s="2508"/>
      <c r="CF11" s="2508"/>
      <c r="CG11" s="2508"/>
      <c r="CH11" s="2508"/>
      <c r="CI11" s="2508"/>
      <c r="CJ11" s="2508"/>
      <c r="CK11" s="2554"/>
      <c r="CL11" s="2557"/>
      <c r="CM11" s="2555"/>
      <c r="CN11" s="2555"/>
      <c r="CO11" s="2555"/>
      <c r="CP11" s="2555"/>
      <c r="CQ11" s="2555"/>
      <c r="CR11" s="2555"/>
      <c r="CS11" s="2555"/>
      <c r="CT11" s="2555"/>
      <c r="CU11" s="2555"/>
      <c r="CV11" s="2555"/>
      <c r="CW11" s="2555"/>
      <c r="CX11" s="2574"/>
      <c r="CY11" s="2507" t="s">
        <v>1098</v>
      </c>
      <c r="CZ11" s="2508"/>
      <c r="DA11" s="2508"/>
      <c r="DB11" s="2508"/>
      <c r="DC11" s="2508"/>
      <c r="DD11" s="2508"/>
      <c r="DE11" s="2508"/>
      <c r="DF11" s="2508"/>
      <c r="DG11" s="2508"/>
      <c r="DH11" s="2508"/>
      <c r="DI11" s="2508"/>
      <c r="DJ11" s="2554"/>
      <c r="DK11" s="2557"/>
      <c r="DL11" s="2555"/>
      <c r="DM11" s="2555"/>
      <c r="DN11" s="2555"/>
      <c r="DO11" s="2555"/>
      <c r="DP11" s="2555"/>
      <c r="DQ11" s="2555"/>
      <c r="DR11" s="2555"/>
      <c r="DS11" s="2555"/>
      <c r="DT11" s="2555"/>
      <c r="DU11" s="2555"/>
      <c r="DV11" s="2555"/>
      <c r="DW11" s="2555"/>
      <c r="DX11" s="2555"/>
      <c r="DY11" s="2555"/>
      <c r="DZ11" s="2555"/>
      <c r="EA11" s="2555"/>
      <c r="EB11" s="2555"/>
      <c r="EC11" s="2555"/>
      <c r="ED11" s="2555"/>
      <c r="EE11" s="2555"/>
      <c r="EF11" s="2555"/>
      <c r="EG11" s="2555"/>
      <c r="EH11" s="2555"/>
      <c r="EI11" s="2555"/>
      <c r="EJ11" s="2555"/>
      <c r="EK11" s="2555"/>
      <c r="EL11" s="2555"/>
      <c r="EM11" s="2555"/>
      <c r="EN11" s="2555"/>
      <c r="EO11" s="2555"/>
      <c r="EP11" s="2555"/>
      <c r="EQ11" s="2555"/>
      <c r="ER11" s="2555"/>
      <c r="ES11" s="2555"/>
      <c r="ET11" s="2555"/>
      <c r="EU11" s="2555"/>
      <c r="EV11" s="2555"/>
      <c r="EW11" s="2555"/>
      <c r="EX11" s="2555"/>
      <c r="EY11" s="2555"/>
      <c r="EZ11" s="2555"/>
      <c r="FA11" s="2555"/>
      <c r="FB11" s="2555"/>
      <c r="FC11" s="2555"/>
      <c r="FD11" s="2555"/>
      <c r="FE11" s="2555"/>
      <c r="FF11" s="2555"/>
      <c r="FG11" s="2555"/>
      <c r="FH11" s="2555"/>
      <c r="FI11" s="2555"/>
      <c r="FJ11" s="2555"/>
      <c r="FK11" s="2555"/>
      <c r="FL11" s="2555"/>
      <c r="FM11" s="2555"/>
      <c r="FN11" s="2555"/>
      <c r="FO11" s="2555"/>
      <c r="FP11" s="2555"/>
      <c r="FQ11" s="2555"/>
      <c r="FR11" s="2555"/>
      <c r="FS11" s="2555"/>
      <c r="FT11" s="2555"/>
      <c r="FU11" s="2555"/>
      <c r="FV11" s="2555"/>
      <c r="FW11" s="2569"/>
      <c r="FX11" s="883"/>
      <c r="GC11" s="1047">
        <v>12</v>
      </c>
    </row>
    <row customHeight="1" ht="12.75">
      <c r="D12" s="1059"/>
      <c r="E12" s="1058"/>
      <c r="F12" s="2326"/>
      <c r="G12" s="2326"/>
      <c r="H12" s="2558"/>
      <c r="I12" s="2558"/>
      <c r="J12" s="2559"/>
      <c r="K12" s="2559"/>
      <c r="L12" s="2559"/>
      <c r="M12" s="2559"/>
      <c r="N12" s="2559"/>
      <c r="O12" s="2330" t="s">
        <v>1099</v>
      </c>
      <c r="P12" s="2330"/>
      <c r="Q12" s="2330"/>
      <c r="R12" s="2330"/>
      <c r="S12" s="2330" t="s">
        <v>1100</v>
      </c>
      <c r="T12" s="2330"/>
      <c r="U12" s="2330"/>
      <c r="V12" s="2330"/>
      <c r="W12" s="2330"/>
      <c r="X12" s="2330"/>
      <c r="Y12" s="2330"/>
      <c r="Z12" s="2330"/>
      <c r="AA12" s="2330"/>
      <c r="AB12" s="2330"/>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74"/>
      <c r="BT12" s="2507" t="s">
        <v>1101</v>
      </c>
      <c r="BU12" s="2508"/>
      <c r="BV12" s="2508"/>
      <c r="BW12" s="2554"/>
      <c r="BX12" s="2507" t="s">
        <v>1102</v>
      </c>
      <c r="BY12" s="2508"/>
      <c r="BZ12" s="2508"/>
      <c r="CA12" s="2554"/>
      <c r="CB12" s="2507" t="s">
        <v>1103</v>
      </c>
      <c r="CC12" s="2554"/>
      <c r="CD12" s="2507" t="s">
        <v>1104</v>
      </c>
      <c r="CE12" s="2508"/>
      <c r="CF12" s="2508"/>
      <c r="CG12" s="2508"/>
      <c r="CH12" s="2508"/>
      <c r="CI12" s="2508"/>
      <c r="CJ12" s="2508"/>
      <c r="CK12" s="2554"/>
      <c r="CL12" s="2557"/>
      <c r="CM12" s="2555"/>
      <c r="CN12" s="2555"/>
      <c r="CO12" s="2555"/>
      <c r="CP12" s="2555"/>
      <c r="CQ12" s="2555"/>
      <c r="CR12" s="2555"/>
      <c r="CS12" s="2555"/>
      <c r="CT12" s="2555"/>
      <c r="CU12" s="2555"/>
      <c r="CV12" s="2555"/>
      <c r="CW12" s="2555"/>
      <c r="CX12" s="2574"/>
      <c r="CY12" s="2507" t="s">
        <v>1105</v>
      </c>
      <c r="CZ12" s="2508"/>
      <c r="DA12" s="2508"/>
      <c r="DB12" s="2508"/>
      <c r="DC12" s="2508"/>
      <c r="DD12" s="2554"/>
      <c r="DE12" s="2507" t="s">
        <v>1106</v>
      </c>
      <c r="DF12" s="2554"/>
      <c r="DG12" s="2507" t="s">
        <v>1104</v>
      </c>
      <c r="DH12" s="2508"/>
      <c r="DI12" s="2508"/>
      <c r="DJ12" s="2554"/>
      <c r="DK12" s="2557"/>
      <c r="DL12" s="2555"/>
      <c r="DM12" s="2555"/>
      <c r="DN12" s="2555"/>
      <c r="DO12" s="2555"/>
      <c r="DP12" s="2555"/>
      <c r="DQ12" s="2555"/>
      <c r="DR12" s="2555"/>
      <c r="DS12" s="2555"/>
      <c r="DT12" s="2555"/>
      <c r="DU12" s="2555"/>
      <c r="DV12" s="2555"/>
      <c r="DW12" s="2555"/>
      <c r="DX12" s="2555"/>
      <c r="DY12" s="2555"/>
      <c r="DZ12" s="2555"/>
      <c r="EA12" s="2555"/>
      <c r="EB12" s="2555"/>
      <c r="EC12" s="2555"/>
      <c r="ED12" s="2555"/>
      <c r="EE12" s="2555"/>
      <c r="EF12" s="2555"/>
      <c r="EG12" s="2555"/>
      <c r="EH12" s="2555"/>
      <c r="EI12" s="2555"/>
      <c r="EJ12" s="2555"/>
      <c r="EK12" s="2555"/>
      <c r="EL12" s="2555"/>
      <c r="EM12" s="2555"/>
      <c r="EN12" s="2555"/>
      <c r="EO12" s="2555"/>
      <c r="EP12" s="2555"/>
      <c r="EQ12" s="2555"/>
      <c r="ER12" s="2555"/>
      <c r="ES12" s="2555"/>
      <c r="ET12" s="2555"/>
      <c r="EU12" s="2555"/>
      <c r="EV12" s="2555"/>
      <c r="EW12" s="2555"/>
      <c r="EX12" s="2555"/>
      <c r="EY12" s="2555"/>
      <c r="EZ12" s="2555"/>
      <c r="FA12" s="2555"/>
      <c r="FB12" s="2555"/>
      <c r="FC12" s="2555"/>
      <c r="FD12" s="2555"/>
      <c r="FE12" s="2555"/>
      <c r="FF12" s="2555"/>
      <c r="FG12" s="2555"/>
      <c r="FH12" s="2555"/>
      <c r="FI12" s="2555"/>
      <c r="FJ12" s="2555"/>
      <c r="FK12" s="2555"/>
      <c r="FL12" s="2555"/>
      <c r="FM12" s="2555"/>
      <c r="FN12" s="2555"/>
      <c r="FO12" s="2555"/>
      <c r="FP12" s="2555"/>
      <c r="FQ12" s="2555"/>
      <c r="FR12" s="2555"/>
      <c r="FS12" s="2555"/>
      <c r="FT12" s="2555"/>
      <c r="FU12" s="2555"/>
      <c r="FV12" s="2555"/>
      <c r="FW12" s="2569"/>
      <c r="FX12" s="883"/>
      <c r="GC12" s="1047">
        <v>12</v>
      </c>
    </row>
    <row customHeight="1" ht="37.8">
      <c r="D13" s="1059"/>
      <c r="E13" s="1058"/>
      <c r="F13" s="2326"/>
      <c r="G13" s="2326"/>
      <c r="H13" s="2558"/>
      <c r="I13" s="2558"/>
      <c r="J13" s="2559"/>
      <c r="K13" s="2559"/>
      <c r="L13" s="2559"/>
      <c r="M13" s="2559"/>
      <c r="N13" s="2559"/>
      <c r="O13" s="2330" t="s">
        <v>1107</v>
      </c>
      <c r="P13" s="2330"/>
      <c r="Q13" s="2330"/>
      <c r="R13" s="2330"/>
      <c r="S13" s="2457" t="s">
        <v>1108</v>
      </c>
      <c r="T13" s="2509"/>
      <c r="U13" s="2248" t="s">
        <v>1109</v>
      </c>
      <c r="V13" s="2248"/>
      <c r="W13" s="2248"/>
      <c r="X13" s="2248"/>
      <c r="Y13" s="2248" t="s">
        <v>1110</v>
      </c>
      <c r="Z13" s="2248"/>
      <c r="AA13" s="2248"/>
      <c r="AB13" s="2248"/>
      <c r="AC13" s="2555"/>
      <c r="AD13" s="2555"/>
      <c r="AE13" s="2555"/>
      <c r="AF13" s="2555"/>
      <c r="AG13" s="2555"/>
      <c r="AH13" s="2555"/>
      <c r="AI13" s="2555"/>
      <c r="AJ13" s="2555"/>
      <c r="AK13" s="2555"/>
      <c r="AL13" s="2555"/>
      <c r="AM13" s="2555"/>
      <c r="AN13" s="2555"/>
      <c r="AO13" s="2555"/>
      <c r="AP13" s="2555"/>
      <c r="AQ13" s="2555"/>
      <c r="AR13" s="2555"/>
      <c r="AS13" s="2555"/>
      <c r="AT13" s="2555"/>
      <c r="AU13" s="2555"/>
      <c r="AV13" s="2555"/>
      <c r="AW13" s="2555"/>
      <c r="AX13" s="2555"/>
      <c r="AY13" s="2555"/>
      <c r="AZ13" s="2555"/>
      <c r="BA13" s="2555"/>
      <c r="BB13" s="2555"/>
      <c r="BC13" s="2555"/>
      <c r="BD13" s="2555"/>
      <c r="BE13" s="2555"/>
      <c r="BF13" s="2555"/>
      <c r="BG13" s="2555"/>
      <c r="BH13" s="2555"/>
      <c r="BI13" s="2555"/>
      <c r="BJ13" s="2555"/>
      <c r="BK13" s="2555"/>
      <c r="BL13" s="2555"/>
      <c r="BM13" s="2555"/>
      <c r="BN13" s="2555"/>
      <c r="BO13" s="2555"/>
      <c r="BP13" s="2555"/>
      <c r="BQ13" s="2555"/>
      <c r="BR13" s="2555"/>
      <c r="BS13" s="2574"/>
      <c r="BT13" s="2457" t="s">
        <v>1111</v>
      </c>
      <c r="BU13" s="2509"/>
      <c r="BV13" s="2457" t="s">
        <v>1112</v>
      </c>
      <c r="BW13" s="2509"/>
      <c r="BX13" s="2457" t="s">
        <v>1113</v>
      </c>
      <c r="BY13" s="2509"/>
      <c r="BZ13" s="2457" t="s">
        <v>1114</v>
      </c>
      <c r="CA13" s="2509"/>
      <c r="CB13" s="2457" t="s">
        <v>1115</v>
      </c>
      <c r="CC13" s="2509"/>
      <c r="CD13" s="2457" t="s">
        <v>1116</v>
      </c>
      <c r="CE13" s="2509"/>
      <c r="CF13" s="2457" t="s">
        <v>1117</v>
      </c>
      <c r="CG13" s="2509"/>
      <c r="CH13" s="2507" t="s">
        <v>1118</v>
      </c>
      <c r="CI13" s="2508"/>
      <c r="CJ13" s="2508"/>
      <c r="CK13" s="2554"/>
      <c r="CL13" s="2557"/>
      <c r="CM13" s="2555"/>
      <c r="CN13" s="2555"/>
      <c r="CO13" s="2555"/>
      <c r="CP13" s="2555"/>
      <c r="CQ13" s="2555"/>
      <c r="CR13" s="2555"/>
      <c r="CS13" s="2555"/>
      <c r="CT13" s="2555"/>
      <c r="CU13" s="2555"/>
      <c r="CV13" s="2555"/>
      <c r="CW13" s="2555"/>
      <c r="CX13" s="2574"/>
      <c r="CY13" s="2457" t="s">
        <v>1119</v>
      </c>
      <c r="CZ13" s="2509"/>
      <c r="DA13" s="2457" t="s">
        <v>1120</v>
      </c>
      <c r="DB13" s="2509"/>
      <c r="DC13" s="2457" t="s">
        <v>1121</v>
      </c>
      <c r="DD13" s="2509"/>
      <c r="DE13" s="2457" t="s">
        <v>1122</v>
      </c>
      <c r="DF13" s="2509"/>
      <c r="DG13" s="2507" t="s">
        <v>1123</v>
      </c>
      <c r="DH13" s="2508"/>
      <c r="DI13" s="2508"/>
      <c r="DJ13" s="2554"/>
      <c r="DK13" s="2557"/>
      <c r="DL13" s="2555"/>
      <c r="DM13" s="2555"/>
      <c r="DN13" s="2555"/>
      <c r="DO13" s="2555"/>
      <c r="DP13" s="2555"/>
      <c r="DQ13" s="2555"/>
      <c r="DR13" s="2555"/>
      <c r="DS13" s="2555"/>
      <c r="DT13" s="2555"/>
      <c r="DU13" s="2555"/>
      <c r="DV13" s="2555"/>
      <c r="DW13" s="2555"/>
      <c r="DX13" s="2555"/>
      <c r="DY13" s="2555"/>
      <c r="DZ13" s="2555"/>
      <c r="EA13" s="2555"/>
      <c r="EB13" s="2555"/>
      <c r="EC13" s="2555"/>
      <c r="ED13" s="2555"/>
      <c r="EE13" s="2555"/>
      <c r="EF13" s="2555"/>
      <c r="EG13" s="2555"/>
      <c r="EH13" s="2555"/>
      <c r="EI13" s="2555"/>
      <c r="EJ13" s="2555"/>
      <c r="EK13" s="2555"/>
      <c r="EL13" s="2555"/>
      <c r="EM13" s="2555"/>
      <c r="EN13" s="2555"/>
      <c r="EO13" s="2555"/>
      <c r="EP13" s="2555"/>
      <c r="EQ13" s="2555"/>
      <c r="ER13" s="2555"/>
      <c r="ES13" s="2555"/>
      <c r="ET13" s="2555"/>
      <c r="EU13" s="2555"/>
      <c r="EV13" s="2555"/>
      <c r="EW13" s="2555"/>
      <c r="EX13" s="2555"/>
      <c r="EY13" s="2555"/>
      <c r="EZ13" s="2555"/>
      <c r="FA13" s="2555"/>
      <c r="FB13" s="2555"/>
      <c r="FC13" s="2555"/>
      <c r="FD13" s="2555"/>
      <c r="FE13" s="2555"/>
      <c r="FF13" s="2555"/>
      <c r="FG13" s="2555"/>
      <c r="FH13" s="2555"/>
      <c r="FI13" s="2555"/>
      <c r="FJ13" s="2555"/>
      <c r="FK13" s="2555"/>
      <c r="FL13" s="2555"/>
      <c r="FM13" s="2555"/>
      <c r="FN13" s="2555"/>
      <c r="FO13" s="2555"/>
      <c r="FP13" s="2555"/>
      <c r="FQ13" s="2555"/>
      <c r="FR13" s="2555"/>
      <c r="FS13" s="2555"/>
      <c r="FT13" s="2555"/>
      <c r="FU13" s="2555"/>
      <c r="FV13" s="2555"/>
      <c r="FW13" s="2569"/>
      <c r="FX13" s="883"/>
      <c r="GC13" s="1047">
        <v>36</v>
      </c>
    </row>
    <row customHeight="1" ht="37.8">
      <c r="D14" s="1059"/>
      <c r="E14" s="1058"/>
      <c r="F14" s="2326"/>
      <c r="G14" s="2326"/>
      <c r="H14" s="2558"/>
      <c r="I14" s="2558"/>
      <c r="J14" s="2559"/>
      <c r="K14" s="2559"/>
      <c r="L14" s="2559"/>
      <c r="M14" s="2559"/>
      <c r="N14" s="2559"/>
      <c r="O14" s="2457" t="s">
        <v>1124</v>
      </c>
      <c r="P14" s="2509"/>
      <c r="Q14" s="2457" t="s">
        <v>1125</v>
      </c>
      <c r="R14" s="2509"/>
      <c r="S14" s="2458"/>
      <c r="T14" s="2334"/>
      <c r="U14" s="2457" t="s">
        <v>857</v>
      </c>
      <c r="V14" s="2509"/>
      <c r="W14" s="2457" t="s">
        <v>860</v>
      </c>
      <c r="X14" s="2509"/>
      <c r="Y14" s="2457" t="s">
        <v>857</v>
      </c>
      <c r="Z14" s="2509"/>
      <c r="AA14" s="2457" t="s">
        <v>867</v>
      </c>
      <c r="AB14" s="2509"/>
      <c r="AC14" s="2555"/>
      <c r="AD14" s="2555"/>
      <c r="AE14" s="2555"/>
      <c r="AF14" s="2555"/>
      <c r="AG14" s="2555"/>
      <c r="AH14" s="2555"/>
      <c r="AI14" s="2555"/>
      <c r="AJ14" s="2555"/>
      <c r="AK14" s="2555"/>
      <c r="AL14" s="2555"/>
      <c r="AM14" s="2555"/>
      <c r="AN14" s="2555"/>
      <c r="AO14" s="2555"/>
      <c r="AP14" s="2555"/>
      <c r="AQ14" s="2555"/>
      <c r="AR14" s="2555"/>
      <c r="AS14" s="2555"/>
      <c r="AT14" s="2555"/>
      <c r="AU14" s="2555"/>
      <c r="AV14" s="2555"/>
      <c r="AW14" s="2555"/>
      <c r="AX14" s="2555"/>
      <c r="AY14" s="2555"/>
      <c r="AZ14" s="2555"/>
      <c r="BA14" s="2555"/>
      <c r="BB14" s="2555"/>
      <c r="BC14" s="2555"/>
      <c r="BD14" s="2555"/>
      <c r="BE14" s="2555"/>
      <c r="BF14" s="2555"/>
      <c r="BG14" s="2555"/>
      <c r="BH14" s="2555"/>
      <c r="BI14" s="2555"/>
      <c r="BJ14" s="2555"/>
      <c r="BK14" s="2555"/>
      <c r="BL14" s="2555"/>
      <c r="BM14" s="2555"/>
      <c r="BN14" s="2555"/>
      <c r="BO14" s="2555"/>
      <c r="BP14" s="2555"/>
      <c r="BQ14" s="2555"/>
      <c r="BR14" s="2555"/>
      <c r="BS14" s="2574"/>
      <c r="BT14" s="2458"/>
      <c r="BU14" s="2334"/>
      <c r="BV14" s="2458"/>
      <c r="BW14" s="2334"/>
      <c r="BX14" s="2458"/>
      <c r="BY14" s="2334"/>
      <c r="BZ14" s="2458"/>
      <c r="CA14" s="2334"/>
      <c r="CB14" s="2458"/>
      <c r="CC14" s="2334"/>
      <c r="CD14" s="2458"/>
      <c r="CE14" s="2334"/>
      <c r="CF14" s="2458"/>
      <c r="CG14" s="2334"/>
      <c r="CH14" s="2457" t="s">
        <v>1126</v>
      </c>
      <c r="CI14" s="2509"/>
      <c r="CJ14" s="2457" t="s">
        <v>1127</v>
      </c>
      <c r="CK14" s="2509"/>
      <c r="CL14" s="2557"/>
      <c r="CM14" s="2555"/>
      <c r="CN14" s="2555"/>
      <c r="CO14" s="2555"/>
      <c r="CP14" s="2555"/>
      <c r="CQ14" s="2555"/>
      <c r="CR14" s="2555"/>
      <c r="CS14" s="2555"/>
      <c r="CT14" s="2555"/>
      <c r="CU14" s="2555"/>
      <c r="CV14" s="2555"/>
      <c r="CW14" s="2555"/>
      <c r="CX14" s="2574"/>
      <c r="CY14" s="2458"/>
      <c r="CZ14" s="2334"/>
      <c r="DA14" s="2458"/>
      <c r="DB14" s="2334"/>
      <c r="DC14" s="2458"/>
      <c r="DD14" s="2334"/>
      <c r="DE14" s="2458"/>
      <c r="DF14" s="2334"/>
      <c r="DG14" s="2457" t="s">
        <v>1128</v>
      </c>
      <c r="DH14" s="2509"/>
      <c r="DI14" s="2457" t="s">
        <v>1129</v>
      </c>
      <c r="DJ14" s="2509"/>
      <c r="DK14" s="2557"/>
      <c r="DL14" s="2555"/>
      <c r="DM14" s="2555"/>
      <c r="DN14" s="2555"/>
      <c r="DO14" s="2555"/>
      <c r="DP14" s="2555"/>
      <c r="DQ14" s="2555"/>
      <c r="DR14" s="2555"/>
      <c r="DS14" s="2555"/>
      <c r="DT14" s="2555"/>
      <c r="DU14" s="2555"/>
      <c r="DV14" s="2555"/>
      <c r="DW14" s="2555"/>
      <c r="DX14" s="2555"/>
      <c r="DY14" s="2555"/>
      <c r="DZ14" s="2555"/>
      <c r="EA14" s="2555"/>
      <c r="EB14" s="2555"/>
      <c r="EC14" s="2555"/>
      <c r="ED14" s="2555"/>
      <c r="EE14" s="2555"/>
      <c r="EF14" s="2555"/>
      <c r="EG14" s="2555"/>
      <c r="EH14" s="2555"/>
      <c r="EI14" s="2555"/>
      <c r="EJ14" s="2555"/>
      <c r="EK14" s="2555"/>
      <c r="EL14" s="2555"/>
      <c r="EM14" s="2555"/>
      <c r="EN14" s="2555"/>
      <c r="EO14" s="2555"/>
      <c r="EP14" s="2555"/>
      <c r="EQ14" s="2555"/>
      <c r="ER14" s="2555"/>
      <c r="ES14" s="2555"/>
      <c r="ET14" s="2555"/>
      <c r="EU14" s="2555"/>
      <c r="EV14" s="2555"/>
      <c r="EW14" s="2555"/>
      <c r="EX14" s="2555"/>
      <c r="EY14" s="2555"/>
      <c r="EZ14" s="2555"/>
      <c r="FA14" s="2555"/>
      <c r="FB14" s="2555"/>
      <c r="FC14" s="2555"/>
      <c r="FD14" s="2555"/>
      <c r="FE14" s="2555"/>
      <c r="FF14" s="2555"/>
      <c r="FG14" s="2555"/>
      <c r="FH14" s="2555"/>
      <c r="FI14" s="2555"/>
      <c r="FJ14" s="2555"/>
      <c r="FK14" s="2555"/>
      <c r="FL14" s="2555"/>
      <c r="FM14" s="2555"/>
      <c r="FN14" s="2555"/>
      <c r="FO14" s="2555"/>
      <c r="FP14" s="2555"/>
      <c r="FQ14" s="2555"/>
      <c r="FR14" s="2555"/>
      <c r="FS14" s="2555"/>
      <c r="FT14" s="2555"/>
      <c r="FU14" s="2555"/>
      <c r="FV14" s="2555"/>
      <c r="FW14" s="2569"/>
      <c r="FX14" s="883"/>
      <c r="GC14" s="1047">
        <v>36</v>
      </c>
    </row>
    <row customHeight="1" ht="37.8">
      <c r="D15" s="1059"/>
      <c r="E15" s="1058"/>
      <c r="F15" s="2326"/>
      <c r="G15" s="2326"/>
      <c r="H15" s="2558"/>
      <c r="I15" s="2558"/>
      <c r="J15" s="2559"/>
      <c r="K15" s="2559"/>
      <c r="L15" s="2559"/>
      <c r="M15" s="2559"/>
      <c r="N15" s="2559"/>
      <c r="O15" s="2459"/>
      <c r="P15" s="2556"/>
      <c r="Q15" s="2459"/>
      <c r="R15" s="2556"/>
      <c r="S15" s="2459"/>
      <c r="T15" s="2556"/>
      <c r="U15" s="2459"/>
      <c r="V15" s="2556"/>
      <c r="W15" s="2459"/>
      <c r="X15" s="2556"/>
      <c r="Y15" s="2459"/>
      <c r="Z15" s="2556"/>
      <c r="AA15" s="2459"/>
      <c r="AB15" s="2556"/>
      <c r="AC15" s="2555"/>
      <c r="AD15" s="2555"/>
      <c r="AE15" s="2555"/>
      <c r="AF15" s="2555"/>
      <c r="AG15" s="2555"/>
      <c r="AH15" s="2555"/>
      <c r="AI15" s="2555"/>
      <c r="AJ15" s="2555"/>
      <c r="AK15" s="2555"/>
      <c r="AL15" s="2555"/>
      <c r="AM15" s="2555"/>
      <c r="AN15" s="2555"/>
      <c r="AO15" s="2555"/>
      <c r="AP15" s="2555"/>
      <c r="AQ15" s="2555"/>
      <c r="AR15" s="2555"/>
      <c r="AS15" s="2555"/>
      <c r="AT15" s="2555"/>
      <c r="AU15" s="2555"/>
      <c r="AV15" s="2555"/>
      <c r="AW15" s="2555"/>
      <c r="AX15" s="2555"/>
      <c r="AY15" s="2555"/>
      <c r="AZ15" s="2555"/>
      <c r="BA15" s="2555"/>
      <c r="BB15" s="2555"/>
      <c r="BC15" s="2555"/>
      <c r="BD15" s="2555"/>
      <c r="BE15" s="2555"/>
      <c r="BF15" s="2555"/>
      <c r="BG15" s="2555"/>
      <c r="BH15" s="2555"/>
      <c r="BI15" s="2555"/>
      <c r="BJ15" s="2555"/>
      <c r="BK15" s="2555"/>
      <c r="BL15" s="2555"/>
      <c r="BM15" s="2555"/>
      <c r="BN15" s="2555"/>
      <c r="BO15" s="2555"/>
      <c r="BP15" s="2555"/>
      <c r="BQ15" s="2555"/>
      <c r="BR15" s="2555"/>
      <c r="BS15" s="2574"/>
      <c r="BT15" s="2459"/>
      <c r="BU15" s="2556"/>
      <c r="BV15" s="2459"/>
      <c r="BW15" s="2556"/>
      <c r="BX15" s="2459"/>
      <c r="BY15" s="2556"/>
      <c r="BZ15" s="2459"/>
      <c r="CA15" s="2556"/>
      <c r="CB15" s="2459"/>
      <c r="CC15" s="2556"/>
      <c r="CD15" s="2459"/>
      <c r="CE15" s="2556"/>
      <c r="CF15" s="2459"/>
      <c r="CG15" s="2556"/>
      <c r="CH15" s="2459"/>
      <c r="CI15" s="2556"/>
      <c r="CJ15" s="2459"/>
      <c r="CK15" s="2556"/>
      <c r="CL15" s="2557"/>
      <c r="CM15" s="2555"/>
      <c r="CN15" s="2555"/>
      <c r="CO15" s="2555"/>
      <c r="CP15" s="2555"/>
      <c r="CQ15" s="2555"/>
      <c r="CR15" s="2555"/>
      <c r="CS15" s="2555"/>
      <c r="CT15" s="2555"/>
      <c r="CU15" s="2555"/>
      <c r="CV15" s="2555"/>
      <c r="CW15" s="2555"/>
      <c r="CX15" s="2574"/>
      <c r="CY15" s="2459"/>
      <c r="CZ15" s="2556"/>
      <c r="DA15" s="2459"/>
      <c r="DB15" s="2556"/>
      <c r="DC15" s="2459"/>
      <c r="DD15" s="2556"/>
      <c r="DE15" s="2459"/>
      <c r="DF15" s="2556"/>
      <c r="DG15" s="2459"/>
      <c r="DH15" s="2556"/>
      <c r="DI15" s="2459"/>
      <c r="DJ15" s="2556"/>
      <c r="DK15" s="2557"/>
      <c r="DL15" s="2555"/>
      <c r="DM15" s="2555"/>
      <c r="DN15" s="2555"/>
      <c r="DO15" s="2555"/>
      <c r="DP15" s="2555"/>
      <c r="DQ15" s="2555"/>
      <c r="DR15" s="2555"/>
      <c r="DS15" s="2555"/>
      <c r="DT15" s="2555"/>
      <c r="DU15" s="2555"/>
      <c r="DV15" s="2555"/>
      <c r="DW15" s="2555"/>
      <c r="DX15" s="2555"/>
      <c r="DY15" s="2555"/>
      <c r="DZ15" s="2555"/>
      <c r="EA15" s="2555"/>
      <c r="EB15" s="2555"/>
      <c r="EC15" s="2555"/>
      <c r="ED15" s="2555"/>
      <c r="EE15" s="2555"/>
      <c r="EF15" s="2555"/>
      <c r="EG15" s="2555"/>
      <c r="EH15" s="2555"/>
      <c r="EI15" s="2555"/>
      <c r="EJ15" s="2555"/>
      <c r="EK15" s="2555"/>
      <c r="EL15" s="2555"/>
      <c r="EM15" s="2555"/>
      <c r="EN15" s="2555"/>
      <c r="EO15" s="2555"/>
      <c r="EP15" s="2555"/>
      <c r="EQ15" s="2555"/>
      <c r="ER15" s="2555"/>
      <c r="ES15" s="2555"/>
      <c r="ET15" s="2555"/>
      <c r="EU15" s="2555"/>
      <c r="EV15" s="2555"/>
      <c r="EW15" s="2555"/>
      <c r="EX15" s="2555"/>
      <c r="EY15" s="2555"/>
      <c r="EZ15" s="2555"/>
      <c r="FA15" s="2555"/>
      <c r="FB15" s="2555"/>
      <c r="FC15" s="2555"/>
      <c r="FD15" s="2555"/>
      <c r="FE15" s="2555"/>
      <c r="FF15" s="2555"/>
      <c r="FG15" s="2555"/>
      <c r="FH15" s="2555"/>
      <c r="FI15" s="2555"/>
      <c r="FJ15" s="2555"/>
      <c r="FK15" s="2555"/>
      <c r="FL15" s="2555"/>
      <c r="FM15" s="2555"/>
      <c r="FN15" s="2555"/>
      <c r="FO15" s="2555"/>
      <c r="FP15" s="2555"/>
      <c r="FQ15" s="2555"/>
      <c r="FR15" s="2555"/>
      <c r="FS15" s="2555"/>
      <c r="FT15" s="2555"/>
      <c r="FU15" s="2555"/>
      <c r="FV15" s="2555"/>
      <c r="FW15" s="2569"/>
      <c r="FX15" s="883"/>
      <c r="GC15" s="1047">
        <v>36</v>
      </c>
    </row>
    <row customHeight="1" ht="12.75">
      <c r="D16" s="1059"/>
      <c r="E16" s="1058"/>
      <c r="F16" s="2326"/>
      <c r="G16" s="2326"/>
      <c r="H16" s="2558"/>
      <c r="I16" s="2558"/>
      <c r="J16" s="2559"/>
      <c r="K16" s="2559"/>
      <c r="L16" s="2559"/>
      <c r="M16" s="2559"/>
      <c r="N16" s="2559"/>
      <c r="O16" s="2507" t="s">
        <v>847</v>
      </c>
      <c r="P16" s="2554"/>
      <c r="Q16" s="2507" t="s">
        <v>849</v>
      </c>
      <c r="R16" s="2554"/>
      <c r="S16" s="2507" t="s">
        <v>853</v>
      </c>
      <c r="T16" s="2554"/>
      <c r="U16" s="2507" t="s">
        <v>858</v>
      </c>
      <c r="V16" s="2554"/>
      <c r="W16" s="2507" t="s">
        <v>861</v>
      </c>
      <c r="X16" s="2554"/>
      <c r="Y16" s="2507" t="s">
        <v>865</v>
      </c>
      <c r="Z16" s="2554"/>
      <c r="AA16" s="2507" t="s">
        <v>868</v>
      </c>
      <c r="AB16" s="2554"/>
      <c r="AC16" s="2555"/>
      <c r="AD16" s="2555"/>
      <c r="AE16" s="2555"/>
      <c r="AF16" s="2555"/>
      <c r="AG16" s="2555"/>
      <c r="AH16" s="2555"/>
      <c r="AI16" s="2555"/>
      <c r="AJ16" s="2555"/>
      <c r="AK16" s="2555"/>
      <c r="AL16" s="2555"/>
      <c r="AM16" s="2555"/>
      <c r="AN16" s="2555"/>
      <c r="AO16" s="2555"/>
      <c r="AP16" s="2555"/>
      <c r="AQ16" s="2555"/>
      <c r="AR16" s="2555"/>
      <c r="AS16" s="2555"/>
      <c r="AT16" s="2555"/>
      <c r="AU16" s="2555"/>
      <c r="AV16" s="2555"/>
      <c r="AW16" s="2555"/>
      <c r="AX16" s="2555"/>
      <c r="AY16" s="2555"/>
      <c r="AZ16" s="2555"/>
      <c r="BA16" s="2555"/>
      <c r="BB16" s="2555"/>
      <c r="BC16" s="2555"/>
      <c r="BD16" s="2555"/>
      <c r="BE16" s="2555"/>
      <c r="BF16" s="2555"/>
      <c r="BG16" s="2555"/>
      <c r="BH16" s="2555"/>
      <c r="BI16" s="2555"/>
      <c r="BJ16" s="2555"/>
      <c r="BK16" s="2555"/>
      <c r="BL16" s="2555"/>
      <c r="BM16" s="2555"/>
      <c r="BN16" s="2555"/>
      <c r="BO16" s="2555"/>
      <c r="BP16" s="2555"/>
      <c r="BQ16" s="2555"/>
      <c r="BR16" s="2555"/>
      <c r="BS16" s="2574"/>
      <c r="BT16" s="2507" t="s">
        <v>580</v>
      </c>
      <c r="BU16" s="2554"/>
      <c r="BV16" s="2507" t="s">
        <v>580</v>
      </c>
      <c r="BW16" s="2554"/>
      <c r="BX16" s="2507" t="s">
        <v>580</v>
      </c>
      <c r="BY16" s="2554"/>
      <c r="BZ16" s="2507" t="s">
        <v>580</v>
      </c>
      <c r="CA16" s="2554"/>
      <c r="CB16" s="2507" t="s">
        <v>1130</v>
      </c>
      <c r="CC16" s="2554"/>
      <c r="CD16" s="2507" t="s">
        <v>580</v>
      </c>
      <c r="CE16" s="2554"/>
      <c r="CF16" s="2507" t="s">
        <v>1131</v>
      </c>
      <c r="CG16" s="2554"/>
      <c r="CH16" s="2507" t="s">
        <v>1132</v>
      </c>
      <c r="CI16" s="2554"/>
      <c r="CJ16" s="2507" t="s">
        <v>1132</v>
      </c>
      <c r="CK16" s="2554"/>
      <c r="CL16" s="2557"/>
      <c r="CM16" s="2555"/>
      <c r="CN16" s="2555"/>
      <c r="CO16" s="2555"/>
      <c r="CP16" s="2555"/>
      <c r="CQ16" s="2555"/>
      <c r="CR16" s="2555"/>
      <c r="CS16" s="2555"/>
      <c r="CT16" s="2555"/>
      <c r="CU16" s="2555"/>
      <c r="CV16" s="2555"/>
      <c r="CW16" s="2555"/>
      <c r="CX16" s="2574"/>
      <c r="CY16" s="2457" t="s">
        <v>580</v>
      </c>
      <c r="CZ16" s="2509"/>
      <c r="DA16" s="2457" t="s">
        <v>580</v>
      </c>
      <c r="DB16" s="2509"/>
      <c r="DC16" s="2457" t="s">
        <v>580</v>
      </c>
      <c r="DD16" s="2509"/>
      <c r="DE16" s="2507" t="s">
        <v>1130</v>
      </c>
      <c r="DF16" s="2554"/>
      <c r="DG16" s="2507" t="s">
        <v>1133</v>
      </c>
      <c r="DH16" s="2554"/>
      <c r="DI16" s="2507" t="s">
        <v>1133</v>
      </c>
      <c r="DJ16" s="2554"/>
      <c r="DK16" s="2557"/>
      <c r="DL16" s="2555"/>
      <c r="DM16" s="2555"/>
      <c r="DN16" s="2555"/>
      <c r="DO16" s="2555"/>
      <c r="DP16" s="2555"/>
      <c r="DQ16" s="2555"/>
      <c r="DR16" s="2555"/>
      <c r="DS16" s="2555"/>
      <c r="DT16" s="2555"/>
      <c r="DU16" s="2555"/>
      <c r="DV16" s="2555"/>
      <c r="DW16" s="2555"/>
      <c r="DX16" s="2555"/>
      <c r="DY16" s="2555"/>
      <c r="DZ16" s="2555"/>
      <c r="EA16" s="2555"/>
      <c r="EB16" s="2555"/>
      <c r="EC16" s="2555"/>
      <c r="ED16" s="2555"/>
      <c r="EE16" s="2555"/>
      <c r="EF16" s="2555"/>
      <c r="EG16" s="2555"/>
      <c r="EH16" s="2555"/>
      <c r="EI16" s="2555"/>
      <c r="EJ16" s="2555"/>
      <c r="EK16" s="2555"/>
      <c r="EL16" s="2555"/>
      <c r="EM16" s="2555"/>
      <c r="EN16" s="2555"/>
      <c r="EO16" s="2555"/>
      <c r="EP16" s="2555"/>
      <c r="EQ16" s="2555"/>
      <c r="ER16" s="2555"/>
      <c r="ES16" s="2555"/>
      <c r="ET16" s="2555"/>
      <c r="EU16" s="2555"/>
      <c r="EV16" s="2555"/>
      <c r="EW16" s="2555"/>
      <c r="EX16" s="2555"/>
      <c r="EY16" s="2555"/>
      <c r="EZ16" s="2555"/>
      <c r="FA16" s="2555"/>
      <c r="FB16" s="2555"/>
      <c r="FC16" s="2555"/>
      <c r="FD16" s="2555"/>
      <c r="FE16" s="2555"/>
      <c r="FF16" s="2555"/>
      <c r="FG16" s="2555"/>
      <c r="FH16" s="2555"/>
      <c r="FI16" s="2555"/>
      <c r="FJ16" s="2555"/>
      <c r="FK16" s="2555"/>
      <c r="FL16" s="2555"/>
      <c r="FM16" s="2555"/>
      <c r="FN16" s="2555"/>
      <c r="FO16" s="2555"/>
      <c r="FP16" s="2555"/>
      <c r="FQ16" s="2555"/>
      <c r="FR16" s="2555"/>
      <c r="FS16" s="2555"/>
      <c r="FT16" s="2555"/>
      <c r="FU16" s="2555"/>
      <c r="FV16" s="2555"/>
      <c r="FW16" s="2569"/>
      <c r="FX16" s="883"/>
      <c r="GC16" s="1047">
        <v>12</v>
      </c>
    </row>
    <row customHeight="1" ht="15.75">
      <c r="E17" s="1058"/>
      <c r="F17" s="2326"/>
      <c r="G17" s="2326"/>
      <c r="H17" s="2558"/>
      <c r="I17" s="2558"/>
      <c r="J17" s="2559"/>
      <c r="K17" s="2559"/>
      <c r="L17" s="2559"/>
      <c r="M17" s="2559"/>
      <c r="N17" s="2559"/>
      <c r="O17" s="1312" t="s">
        <v>1134</v>
      </c>
      <c r="P17" s="1312" t="s">
        <v>1135</v>
      </c>
      <c r="Q17" s="1312" t="s">
        <v>1134</v>
      </c>
      <c r="R17" s="1312" t="s">
        <v>1135</v>
      </c>
      <c r="S17" s="1312" t="s">
        <v>1134</v>
      </c>
      <c r="T17" s="1312" t="s">
        <v>1135</v>
      </c>
      <c r="U17" s="1312" t="s">
        <v>1134</v>
      </c>
      <c r="V17" s="1312" t="s">
        <v>1135</v>
      </c>
      <c r="W17" s="1312" t="s">
        <v>1134</v>
      </c>
      <c r="X17" s="1312" t="s">
        <v>1135</v>
      </c>
      <c r="Y17" s="1312" t="s">
        <v>1134</v>
      </c>
      <c r="Z17" s="1312" t="s">
        <v>1135</v>
      </c>
      <c r="AA17" s="1312" t="s">
        <v>1134</v>
      </c>
      <c r="AB17" s="1312" t="s">
        <v>1135</v>
      </c>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74"/>
      <c r="BT17" s="1312" t="s">
        <v>1134</v>
      </c>
      <c r="BU17" s="1312" t="s">
        <v>1135</v>
      </c>
      <c r="BV17" s="1312" t="s">
        <v>1134</v>
      </c>
      <c r="BW17" s="1312" t="s">
        <v>1135</v>
      </c>
      <c r="BX17" s="1312" t="s">
        <v>1134</v>
      </c>
      <c r="BY17" s="1312" t="s">
        <v>1135</v>
      </c>
      <c r="BZ17" s="1312" t="s">
        <v>1134</v>
      </c>
      <c r="CA17" s="1312" t="s">
        <v>1135</v>
      </c>
      <c r="CB17" s="1312" t="s">
        <v>1134</v>
      </c>
      <c r="CC17" s="1312" t="s">
        <v>1135</v>
      </c>
      <c r="CD17" s="1312" t="s">
        <v>1134</v>
      </c>
      <c r="CE17" s="1312" t="s">
        <v>1135</v>
      </c>
      <c r="CF17" s="1312" t="s">
        <v>1134</v>
      </c>
      <c r="CG17" s="1312" t="s">
        <v>1135</v>
      </c>
      <c r="CH17" s="1312" t="s">
        <v>1134</v>
      </c>
      <c r="CI17" s="1312" t="s">
        <v>1135</v>
      </c>
      <c r="CJ17" s="1312" t="s">
        <v>1134</v>
      </c>
      <c r="CK17" s="1312" t="s">
        <v>1135</v>
      </c>
      <c r="CL17" s="2557"/>
      <c r="CM17" s="2555"/>
      <c r="CN17" s="2555"/>
      <c r="CO17" s="2555"/>
      <c r="CP17" s="2555"/>
      <c r="CQ17" s="2555"/>
      <c r="CR17" s="2555"/>
      <c r="CS17" s="2555"/>
      <c r="CT17" s="2555"/>
      <c r="CU17" s="2555"/>
      <c r="CV17" s="2555"/>
      <c r="CW17" s="2555"/>
      <c r="CX17" s="2574"/>
      <c r="CY17" s="1312" t="s">
        <v>1134</v>
      </c>
      <c r="CZ17" s="1312" t="s">
        <v>1135</v>
      </c>
      <c r="DA17" s="1312" t="s">
        <v>1134</v>
      </c>
      <c r="DB17" s="1312" t="s">
        <v>1135</v>
      </c>
      <c r="DC17" s="1312" t="s">
        <v>1134</v>
      </c>
      <c r="DD17" s="1312" t="s">
        <v>1135</v>
      </c>
      <c r="DE17" s="1312" t="s">
        <v>1134</v>
      </c>
      <c r="DF17" s="1312" t="s">
        <v>1135</v>
      </c>
      <c r="DG17" s="1312" t="s">
        <v>1134</v>
      </c>
      <c r="DH17" s="1312" t="s">
        <v>1135</v>
      </c>
      <c r="DI17" s="1312" t="s">
        <v>1134</v>
      </c>
      <c r="DJ17" s="1312" t="s">
        <v>1135</v>
      </c>
      <c r="DK17" s="2557"/>
      <c r="DL17" s="2555"/>
      <c r="DM17" s="2555"/>
      <c r="DN17" s="2555"/>
      <c r="DO17" s="2555"/>
      <c r="DP17" s="2555"/>
      <c r="DQ17" s="2555"/>
      <c r="DR17" s="2555"/>
      <c r="DS17" s="2555"/>
      <c r="DT17" s="2555"/>
      <c r="DU17" s="2555"/>
      <c r="DV17" s="2555"/>
      <c r="DW17" s="2555"/>
      <c r="DX17" s="2555"/>
      <c r="DY17" s="2555"/>
      <c r="DZ17" s="2555"/>
      <c r="EA17" s="2555"/>
      <c r="EB17" s="2555"/>
      <c r="EC17" s="2555"/>
      <c r="ED17" s="2555"/>
      <c r="EE17" s="2555"/>
      <c r="EF17" s="2555"/>
      <c r="EG17" s="2555"/>
      <c r="EH17" s="2555"/>
      <c r="EI17" s="2555"/>
      <c r="EJ17" s="2555"/>
      <c r="EK17" s="2555"/>
      <c r="EL17" s="2555"/>
      <c r="EM17" s="2555"/>
      <c r="EN17" s="2555"/>
      <c r="EO17" s="2555"/>
      <c r="EP17" s="2555"/>
      <c r="EQ17" s="2555"/>
      <c r="ER17" s="2555"/>
      <c r="ES17" s="2555"/>
      <c r="ET17" s="2555"/>
      <c r="EU17" s="2555"/>
      <c r="EV17" s="2555"/>
      <c r="EW17" s="2555"/>
      <c r="EX17" s="2555"/>
      <c r="EY17" s="2555"/>
      <c r="EZ17" s="2555"/>
      <c r="FA17" s="2555"/>
      <c r="FB17" s="2555"/>
      <c r="FC17" s="2555"/>
      <c r="FD17" s="2555"/>
      <c r="FE17" s="2555"/>
      <c r="FF17" s="2555"/>
      <c r="FG17" s="2555"/>
      <c r="FH17" s="2555"/>
      <c r="FI17" s="2555"/>
      <c r="FJ17" s="2555"/>
      <c r="FK17" s="2555"/>
      <c r="FL17" s="2555"/>
      <c r="FM17" s="2555"/>
      <c r="FN17" s="2555"/>
      <c r="FO17" s="2555"/>
      <c r="FP17" s="2555"/>
      <c r="FQ17" s="2555"/>
      <c r="FR17" s="2555"/>
      <c r="FS17" s="2555"/>
      <c r="FT17" s="2555"/>
      <c r="FU17" s="2555"/>
      <c r="FV17" s="2555"/>
      <c r="FW17" s="2570"/>
      <c r="FX17" s="883"/>
      <c r="GC17" s="1047">
        <v>15</v>
      </c>
    </row>
    <row s="7559"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559"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559" customFormat="1" customHeight="1" ht="11.25" hidden="1">
      <c r="B20" s="1061"/>
      <c r="D20" s="1045"/>
      <c r="E20" s="1060"/>
      <c r="F20" s="1318" t="s">
        <v>400</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559"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559" customFormat="1" customHeight="1" ht="12.75">
      <c r="A22" s="1062"/>
      <c r="B22" s="1062"/>
      <c r="C22" s="1062"/>
      <c r="D22" s="1062"/>
      <c r="E22" s="1062"/>
      <c r="FX22" s="1062"/>
      <c r="FY22" s="1062"/>
      <c r="FZ22" s="1062"/>
      <c r="GA22" s="1062"/>
      <c r="GB22" s="1062"/>
      <c r="GC22" s="1043">
        <v>12</v>
      </c>
    </row>
    <row s="7629"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82</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86167-FADE-1D2E-F64B-0.A36BA84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08" width="9.140625" hidden="1" customWidth="1"/>
    <col min="2" max="2" style="7720" width="9.140625" hidden="1" customWidth="1"/>
    <col min="3" max="3" style="7632" width="4.00390625" customWidth="1"/>
    <col min="4" max="4" style="7720" width="6.00390625" customWidth="1"/>
    <col min="5" max="5" style="7720" width="36.00390625" customWidth="1"/>
    <col min="6" max="6" style="7720" width="9.00390625" customWidth="1"/>
    <col min="7" max="7" style="7720" width="42.421875" hidden="1" customWidth="1"/>
    <col min="8" max="8" style="7720" width="40.7109375" customWidth="1"/>
    <col min="9" max="9" style="7669" width="93.00390625" customWidth="1"/>
    <col min="10" max="17" style="7720" width="10.00390625" customWidth="1"/>
    <col min="18" max="18" style="7794" width="10.00390625" customWidth="1"/>
    <col min="19" max="19" style="7720" width="10.57421875" hidden="1"/>
  </cols>
  <sheetData>
    <row s="7669" customFormat="1" customHeight="1" ht="15" hidden="1">
      <c r="C1" s="793"/>
      <c r="H1" s="538">
        <v>4</v>
      </c>
      <c r="R1" s="541"/>
      <c r="S1" s="538" t="s">
        <v>14</v>
      </c>
    </row>
    <row customHeight="1" ht="22.5" hidden="1">
      <c r="C2" s="2049" t="s">
        <v>104</v>
      </c>
      <c r="D2" s="660"/>
      <c r="E2" s="784"/>
      <c r="F2" s="1882" t="str">
        <f>IF(TEMPLATE_SPHERE="HEAT","Гкал/час","тыс. куб. м/сутки")</f>
        <v>Гкал/час</v>
      </c>
      <c r="G2" s="801"/>
      <c r="H2" s="801"/>
      <c r="I2" s="410"/>
      <c r="S2" s="626">
        <v>0</v>
      </c>
    </row>
    <row s="7669" customFormat="1" customHeight="1" ht="15" hidden="1">
      <c r="C3" s="793"/>
      <c r="R3" s="541"/>
      <c r="S3" s="538">
        <v>0</v>
      </c>
    </row>
    <row customHeight="1" ht="15.75">
      <c r="C4" s="297"/>
      <c r="D4" s="630"/>
      <c r="E4" s="630"/>
      <c r="F4" s="630"/>
      <c r="G4" s="630"/>
      <c r="H4" s="630"/>
      <c r="S4" s="626">
        <v>15</v>
      </c>
    </row>
    <row customHeight="1" ht="39.75">
      <c r="C5" s="297"/>
      <c r="D5" s="23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8"/>
      <c r="F5" s="2358"/>
      <c r="G5" s="2358"/>
      <c r="H5" s="2358"/>
      <c r="I5" s="658"/>
      <c r="S5" s="626">
        <v>38</v>
      </c>
    </row>
    <row customHeight="1" ht="15.75">
      <c r="C6" s="297"/>
      <c r="D6" s="2297" t="str">
        <f>IF(org=0,"Не определено",org)</f>
        <v>ПАО "ТГК-1" филиал "Невский"</v>
      </c>
      <c r="E6" s="2297"/>
      <c r="F6" s="2297"/>
      <c r="G6" s="2297"/>
      <c r="H6" s="2297"/>
      <c r="I6" s="658"/>
      <c r="S6" s="626">
        <v>15</v>
      </c>
    </row>
    <row s="7720" customFormat="1" customHeight="1" ht="15.75">
      <c r="A7" s="880"/>
      <c r="C7" s="297"/>
      <c r="D7" s="797"/>
      <c r="E7" s="797"/>
      <c r="F7" s="797"/>
      <c r="G7" s="797"/>
      <c r="H7" s="873"/>
      <c r="I7" s="658"/>
      <c r="R7" s="796"/>
      <c r="S7" s="879">
        <v>15</v>
      </c>
    </row>
    <row customHeight="1" ht="1.05">
      <c r="C8" s="297"/>
      <c r="D8" s="630"/>
      <c r="E8" s="630"/>
      <c r="F8" s="630"/>
      <c r="G8" s="630"/>
      <c r="H8" s="658" t="s">
        <v>130</v>
      </c>
      <c r="S8" s="626">
        <v>1</v>
      </c>
    </row>
    <row customHeight="1" ht="15.75">
      <c r="C9" s="297"/>
      <c r="D9" s="832"/>
      <c r="E9" s="2488" t="s">
        <v>119</v>
      </c>
      <c r="F9" s="2489"/>
      <c r="G9" s="937" t="str">
        <f>IF(G8="","",INDEX(DIFFERENTIATION_UNMERGE_VD,MATCH(G8,DIFFERENTIATION_ID_DIFF,0)))</f>
        <v/>
      </c>
      <c r="H9" s="937">
        <f>IF(H8="","",INDEX(DIFFERENTIATION_UNMERGE_VD,MATCH(H8,DIFFERENTIATION_ID_DIFF,0)))</f>
        <v>0</v>
      </c>
      <c r="I9" s="2248" t="s">
        <v>325</v>
      </c>
      <c r="S9" s="626">
        <v>15</v>
      </c>
    </row>
    <row s="7720" customFormat="1" customHeight="1" ht="15.75">
      <c r="A10" s="880"/>
      <c r="C10" s="297"/>
      <c r="D10" s="832"/>
      <c r="E10" s="2488" t="s">
        <v>586</v>
      </c>
      <c r="F10" s="2489"/>
      <c r="G10" s="937" t="str">
        <f>IF(G8="","",INDEX(DIFFERENTIATION_UNMERGE_AREA,MATCH(G8,DIFFERENTIATION_ID_DIFF,0)))</f>
        <v/>
      </c>
      <c r="H10" s="937" t="str">
        <f>IF(H8="","",INDEX(DIFFERENTIATION_UNMERGE_AREA,MATCH(H8,DIFFERENTIATION_ID_DIFF,0)))</f>
        <v/>
      </c>
      <c r="I10" s="2248"/>
      <c r="R10" s="796"/>
      <c r="S10" s="879">
        <v>15</v>
      </c>
    </row>
    <row s="7720" customFormat="1" customHeight="1" ht="15.75">
      <c r="A11" s="880"/>
      <c r="C11" s="297"/>
      <c r="D11" s="832"/>
      <c r="E11" s="2488" t="s">
        <v>587</v>
      </c>
      <c r="F11" s="2489"/>
      <c r="G11" s="937" t="str">
        <f>IF(G8="","",INDEX(DIFFERENTIATION_UNMERGE_SYSTEM,MATCH(G8,DIFFERENTIATION_ID_DIFF,0)))</f>
        <v/>
      </c>
      <c r="H11" s="937" t="str">
        <f>IF(H8="","",INDEX(DIFFERENTIATION_UNMERGE_SYSTEM,MATCH(H8,DIFFERENTIATION_ID_DIFF,0)))</f>
        <v>без дифференциации</v>
      </c>
      <c r="I11" s="2248"/>
      <c r="R11" s="796"/>
      <c r="S11" s="879">
        <v>15</v>
      </c>
    </row>
    <row s="7720" customFormat="1" customHeight="1" ht="15.75">
      <c r="A12" s="880"/>
      <c r="C12" s="297"/>
      <c r="D12" s="2490" t="s">
        <v>324</v>
      </c>
      <c r="E12" s="2491"/>
      <c r="F12" s="2491"/>
      <c r="G12" s="1008"/>
      <c r="H12" s="1008"/>
      <c r="I12" s="2248"/>
      <c r="R12" s="796"/>
      <c r="S12" s="879">
        <v>15</v>
      </c>
    </row>
    <row customHeight="1" ht="35.699999999999996">
      <c r="C13" s="297"/>
      <c r="D13" s="882" t="s">
        <v>88</v>
      </c>
      <c r="E13" s="881" t="s">
        <v>326</v>
      </c>
      <c r="F13" s="881" t="s">
        <v>588</v>
      </c>
      <c r="G13" s="929" t="s">
        <v>327</v>
      </c>
      <c r="H13" s="875" t="s">
        <v>327</v>
      </c>
      <c r="I13" s="2248"/>
      <c r="S13" s="626">
        <v>34</v>
      </c>
    </row>
    <row customHeight="1" ht="15" hidden="1">
      <c r="C14" s="297"/>
      <c r="D14" s="714" t="s">
        <v>123</v>
      </c>
      <c r="E14" s="714" t="s">
        <v>103</v>
      </c>
      <c r="F14" s="714" t="s">
        <v>90</v>
      </c>
      <c r="G14" s="780" t="str">
        <f>G1&amp;".1"</f>
        <v>.1</v>
      </c>
      <c r="H14" s="780" t="str">
        <f>H1&amp;".1"</f>
        <v>4.1</v>
      </c>
      <c r="I14" s="410"/>
      <c r="S14" s="626">
        <v>0</v>
      </c>
    </row>
    <row customHeight="1" ht="15.75">
      <c r="A15" s="626"/>
      <c r="C15" s="647"/>
      <c r="D15" s="642">
        <v>1</v>
      </c>
      <c r="E15" s="2051" t="str">
        <f>TP_P_A</f>
        <v>Количество поданных заявок</v>
      </c>
      <c r="F15" s="642" t="s">
        <v>1136</v>
      </c>
      <c r="G15" s="806"/>
      <c r="H15" s="806"/>
      <c r="I15" s="3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6">
        <v>15</v>
      </c>
    </row>
    <row customHeight="1" ht="15.75">
      <c r="A16" s="626"/>
      <c r="C16" s="647"/>
      <c r="D16" s="642">
        <v>2</v>
      </c>
      <c r="E16" s="2051" t="str">
        <f>TP_P_B</f>
        <v>Количество рассмотренных заявок</v>
      </c>
      <c r="F16" s="642" t="s">
        <v>1136</v>
      </c>
      <c r="G16" s="806"/>
      <c r="H16" s="806"/>
      <c r="I16" s="3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6">
        <v>15</v>
      </c>
    </row>
    <row customHeight="1" ht="77.7">
      <c r="A17" s="626"/>
      <c r="C17" s="647"/>
      <c r="D17" s="642">
        <v>3</v>
      </c>
      <c r="E17" s="20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2" t="s">
        <v>1136</v>
      </c>
      <c r="G17" s="806"/>
      <c r="H17" s="806"/>
      <c r="I17" s="329" t="str">
        <f>TP_P_NOTE_V</f>
        <v>Указывается количество заявок с решением об отказе в течение отчетного квартала.</v>
      </c>
      <c r="S17" s="626">
        <v>74</v>
      </c>
    </row>
    <row customHeight="1" ht="54.75">
      <c r="A18" s="626"/>
      <c r="C18" s="647"/>
      <c r="D18" s="642">
        <v>4</v>
      </c>
      <c r="E18" s="2051" t="str">
        <f>TP_P_V_1</f>
        <v>Причины отказа в заключении договора о подключении (технологическом присоединении) к системе теплоснабжения</v>
      </c>
      <c r="F18" s="642" t="s">
        <v>330</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51" t="str">
        <f>TP_P_G</f>
        <v>Резерв мощности источников тепловой энергии, входящих в систему теплоснабжения, в течение одного квартала, в том числе:</v>
      </c>
      <c r="F19" s="642" t="str">
        <f>IF(TEMPLATE_SPHERE="HEAT","Гкал/час","тыс. куб. м/сутки")</f>
        <v>Гкал/час</v>
      </c>
      <c r="G19" s="808">
        <f>SUM(G20:G22)</f>
        <v>0</v>
      </c>
      <c r="H19" s="808">
        <f>SUM(H20:H22)</f>
        <v>0</v>
      </c>
      <c r="I19" s="32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6">
        <v>57</v>
      </c>
    </row>
    <row customHeight="1" ht="15" hidden="1">
      <c r="D20" s="630" t="s">
        <v>1137</v>
      </c>
      <c r="E20" s="809"/>
      <c r="F20" s="630"/>
      <c r="G20" s="630"/>
      <c r="H20" s="630"/>
      <c r="I20" s="1884"/>
      <c r="S20" s="626">
        <v>0</v>
      </c>
    </row>
    <row customHeight="1" ht="29.25">
      <c r="C21" s="572"/>
      <c r="D21" s="660" t="s">
        <v>337</v>
      </c>
      <c r="E21" s="791"/>
      <c r="F21" s="1882" t="str">
        <f>IF(TEMPLATE_SPHERE="HEAT","Гкал/час","тыс. куб. м/сутки")</f>
        <v>Гкал/час</v>
      </c>
      <c r="G21" s="801"/>
      <c r="H21" s="801"/>
      <c r="I21" s="22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6">
        <v>28</v>
      </c>
    </row>
    <row customHeight="1" ht="15.75">
      <c r="A22" s="626"/>
      <c r="C22" s="626"/>
      <c r="D22" s="468"/>
      <c r="E22" s="701" t="s">
        <v>1138</v>
      </c>
      <c r="F22" s="693"/>
      <c r="G22" s="693"/>
      <c r="H22" s="693"/>
      <c r="I22" s="2292"/>
      <c r="R22" s="626"/>
      <c r="S22" s="626">
        <v>15</v>
      </c>
    </row>
    <row customHeight="1" ht="22.5" hidden="1">
      <c r="A23" s="570" t="s">
        <v>82</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E7BAE-9BFC-D1B5-2706-0.FBD5818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429" width="9.140625" hidden="1" customWidth="1"/>
    <col min="2" max="2" style="7669" width="9.140625" hidden="1" customWidth="1"/>
    <col min="3" max="3" style="7739" width="3.00390625" customWidth="1"/>
    <col min="4" max="4" style="7720" width="6.00390625" customWidth="1"/>
    <col min="5" max="6" style="7720" width="64.00390625" customWidth="1"/>
    <col min="7" max="7" style="7720" width="140.00390625" customWidth="1"/>
    <col min="8" max="8" style="7720" width="10.00390625" customWidth="1"/>
    <col min="9" max="10" style="7672" width="10.00390625" customWidth="1"/>
    <col min="11" max="16" style="7720" width="10.00390625" customWidth="1"/>
    <col min="17" max="17" style="7720"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6"/>
      <c r="F5" s="2576"/>
      <c r="G5" s="2577"/>
      <c r="Q5" s="204">
        <v>28</v>
      </c>
    </row>
    <row s="7720" customFormat="1" customHeight="1" ht="18.75">
      <c r="A6" s="1003"/>
      <c r="B6" s="538"/>
      <c r="C6" s="497"/>
      <c r="D6" s="2578" t="str">
        <f>IF(org=0,"Не определено",org)</f>
        <v>ПАО "ТГК-1" филиал "Невский"</v>
      </c>
      <c r="E6" s="2579"/>
      <c r="F6" s="2579"/>
      <c r="G6" s="2580"/>
      <c r="I6" s="621"/>
      <c r="J6" s="621"/>
      <c r="Q6" s="879">
        <v>18</v>
      </c>
    </row>
    <row customHeight="1" ht="14.699999999999998">
      <c r="C7" s="217"/>
      <c r="D7" s="205"/>
      <c r="E7" s="216"/>
      <c r="F7" s="873"/>
      <c r="G7" s="314"/>
      <c r="Q7" s="204">
        <v>14</v>
      </c>
    </row>
    <row s="7720" customFormat="1" customHeight="1" ht="1.05">
      <c r="A8" s="1790"/>
      <c r="B8" s="1281"/>
      <c r="C8" s="497"/>
      <c r="D8" s="484"/>
      <c r="E8" s="510"/>
      <c r="F8" s="873"/>
      <c r="G8" s="314"/>
      <c r="I8" s="1745"/>
      <c r="J8" s="1745"/>
      <c r="Q8" s="1752">
        <v>1</v>
      </c>
    </row>
    <row customHeight="1" ht="14.699999999999998">
      <c r="C9" s="217"/>
      <c r="D9" s="2330" t="s">
        <v>324</v>
      </c>
      <c r="E9" s="2330"/>
      <c r="F9" s="2330"/>
      <c r="G9" s="2510" t="s">
        <v>325</v>
      </c>
      <c r="Q9" s="204">
        <v>14</v>
      </c>
    </row>
    <row customHeight="1" ht="24">
      <c r="C10" s="217"/>
      <c r="D10" s="226" t="s">
        <v>88</v>
      </c>
      <c r="E10" s="229" t="s">
        <v>326</v>
      </c>
      <c r="F10" s="229" t="s">
        <v>414</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9" t="s">
        <v>330</v>
      </c>
      <c r="G12" s="272"/>
      <c r="Q12" s="204">
        <v>62</v>
      </c>
    </row>
    <row customHeight="1" ht="24">
      <c r="A13" s="313"/>
      <c r="C13" s="217"/>
      <c r="D13" s="268" t="s">
        <v>1043</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330</v>
      </c>
      <c r="G13" s="272"/>
      <c r="Q13" s="204">
        <v>23</v>
      </c>
    </row>
    <row customHeight="1" ht="14.699999999999998">
      <c r="A14" s="313"/>
      <c r="C14" s="217"/>
      <c r="D14" s="268" t="s">
        <v>1079</v>
      </c>
      <c r="E14" s="316"/>
      <c r="F14" s="334"/>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1139</v>
      </c>
      <c r="F15" s="322"/>
      <c r="G15" s="2292"/>
      <c r="Q15" s="204">
        <v>15</v>
      </c>
    </row>
    <row customHeight="1" ht="14.699999999999998">
      <c r="A16" s="313"/>
      <c r="C16" s="217"/>
      <c r="D16" s="268" t="s">
        <v>1045</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9" t="s">
        <v>330</v>
      </c>
      <c r="G16" s="458"/>
      <c r="Q16" s="204">
        <v>14</v>
      </c>
    </row>
    <row customHeight="1" ht="14.699999999999998">
      <c r="A17" s="313"/>
      <c r="C17" s="217"/>
      <c r="D17" s="268" t="s">
        <v>1087</v>
      </c>
      <c r="E17" s="316"/>
      <c r="F17" s="506"/>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4">
        <v>14</v>
      </c>
    </row>
    <row s="7720" customFormat="1" customHeight="1" ht="22.049999999999997">
      <c r="A18" s="464"/>
      <c r="B18" s="267"/>
      <c r="C18" s="428"/>
      <c r="D18" s="468"/>
      <c r="E18" s="470" t="s">
        <v>1140</v>
      </c>
      <c r="F18" s="459"/>
      <c r="G18" s="2292"/>
      <c r="I18" s="471"/>
      <c r="J18" s="471"/>
      <c r="Q18" s="463">
        <v>21</v>
      </c>
    </row>
    <row s="7720" customFormat="1" customHeight="1" ht="256.5" hidden="1">
      <c r="A19" s="464"/>
      <c r="B19" s="538"/>
      <c r="C19" s="497"/>
      <c r="D19" s="1005" t="s">
        <v>1047</v>
      </c>
      <c r="E19" s="1004" t="s">
        <v>1141</v>
      </c>
      <c r="F19" s="506"/>
      <c r="G19" s="458" t="s">
        <v>1142</v>
      </c>
      <c r="I19" s="621"/>
      <c r="J19" s="621"/>
      <c r="Q19" s="879">
        <v>0</v>
      </c>
    </row>
    <row s="7720" customFormat="1" customHeight="1" ht="14.699999999999998">
      <c r="A20" s="464"/>
      <c r="B20" s="267"/>
      <c r="C20" s="428"/>
      <c r="D20" s="1006">
        <v>2</v>
      </c>
      <c r="E20" s="451" t="s">
        <v>1143</v>
      </c>
      <c r="F20" s="319" t="s">
        <v>330</v>
      </c>
      <c r="G20" s="458"/>
      <c r="I20" s="471"/>
      <c r="J20" s="471"/>
      <c r="Q20" s="463">
        <v>14</v>
      </c>
    </row>
    <row s="7720" customFormat="1" customHeight="1" ht="18.75" hidden="1">
      <c r="A21" s="464"/>
      <c r="B21" s="267"/>
      <c r="C21" s="428"/>
      <c r="D21" s="454" t="s">
        <v>658</v>
      </c>
      <c r="E21" s="453"/>
      <c r="F21" s="452"/>
      <c r="G21" s="462"/>
      <c r="H21" s="455"/>
      <c r="I21" s="471"/>
      <c r="J21" s="471"/>
      <c r="Q21" s="463">
        <v>0</v>
      </c>
    </row>
    <row customHeight="1" ht="15.75">
      <c r="A22" s="313"/>
      <c r="C22" s="217"/>
      <c r="D22" s="230"/>
      <c r="E22" s="324" t="s">
        <v>346</v>
      </c>
      <c r="F22" s="459"/>
      <c r="G22" s="460"/>
      <c r="Q22" s="204">
        <v>15</v>
      </c>
    </row>
    <row s="7720" customFormat="1" customHeight="1" ht="22.5" hidden="1">
      <c r="A23" s="464"/>
      <c r="B23" s="1281"/>
      <c r="C23" s="497"/>
      <c r="D23" s="1794" t="s">
        <v>103</v>
      </c>
      <c r="E23" s="318" t="s">
        <v>1144</v>
      </c>
      <c r="F23" s="1791" t="s">
        <v>330</v>
      </c>
      <c r="G23" s="466"/>
      <c r="I23" s="1745"/>
      <c r="J23" s="1745"/>
      <c r="Q23" s="1752">
        <v>0</v>
      </c>
    </row>
    <row s="7720" customFormat="1" customHeight="1" ht="14.25" hidden="1">
      <c r="A24" s="464"/>
      <c r="B24" s="1281"/>
      <c r="C24" s="497"/>
      <c r="D24" s="1794" t="s">
        <v>730</v>
      </c>
      <c r="E24" s="1793" t="s">
        <v>1145</v>
      </c>
      <c r="F24" s="1791" t="s">
        <v>330</v>
      </c>
      <c r="G24" s="458"/>
      <c r="I24" s="1745"/>
      <c r="J24" s="1745"/>
      <c r="Q24" s="1752">
        <v>0</v>
      </c>
    </row>
    <row s="7720" customFormat="1" customHeight="1" ht="14.25" hidden="1">
      <c r="A25" s="464"/>
      <c r="B25" s="1281"/>
      <c r="C25" s="497"/>
      <c r="D25" s="1794" t="s">
        <v>733</v>
      </c>
      <c r="E25" s="316"/>
      <c r="F25" s="506"/>
      <c r="G25" s="2290" t="s">
        <v>1146</v>
      </c>
      <c r="I25" s="1745"/>
      <c r="J25" s="1745"/>
      <c r="Q25" s="1752">
        <v>0</v>
      </c>
    </row>
    <row s="7720" customFormat="1" customHeight="1" ht="22.5" hidden="1">
      <c r="A26" s="464"/>
      <c r="B26" s="1281"/>
      <c r="C26" s="497"/>
      <c r="D26" s="468"/>
      <c r="E26" s="470" t="s">
        <v>1147</v>
      </c>
      <c r="F26" s="459"/>
      <c r="G26" s="2292"/>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82</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897C2-16CC-89DC-F381-0.DA07A71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894" width="9.140625" hidden="1" customWidth="1"/>
    <col min="2" max="2" style="7669" width="9.140625" hidden="1" customWidth="1"/>
    <col min="3" max="3" style="7739" width="3.00390625" customWidth="1"/>
    <col min="4" max="4" style="7720" width="6.00390625" customWidth="1"/>
    <col min="5" max="5" style="7720" width="63.00390625" customWidth="1"/>
    <col min="6" max="6" style="7720" width="1.7109375" hidden="1" customWidth="1"/>
    <col min="7" max="8" style="7720" width="35.00390625" customWidth="1"/>
    <col min="9" max="9" style="7720" width="91.00390625" customWidth="1"/>
    <col min="10" max="10" style="7720" width="68.00390625" customWidth="1"/>
    <col min="11" max="12" style="7672" width="10.00390625" customWidth="1"/>
    <col min="13" max="13" style="7720" width="10.57421875" hidden="1"/>
  </cols>
  <sheetData>
    <row customHeight="1" ht="22.5" hidden="1">
      <c r="M1" s="204" t="s">
        <v>14</v>
      </c>
    </row>
    <row s="7720" customFormat="1" customHeight="1" ht="18.75" hidden="1">
      <c r="A2" s="1804"/>
      <c r="B2" s="1281"/>
      <c r="C2" s="1851" t="s">
        <v>104</v>
      </c>
      <c r="D2" s="1794"/>
      <c r="E2" s="320"/>
      <c r="F2" s="1791"/>
      <c r="G2" s="1791" t="s">
        <v>330</v>
      </c>
      <c r="H2" s="1282"/>
      <c r="K2" s="1745"/>
      <c r="L2" s="1745"/>
      <c r="M2" s="1752">
        <v>0</v>
      </c>
    </row>
    <row s="7720" customFormat="1" customHeight="1" ht="14.25" hidden="1">
      <c r="A3" s="1483"/>
      <c r="B3" s="1281"/>
      <c r="C3" s="465"/>
      <c r="K3" s="1745"/>
      <c r="L3" s="1745"/>
      <c r="M3" s="1752">
        <v>0</v>
      </c>
    </row>
    <row s="7720" customFormat="1" customHeight="1" ht="18.75" hidden="1">
      <c r="A4" s="1804"/>
      <c r="B4" s="1281"/>
      <c r="C4" s="1851" t="s">
        <v>104</v>
      </c>
      <c r="D4" s="1794"/>
      <c r="E4" s="326" t="s">
        <v>1148</v>
      </c>
      <c r="F4" s="1791"/>
      <c r="G4" s="378"/>
      <c r="H4" s="1791" t="s">
        <v>330</v>
      </c>
      <c r="K4" s="1745"/>
      <c r="L4" s="1745"/>
      <c r="M4" s="1752">
        <v>0</v>
      </c>
    </row>
    <row s="7720" customFormat="1" customHeight="1" ht="14.25" hidden="1">
      <c r="A5" s="1483"/>
      <c r="B5" s="1281"/>
      <c r="C5" s="465"/>
      <c r="K5" s="1745"/>
      <c r="L5" s="1745"/>
      <c r="M5" s="1752">
        <v>0</v>
      </c>
    </row>
    <row s="7720" customFormat="1" customHeight="1" ht="18.75" hidden="1">
      <c r="A6" s="1804"/>
      <c r="B6" s="1281"/>
      <c r="C6" s="1851" t="s">
        <v>104</v>
      </c>
      <c r="D6" s="1794"/>
      <c r="E6" s="327" t="s">
        <v>1149</v>
      </c>
      <c r="F6" s="1791"/>
      <c r="G6" s="378"/>
      <c r="H6" s="1791" t="s">
        <v>330</v>
      </c>
      <c r="K6" s="1745"/>
      <c r="L6" s="1745"/>
      <c r="M6" s="1752">
        <v>0</v>
      </c>
    </row>
    <row s="7720" customFormat="1" customHeight="1" ht="14.25" hidden="1">
      <c r="A7" s="1483"/>
      <c r="B7" s="1281"/>
      <c r="C7" s="465"/>
      <c r="K7" s="1745"/>
      <c r="L7" s="1745"/>
      <c r="M7" s="1752">
        <v>0</v>
      </c>
    </row>
    <row s="7720" customFormat="1" customHeight="1" ht="18.75" hidden="1">
      <c r="A8" s="1804"/>
      <c r="B8" s="1281"/>
      <c r="C8" s="1851" t="s">
        <v>104</v>
      </c>
      <c r="D8" s="1794"/>
      <c r="E8" s="327" t="s">
        <v>1150</v>
      </c>
      <c r="F8" s="1791"/>
      <c r="G8" s="378"/>
      <c r="H8" s="1791" t="s">
        <v>330</v>
      </c>
      <c r="K8" s="1745"/>
      <c r="L8" s="1745"/>
      <c r="M8" s="1752">
        <v>0</v>
      </c>
    </row>
    <row s="7720" customFormat="1" customHeight="1" ht="14.25" hidden="1">
      <c r="A9" s="1483"/>
      <c r="B9" s="1281"/>
      <c r="C9" s="465"/>
      <c r="K9" s="1745"/>
      <c r="L9" s="1745"/>
      <c r="M9" s="1752">
        <v>0</v>
      </c>
    </row>
    <row s="7720" customFormat="1" customHeight="1" ht="18.75" hidden="1">
      <c r="A10" s="1804"/>
      <c r="B10" s="1281"/>
      <c r="C10" s="1851" t="s">
        <v>104</v>
      </c>
      <c r="D10" s="1794"/>
      <c r="E10" s="327" t="s">
        <v>1151</v>
      </c>
      <c r="F10" s="1791"/>
      <c r="G10" s="1795"/>
      <c r="H10" s="1791" t="s">
        <v>330</v>
      </c>
      <c r="K10" s="1745"/>
      <c r="L10" s="1745" t="s">
        <v>1152</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6"/>
      <c r="F14" s="2576"/>
      <c r="G14" s="2576"/>
      <c r="H14" s="2577"/>
      <c r="J14" s="1752"/>
      <c r="M14" s="204">
        <v>28</v>
      </c>
    </row>
    <row s="7720" customFormat="1" customHeight="1" ht="14.699999999999998">
      <c r="A15" s="1483"/>
      <c r="B15" s="1281"/>
      <c r="C15" s="497"/>
      <c r="D15" s="2578" t="str">
        <f>IF(org=0,"Не определено",org)</f>
        <v>ПАО "ТГК-1" филиал "Невский"</v>
      </c>
      <c r="E15" s="2579"/>
      <c r="F15" s="2579"/>
      <c r="G15" s="2579"/>
      <c r="H15" s="2580"/>
      <c r="J15" s="973"/>
      <c r="K15" s="1745"/>
      <c r="L15" s="1745"/>
      <c r="M15" s="1752">
        <v>14</v>
      </c>
    </row>
    <row customHeight="1" ht="14.699999999999998">
      <c r="C16" s="217"/>
      <c r="D16" s="205"/>
      <c r="E16" s="216"/>
      <c r="F16" s="216"/>
      <c r="G16" s="216"/>
      <c r="H16" s="873"/>
      <c r="I16" s="314"/>
      <c r="M16" s="204">
        <v>14</v>
      </c>
    </row>
    <row s="7720" customFormat="1" customHeight="1" ht="14.25" hidden="1">
      <c r="A17" s="1483"/>
      <c r="B17" s="1281"/>
      <c r="C17" s="497"/>
      <c r="D17" s="484"/>
      <c r="E17" s="510"/>
      <c r="F17" s="510"/>
      <c r="G17" s="510"/>
      <c r="H17" s="873"/>
      <c r="I17" s="314"/>
      <c r="K17" s="1745"/>
      <c r="L17" s="1745"/>
      <c r="M17" s="1752">
        <v>0</v>
      </c>
    </row>
    <row customHeight="1" ht="22.049999999999997">
      <c r="C18" s="217"/>
      <c r="D18" s="2330" t="s">
        <v>324</v>
      </c>
      <c r="E18" s="2330"/>
      <c r="F18" s="2330"/>
      <c r="G18" s="2330"/>
      <c r="H18" s="2330"/>
      <c r="I18" s="2510" t="s">
        <v>325</v>
      </c>
      <c r="M18" s="204">
        <v>21</v>
      </c>
    </row>
    <row customHeight="1" ht="22.049999999999997">
      <c r="C19" s="217"/>
      <c r="D19" s="226" t="s">
        <v>88</v>
      </c>
      <c r="E19" s="229" t="s">
        <v>326</v>
      </c>
      <c r="F19" s="229"/>
      <c r="G19" s="229" t="s">
        <v>327</v>
      </c>
      <c r="H19" s="229" t="s">
        <v>414</v>
      </c>
      <c r="I19" s="2510"/>
      <c r="M19" s="204">
        <v>21</v>
      </c>
    </row>
    <row customHeight="1" ht="12" hidden="1">
      <c r="C20" s="217"/>
      <c r="D20" s="208"/>
      <c r="E20" s="208"/>
      <c r="F20" s="208"/>
      <c r="G20" s="208"/>
      <c r="H20" s="208"/>
      <c r="I20" s="208"/>
      <c r="M20" s="204">
        <v>0</v>
      </c>
    </row>
    <row customHeight="1" ht="14.699999999999998">
      <c r="A21" s="1804"/>
      <c r="C21" s="217"/>
      <c r="D21" s="268">
        <v>1</v>
      </c>
      <c r="E21" s="2582" t="s">
        <v>1153</v>
      </c>
      <c r="F21" s="2582"/>
      <c r="G21" s="2582"/>
      <c r="H21" s="2582"/>
      <c r="I21" s="329"/>
      <c r="M21" s="204">
        <v>14</v>
      </c>
    </row>
    <row customHeight="1" ht="21">
      <c r="A22" s="1804"/>
      <c r="C22" s="217"/>
      <c r="D22" s="268" t="s">
        <v>1043</v>
      </c>
      <c r="E22" s="315" t="s">
        <v>1154</v>
      </c>
      <c r="F22" s="319"/>
      <c r="G22" s="1858"/>
      <c r="H22" s="319" t="s">
        <v>330</v>
      </c>
      <c r="I22" s="272" t="s">
        <v>1155</v>
      </c>
      <c r="M22" s="204">
        <v>20</v>
      </c>
    </row>
    <row customHeight="1" ht="60">
      <c r="A23" s="1804"/>
      <c r="C23" s="217"/>
      <c r="D23" s="268" t="s">
        <v>1045</v>
      </c>
      <c r="E23" s="315" t="s">
        <v>1156</v>
      </c>
      <c r="F23" s="319"/>
      <c r="G23" s="378"/>
      <c r="H23" s="334"/>
      <c r="I23" s="379" t="s">
        <v>1157</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9"/>
      <c r="G24" s="319" t="s">
        <v>330</v>
      </c>
      <c r="H24" s="334"/>
      <c r="I24" s="380" t="s">
        <v>653</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377"/>
      <c r="M25" s="204">
        <v>46</v>
      </c>
    </row>
    <row customHeight="1" ht="14.699999999999998">
      <c r="A26" s="1804"/>
      <c r="C26" s="217"/>
      <c r="D26" s="268" t="s">
        <v>348</v>
      </c>
      <c r="E26" s="320"/>
      <c r="F26" s="319"/>
      <c r="G26" s="319" t="s">
        <v>330</v>
      </c>
      <c r="H26" s="334"/>
      <c r="I26" s="2290" t="s">
        <v>1158</v>
      </c>
      <c r="M26" s="204">
        <v>14</v>
      </c>
    </row>
    <row customHeight="1" ht="15.75">
      <c r="A27" s="1804" t="s">
        <v>123</v>
      </c>
      <c r="C27" s="217"/>
      <c r="D27" s="230"/>
      <c r="E27" s="324" t="s">
        <v>346</v>
      </c>
      <c r="F27" s="325"/>
      <c r="G27" s="325"/>
      <c r="H27" s="322"/>
      <c r="I27" s="2292"/>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377"/>
      <c r="M28" s="204">
        <v>38</v>
      </c>
    </row>
    <row customHeight="1" ht="21">
      <c r="A29" s="1804"/>
      <c r="C29" s="217"/>
      <c r="D29" s="268" t="s">
        <v>775</v>
      </c>
      <c r="E29" s="326" t="s">
        <v>1148</v>
      </c>
      <c r="F29" s="319"/>
      <c r="G29" s="378"/>
      <c r="H29" s="319" t="s">
        <v>330</v>
      </c>
      <c r="I29" s="2290" t="s">
        <v>1159</v>
      </c>
      <c r="M29" s="204">
        <v>20</v>
      </c>
    </row>
    <row customHeight="1" ht="15.75">
      <c r="A30" s="1804" t="s">
        <v>103</v>
      </c>
      <c r="C30" s="217"/>
      <c r="D30" s="230"/>
      <c r="E30" s="324" t="s">
        <v>346</v>
      </c>
      <c r="F30" s="325"/>
      <c r="G30" s="325"/>
      <c r="H30" s="322"/>
      <c r="I30" s="2292"/>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377"/>
      <c r="M31" s="204">
        <v>30</v>
      </c>
    </row>
    <row customHeight="1" ht="27.299999999999997">
      <c r="A32" s="1804"/>
      <c r="C32" s="217"/>
      <c r="D32" s="268" t="s">
        <v>337</v>
      </c>
      <c r="E32" s="25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4"/>
      <c r="G32" s="2524"/>
      <c r="H32" s="2524"/>
      <c r="I32" s="377"/>
      <c r="M32" s="204">
        <v>26</v>
      </c>
    </row>
    <row customHeight="1" ht="14.699999999999998">
      <c r="A33" s="1804"/>
      <c r="C33" s="217"/>
      <c r="D33" s="268" t="s">
        <v>1160</v>
      </c>
      <c r="E33" s="327" t="s">
        <v>1149</v>
      </c>
      <c r="F33" s="319"/>
      <c r="G33" s="378"/>
      <c r="H33" s="319" t="s">
        <v>330</v>
      </c>
      <c r="I33" s="2290" t="s">
        <v>1161</v>
      </c>
      <c r="M33" s="204">
        <v>14</v>
      </c>
    </row>
    <row customHeight="1" ht="15.75">
      <c r="A34" s="1804" t="s">
        <v>90</v>
      </c>
      <c r="C34" s="217"/>
      <c r="D34" s="230"/>
      <c r="E34" s="325" t="s">
        <v>346</v>
      </c>
      <c r="F34" s="321"/>
      <c r="G34" s="321"/>
      <c r="H34" s="322"/>
      <c r="I34" s="2292"/>
      <c r="M34" s="204">
        <v>15</v>
      </c>
    </row>
    <row customHeight="1" ht="25.2">
      <c r="A35" s="1804"/>
      <c r="C35" s="217"/>
      <c r="D35" s="268" t="s">
        <v>903</v>
      </c>
      <c r="E35" s="25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4"/>
      <c r="G35" s="2524"/>
      <c r="H35" s="2524"/>
      <c r="I35" s="377"/>
      <c r="M35" s="204">
        <v>24</v>
      </c>
    </row>
    <row customHeight="1" ht="14.699999999999998">
      <c r="A36" s="1804"/>
      <c r="C36" s="217"/>
      <c r="D36" s="268" t="s">
        <v>1162</v>
      </c>
      <c r="E36" s="327" t="s">
        <v>1150</v>
      </c>
      <c r="F36" s="319"/>
      <c r="G36" s="378"/>
      <c r="H36" s="319" t="s">
        <v>330</v>
      </c>
      <c r="I36" s="2264" t="s">
        <v>1163</v>
      </c>
      <c r="M36" s="204">
        <v>14</v>
      </c>
    </row>
    <row customHeight="1" ht="15.75">
      <c r="A37" s="1804" t="s">
        <v>91</v>
      </c>
      <c r="C37" s="217"/>
      <c r="D37" s="230"/>
      <c r="E37" s="325" t="s">
        <v>346</v>
      </c>
      <c r="F37" s="321"/>
      <c r="G37" s="321"/>
      <c r="H37" s="322"/>
      <c r="I37" s="2264"/>
      <c r="M37" s="204">
        <v>15</v>
      </c>
    </row>
    <row customHeight="1" ht="27.299999999999997">
      <c r="A38" s="1804"/>
      <c r="C38" s="217"/>
      <c r="D38" s="268" t="s">
        <v>904</v>
      </c>
      <c r="E38" s="25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4"/>
      <c r="G38" s="2524"/>
      <c r="H38" s="2524"/>
      <c r="I38" s="377"/>
      <c r="M38" s="204">
        <v>26</v>
      </c>
    </row>
    <row customHeight="1" ht="14.699999999999998">
      <c r="A39" s="1804"/>
      <c r="C39" s="217"/>
      <c r="D39" s="268" t="s">
        <v>905</v>
      </c>
      <c r="E39" s="327" t="s">
        <v>1151</v>
      </c>
      <c r="F39" s="319"/>
      <c r="G39" s="328"/>
      <c r="H39" s="319" t="s">
        <v>330</v>
      </c>
      <c r="I39" s="2290" t="s">
        <v>1164</v>
      </c>
      <c r="L39" s="276" t="s">
        <v>1152</v>
      </c>
      <c r="M39" s="204">
        <v>14</v>
      </c>
    </row>
    <row customHeight="1" ht="15.75">
      <c r="A40" s="1804" t="s">
        <v>124</v>
      </c>
      <c r="C40" s="217"/>
      <c r="D40" s="230"/>
      <c r="E40" s="325" t="s">
        <v>346</v>
      </c>
      <c r="F40" s="321"/>
      <c r="G40" s="321"/>
      <c r="H40" s="322"/>
      <c r="I40" s="2292"/>
      <c r="M40" s="204">
        <v>15</v>
      </c>
    </row>
    <row s="8221" customFormat="1" customHeight="1" ht="3">
      <c r="A41" s="1804"/>
      <c r="K41" s="317"/>
      <c r="L41" s="317"/>
      <c r="M41" s="261">
        <v>3</v>
      </c>
    </row>
    <row customHeight="1" ht="26.25">
      <c r="D42" s="1802" t="s">
        <v>825</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6"/>
      <c r="G42" s="2406"/>
      <c r="H42" s="2406"/>
      <c r="I42" s="2406"/>
      <c r="M42" s="204">
        <v>25</v>
      </c>
    </row>
    <row customHeight="1" ht="22.5" hidden="1">
      <c r="A43" s="1483" t="s">
        <v>82</v>
      </c>
      <c r="B43" s="267">
        <v>0</v>
      </c>
      <c r="C43" s="218">
        <v>3</v>
      </c>
      <c r="D43" s="204">
        <v>6</v>
      </c>
      <c r="E43" s="204">
        <v>63</v>
      </c>
      <c r="F43" s="204">
        <v>0</v>
      </c>
      <c r="G43" s="204">
        <v>35</v>
      </c>
      <c r="H43" s="204">
        <v>35</v>
      </c>
      <c r="I43" s="204">
        <v>91</v>
      </c>
      <c r="J43" s="204">
        <v>68</v>
      </c>
      <c r="K43" s="276">
        <v>10</v>
      </c>
      <c r="L43" s="276">
        <v>10</v>
      </c>
      <c r="M43" s="20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159BB-BC6F-BB11-422D-0.57F4FDBC}" mc:Ignorable="x14ac xr xr2 xr3">
  <sheetPr>
    <tabColor theme="6" tint="0.4"/>
  </sheetPr>
  <dimension ref="A1:AH342"/>
  <sheetViews>
    <sheetView topLeftCell="A1" showGridLines="0" zoomScale="90" workbookViewId="0">
      <selection activeCell="M278" sqref="M278:M283"/>
    </sheetView>
  </sheetViews>
  <sheetFormatPr defaultColWidth="10.57421875" customHeight="1" defaultRowHeight="14.25"/>
  <cols>
    <col min="1" max="2" style="7784" width="25.140625" hidden="1" customWidth="1"/>
    <col min="3" max="3" style="7785" width="9.140625" hidden="1" customWidth="1"/>
    <col min="4" max="4" style="7739" width="3.00390625" customWidth="1"/>
    <col min="5" max="5" style="7720" width="6.00390625" customWidth="1"/>
    <col min="6" max="6" style="7720" width="46.7109375" customWidth="1"/>
    <col min="7" max="7" style="7720" width="35.00390625" customWidth="1"/>
    <col min="8" max="8" style="7720" width="3.00390625" customWidth="1"/>
    <col min="9" max="10" style="7720" width="11.00390625" customWidth="1"/>
    <col min="11" max="12" style="7720" width="35.00390625" customWidth="1"/>
    <col min="13" max="13" style="7720" width="84.00390625" customWidth="1"/>
    <col min="14" max="14" style="7720" width="10.00390625" customWidth="1"/>
    <col min="15" max="16" style="7672" width="10.00390625" customWidth="1"/>
    <col min="17" max="33" style="7720" width="10.00390625" customWidth="1"/>
    <col min="34" max="34" style="7720" width="10.57421875" hidden="1"/>
  </cols>
  <sheetData>
    <row s="7720" customFormat="1" customHeight="1" ht="22.5" hidden="1">
      <c r="A1" s="1900"/>
      <c r="B1" s="1900"/>
      <c r="C1" s="490"/>
      <c r="D1" s="465"/>
      <c r="N1" s="1757">
        <f>_xlfn.IFERROR(MATCH("метод экономически обоснованных расходов (затрат)",OFFER_METHOD,0),0)</f>
        <v>0</v>
      </c>
      <c r="O1" s="1745"/>
      <c r="P1" s="1745"/>
      <c r="T1" s="952"/>
      <c r="AG1" s="376"/>
      <c r="AH1" s="1752" t="s">
        <v>14</v>
      </c>
    </row>
    <row s="7720" customFormat="1" customHeight="1" ht="18.75" hidden="1">
      <c r="A2" s="1901" t="s">
        <v>170</v>
      </c>
      <c r="B2" s="1901" t="s">
        <v>171</v>
      </c>
      <c r="C2" s="490"/>
      <c r="D2" s="465"/>
      <c r="E2" s="1152"/>
      <c r="F2" s="1152"/>
      <c r="G2" s="2548" t="str">
        <f>INDEX(PT_DIFFERENTIATION_NTAR,MATCH(B2,PT_DIFFERENTIATION_NTAR_ID,0))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 s="1985"/>
      <c r="I2" s="1860"/>
      <c r="J2" s="1894"/>
      <c r="K2" s="1986"/>
      <c r="L2" s="1985" t="s">
        <v>330</v>
      </c>
      <c r="M2" s="1996"/>
      <c r="N2" s="455"/>
      <c r="O2" s="1745"/>
      <c r="P2" s="1745"/>
      <c r="AH2" s="1752">
        <v>0</v>
      </c>
    </row>
    <row s="7720" customFormat="1" customHeight="1" ht="18.75" hidden="1">
      <c r="A3" s="1901"/>
      <c r="B3" s="1901"/>
      <c r="C3" s="490" t="s">
        <v>1165</v>
      </c>
      <c r="D3" s="465"/>
      <c r="E3" s="1152"/>
      <c r="F3" s="1152"/>
      <c r="G3" s="2548"/>
      <c r="H3" s="1621"/>
      <c r="I3" s="772" t="s">
        <v>1166</v>
      </c>
      <c r="J3" s="692"/>
      <c r="K3" s="1621"/>
      <c r="L3" s="335"/>
      <c r="M3" s="1996"/>
      <c r="N3" s="455"/>
      <c r="O3" s="1745"/>
      <c r="P3" s="1745"/>
      <c r="AH3" s="1752">
        <v>0</v>
      </c>
    </row>
    <row s="7720" customFormat="1" customHeight="1" ht="14.25" hidden="1">
      <c r="A4" s="1900"/>
      <c r="B4" s="1900"/>
      <c r="C4" s="490"/>
      <c r="D4" s="465"/>
      <c r="N4" s="1757">
        <f>_xlfn.IFERROR(MATCH("метод экономически обоснованных расходов (затрат)",OFFER_METHOD,0),0)</f>
        <v>0</v>
      </c>
      <c r="O4" s="1745"/>
      <c r="P4" s="1745"/>
      <c r="T4" s="952"/>
      <c r="AG4" s="376"/>
      <c r="AH4" s="1752">
        <v>0</v>
      </c>
    </row>
    <row s="7720" customFormat="1" customHeight="1" ht="18.75" hidden="1">
      <c r="A5" s="1901" t="s">
        <v>170</v>
      </c>
      <c r="B5" s="1901" t="s">
        <v>171</v>
      </c>
      <c r="C5" s="490"/>
      <c r="D5" s="465"/>
      <c r="E5" s="1152"/>
      <c r="F5" s="1152"/>
      <c r="G5" s="2548" t="str">
        <f>INDEX(PT_DIFFERENTIATION_NTAR,MATCH(B5,PT_DIFFERENTIATION_NTAR_ID,0))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5" s="1985"/>
      <c r="I5" s="1860"/>
      <c r="J5" s="1894"/>
      <c r="K5" s="1899"/>
      <c r="L5" s="1985" t="s">
        <v>330</v>
      </c>
      <c r="M5" s="1996"/>
      <c r="N5" s="455"/>
      <c r="O5" s="1745"/>
      <c r="P5" s="1745"/>
      <c r="AH5" s="1752">
        <v>0</v>
      </c>
    </row>
    <row s="7720" customFormat="1" customHeight="1" ht="18.75" hidden="1">
      <c r="A6" s="1901"/>
      <c r="B6" s="1901"/>
      <c r="C6" s="490" t="s">
        <v>1167</v>
      </c>
      <c r="D6" s="465"/>
      <c r="E6" s="1152"/>
      <c r="F6" s="1152"/>
      <c r="G6" s="2548"/>
      <c r="H6" s="1621"/>
      <c r="I6" s="772" t="s">
        <v>1166</v>
      </c>
      <c r="J6" s="692"/>
      <c r="K6" s="1621"/>
      <c r="L6" s="335"/>
      <c r="M6" s="1996"/>
      <c r="N6" s="455"/>
      <c r="O6" s="1745"/>
      <c r="P6" s="1745"/>
      <c r="AH6" s="1752">
        <v>0</v>
      </c>
    </row>
    <row s="7720" customFormat="1" customHeight="1" ht="14.25" hidden="1">
      <c r="A7" s="1900"/>
      <c r="B7" s="1900"/>
      <c r="C7" s="490"/>
      <c r="D7" s="465"/>
      <c r="N7" s="1757">
        <f>_xlfn.IFERROR(MATCH("метод экономически обоснованных расходов (затрат)",OFFER_METHOD,0),0)</f>
        <v>0</v>
      </c>
      <c r="O7" s="1745"/>
      <c r="P7" s="1745"/>
      <c r="T7" s="952"/>
      <c r="AG7" s="376"/>
      <c r="AH7" s="1752">
        <v>0</v>
      </c>
    </row>
    <row s="7720" customFormat="1" customHeight="1" ht="56.25" hidden="1">
      <c r="A8" s="1901"/>
      <c r="B8" s="1901"/>
      <c r="C8" s="490"/>
      <c r="D8" s="465"/>
      <c r="E8" s="1152"/>
      <c r="F8" s="1152"/>
      <c r="G8" s="1152"/>
      <c r="H8" s="1892"/>
      <c r="I8" s="1860"/>
      <c r="J8" s="1894"/>
      <c r="K8" s="1986"/>
      <c r="L8" s="1892" t="s">
        <v>330</v>
      </c>
      <c r="M8" s="1996"/>
      <c r="N8" s="455"/>
      <c r="O8" s="1745"/>
      <c r="P8" s="1745"/>
      <c r="AH8" s="1752">
        <v>0</v>
      </c>
    </row>
    <row customHeight="1" ht="14.25" hidden="1">
      <c r="T9" s="518"/>
      <c r="AG9" s="376"/>
      <c r="AH9" s="495">
        <v>0</v>
      </c>
    </row>
    <row s="7720" customFormat="1" customHeight="1" ht="56.25" hidden="1">
      <c r="A10" s="1901"/>
      <c r="B10" s="1901"/>
      <c r="C10" s="490"/>
      <c r="D10" s="465"/>
      <c r="E10" s="1152"/>
      <c r="F10" s="1152"/>
      <c r="G10" s="1152"/>
      <c r="H10" s="1891"/>
      <c r="I10" s="1860"/>
      <c r="J10" s="1894"/>
      <c r="K10" s="1899"/>
      <c r="L10" s="1892" t="s">
        <v>330</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6"/>
      <c r="G14" s="2586"/>
      <c r="H14" s="2586"/>
      <c r="I14" s="2586"/>
      <c r="J14" s="2586"/>
      <c r="K14" s="2586"/>
      <c r="L14" s="2586"/>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утверждении тарифов</v>
      </c>
      <c r="G16" s="2385" t="str">
        <f>IF(TITLE_DATE_PR_CHANGE="",IF(TITLE_DATE_PR="","",TITLE_DATE_PR),TITLE_DATE_PR_CHANGE)</f>
        <v>45777</v>
      </c>
      <c r="H16" s="2385"/>
      <c r="I16" s="2385"/>
      <c r="J16" s="2385"/>
      <c r="K16" s="2385"/>
      <c r="L16" s="2385"/>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утверждении тарифов</v>
      </c>
      <c r="G17" s="2372" t="str">
        <f>IF(TITLE_NUMBER_PR_CHANGE="",IF(TITLE_NUMBER_PR="","",TITLE_NUMBER_PR),TITLE_NUMBER_PR_CHANGE)</f>
        <v>33-01/80</v>
      </c>
      <c r="H17" s="2372"/>
      <c r="I17" s="2372"/>
      <c r="J17" s="2372"/>
      <c r="K17" s="2372"/>
      <c r="L17" s="2372"/>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324</v>
      </c>
      <c r="F19" s="2330"/>
      <c r="G19" s="2330"/>
      <c r="H19" s="2330"/>
      <c r="I19" s="2330"/>
      <c r="J19" s="2330"/>
      <c r="K19" s="2330"/>
      <c r="L19" s="2330"/>
      <c r="M19" s="2510" t="s">
        <v>325</v>
      </c>
      <c r="AH19" s="495">
        <v>21</v>
      </c>
    </row>
    <row customHeight="1" ht="22.049999999999997">
      <c r="D20" s="497"/>
      <c r="E20" s="2398" t="s">
        <v>88</v>
      </c>
      <c r="F20" s="2345" t="s">
        <v>135</v>
      </c>
      <c r="G20" s="2345" t="s">
        <v>136</v>
      </c>
      <c r="H20" s="2507" t="s">
        <v>1168</v>
      </c>
      <c r="I20" s="2508"/>
      <c r="J20" s="2554"/>
      <c r="K20" s="2345" t="s">
        <v>327</v>
      </c>
      <c r="L20" s="2345" t="s">
        <v>414</v>
      </c>
      <c r="M20" s="2510"/>
      <c r="AH20" s="495">
        <v>21</v>
      </c>
    </row>
    <row customHeight="1" ht="22.049999999999997">
      <c r="D21" s="497"/>
      <c r="E21" s="2400"/>
      <c r="F21" s="2346"/>
      <c r="G21" s="2346"/>
      <c r="H21" s="2339" t="s">
        <v>1169</v>
      </c>
      <c r="I21" s="2341"/>
      <c r="J21" s="229" t="s">
        <v>1170</v>
      </c>
      <c r="K21" s="2346"/>
      <c r="L21" s="2346"/>
      <c r="M21" s="2510"/>
      <c r="AH21" s="495">
        <v>21</v>
      </c>
    </row>
    <row customHeight="1" ht="12.75">
      <c r="D22" s="497"/>
      <c r="E22" s="402"/>
      <c r="F22" s="402"/>
      <c r="G22" s="402"/>
      <c r="H22" s="2588"/>
      <c r="I22" s="2588"/>
      <c r="J22" s="402"/>
      <c r="K22" s="402"/>
      <c r="L22" s="402"/>
      <c r="M22" s="402"/>
      <c r="AH22" s="495">
        <v>12</v>
      </c>
    </row>
    <row customHeight="1" ht="19.95">
      <c r="A23" s="1901"/>
      <c r="B23" s="1901"/>
      <c r="D23" s="497"/>
      <c r="E23" s="1987" t="s">
        <v>123</v>
      </c>
      <c r="F23" s="2589" t="str">
        <f>"Предлагаемый метод регулирования"&amp;IF(TEMPLATE_SPHERE="HEAT"," в сфере "&amp;TEMPLATE_SPHERE_RUS,"")</f>
        <v>Предлагаемый метод регулирования в сфере теплоснабжения</v>
      </c>
      <c r="G23" s="2590"/>
      <c r="H23" s="2582"/>
      <c r="I23" s="2582"/>
      <c r="J23" s="2582"/>
      <c r="K23" s="2590" t="s">
        <v>330</v>
      </c>
      <c r="L23" s="2582"/>
      <c r="M23" s="1890"/>
      <c r="N23" s="455"/>
      <c r="AH23" s="495">
        <v>19</v>
      </c>
    </row>
    <row customHeight="1" ht="60.75">
      <c r="A24" s="1901" t="s">
        <v>170</v>
      </c>
      <c r="B24" s="1901" t="s">
        <v>171</v>
      </c>
      <c r="D24" s="2587"/>
      <c r="E24" s="2325"/>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4" s="1983"/>
      <c r="I24" s="7735">
        <v>46023</v>
      </c>
      <c r="J24" s="7736">
        <v>46387</v>
      </c>
      <c r="K24" s="1986" t="s">
        <v>1171</v>
      </c>
      <c r="L24" s="1889" t="s">
        <v>330</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720" customFormat="1" customHeight="1" ht="18.75">
      <c r="A25" s="1901"/>
      <c r="B25" s="1901"/>
      <c r="C25" s="490" t="s">
        <v>1165</v>
      </c>
      <c r="D25" s="2587"/>
      <c r="E25" s="2325"/>
      <c r="F25" s="2591"/>
      <c r="G25" s="2548"/>
      <c r="H25" s="1621"/>
      <c r="I25" s="772" t="s">
        <v>1166</v>
      </c>
      <c r="J25" s="692"/>
      <c r="K25" s="1621"/>
      <c r="L25" s="335"/>
      <c r="M25" s="2291"/>
      <c r="N25" s="455"/>
      <c r="O25" s="1745"/>
      <c r="P25" s="1745"/>
      <c r="AH25" s="1752">
        <v>0</v>
      </c>
    </row>
    <row s="7720" customFormat="1" customHeight="1" ht="18.75">
      <c r="A26" s="3785" t="s">
        <v>170</v>
      </c>
      <c r="B26" s="3785" t="s">
        <v>179</v>
      </c>
      <c r="C26" s="4861"/>
      <c r="D26" s="4862"/>
      <c r="E26" s="4863"/>
      <c r="F26" s="4863"/>
      <c r="G26" s="4864" t="str">
        <f>INDEX(PT_DIFFERENTIATION_NTAR,MATCH(B26,PT_DIFFERENTIATION_NTAR_ID,0))</f>
        <v>Тариф на тепловую энергию (мощность), 
поставляемую потребителям узла теплоснабжения ТЭЦ-5 ПАО "ТГК-1"</v>
      </c>
      <c r="H26" s="4865"/>
      <c r="I26" s="7735">
        <v>46023</v>
      </c>
      <c r="J26" s="7736">
        <v>46387</v>
      </c>
      <c r="K26" s="4866" t="s">
        <v>1171</v>
      </c>
      <c r="L26" s="4865" t="s">
        <v>330</v>
      </c>
      <c r="M26" s="4867"/>
      <c r="N26" s="4868"/>
      <c r="O26" s="3795"/>
      <c r="P26" s="3795"/>
      <c r="Q26" s="3796"/>
      <c r="R26" s="3796"/>
      <c r="S26" s="3796"/>
      <c r="T26" s="3796"/>
      <c r="U26" s="3796"/>
      <c r="V26" s="3796"/>
      <c r="W26" s="3796"/>
      <c r="X26" s="3796"/>
      <c r="Y26" s="3796"/>
      <c r="Z26" s="3796"/>
      <c r="AA26" s="3796"/>
      <c r="AB26" s="3796"/>
      <c r="AC26" s="3796"/>
      <c r="AD26" s="3796"/>
      <c r="AE26" s="3796"/>
      <c r="AF26" s="3796"/>
      <c r="AG26" s="3796"/>
      <c r="AH26" s="3796">
        <v>0</v>
      </c>
    </row>
    <row s="7720" customFormat="1" customHeight="1" ht="18.75">
      <c r="A27" s="3785"/>
      <c r="B27" s="3785"/>
      <c r="C27" s="4861" t="s">
        <v>1165</v>
      </c>
      <c r="D27" s="4862"/>
      <c r="E27" s="4863"/>
      <c r="F27" s="4863"/>
      <c r="G27" s="4864"/>
      <c r="H27" s="4869"/>
      <c r="I27" s="4870" t="s">
        <v>1166</v>
      </c>
      <c r="J27" s="4871"/>
      <c r="K27" s="4872"/>
      <c r="L27" s="4873"/>
      <c r="M27" s="4867"/>
      <c r="N27" s="4868"/>
      <c r="O27" s="3795"/>
      <c r="P27" s="3795"/>
      <c r="Q27" s="3796"/>
      <c r="R27" s="3796"/>
      <c r="S27" s="3796"/>
      <c r="T27" s="3796"/>
      <c r="U27" s="3796"/>
      <c r="V27" s="3796"/>
      <c r="W27" s="3796"/>
      <c r="X27" s="3796"/>
      <c r="Y27" s="3796"/>
      <c r="Z27" s="3796"/>
      <c r="AA27" s="3796"/>
      <c r="AB27" s="3796"/>
      <c r="AC27" s="3796"/>
      <c r="AD27" s="3796"/>
      <c r="AE27" s="3796"/>
      <c r="AF27" s="3796"/>
      <c r="AG27" s="3796"/>
      <c r="AH27" s="3796">
        <v>0</v>
      </c>
    </row>
    <row customHeight="1" ht="0.75">
      <c r="A28" s="1901"/>
      <c r="B28" s="1901"/>
      <c r="C28" s="490" t="s">
        <v>1172</v>
      </c>
      <c r="D28" s="2587"/>
      <c r="E28" s="2325"/>
      <c r="F28" s="2504"/>
      <c r="G28" s="521"/>
      <c r="H28" s="1621"/>
      <c r="I28" s="516"/>
      <c r="J28" s="470"/>
      <c r="K28" s="1621"/>
      <c r="L28" s="322"/>
      <c r="M28" s="2291"/>
      <c r="N28" s="455"/>
      <c r="AH28" s="495">
        <v>0</v>
      </c>
    </row>
    <row s="7720" customFormat="1" customHeight="1" ht="45" hidden="1">
      <c r="A29" s="1901" t="s">
        <v>185</v>
      </c>
      <c r="B29" s="1901" t="s">
        <v>186</v>
      </c>
      <c r="C29" s="490"/>
      <c r="D29" s="2583"/>
      <c r="E29" s="2584"/>
      <c r="F29" s="2585"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548" t="str">
        <f>INDEX(PT_DIFFERENTIATION_NTAR,MATCH(B29,PT_DIFFERENTIATION_NTAR_ID,0))</f>
        <v/>
      </c>
      <c r="H29" s="1983"/>
      <c r="I29" s="1860"/>
      <c r="J29" s="1894"/>
      <c r="K29" s="1986"/>
      <c r="L29" s="1983" t="s">
        <v>330</v>
      </c>
      <c r="M29" s="2291"/>
      <c r="N29" s="455"/>
      <c r="O29" s="1745"/>
      <c r="P29" s="1745"/>
      <c r="AH29" s="1752">
        <v>0</v>
      </c>
    </row>
    <row s="7720" customFormat="1" customHeight="1" ht="18.75" hidden="1">
      <c r="A30" s="1901"/>
      <c r="B30" s="1901"/>
      <c r="C30" s="490" t="s">
        <v>1165</v>
      </c>
      <c r="D30" s="2583"/>
      <c r="E30" s="2584"/>
      <c r="F30" s="2585"/>
      <c r="G30" s="2548"/>
      <c r="H30" s="1621"/>
      <c r="I30" s="772" t="s">
        <v>1166</v>
      </c>
      <c r="J30" s="692"/>
      <c r="K30" s="1621"/>
      <c r="L30" s="335"/>
      <c r="M30" s="2291"/>
      <c r="N30" s="455"/>
      <c r="O30" s="1745"/>
      <c r="P30" s="1745"/>
      <c r="AH30" s="1752">
        <v>0</v>
      </c>
    </row>
    <row s="7720" customFormat="1" customHeight="1" ht="0.75" hidden="1">
      <c r="A31" s="1901"/>
      <c r="B31" s="1901"/>
      <c r="C31" s="490" t="s">
        <v>1172</v>
      </c>
      <c r="D31" s="2583"/>
      <c r="E31" s="2325"/>
      <c r="F31" s="2504"/>
      <c r="G31" s="521"/>
      <c r="H31" s="1621"/>
      <c r="I31" s="772"/>
      <c r="J31" s="692"/>
      <c r="K31" s="1621"/>
      <c r="L31" s="335"/>
      <c r="M31" s="2291"/>
      <c r="N31" s="455"/>
      <c r="O31" s="1745"/>
      <c r="P31" s="1745"/>
      <c r="AH31" s="1752">
        <v>0</v>
      </c>
    </row>
    <row s="7720" customFormat="1" customHeight="1" ht="45">
      <c r="A32" s="1901" t="s">
        <v>193</v>
      </c>
      <c r="B32" s="1901" t="s">
        <v>194</v>
      </c>
      <c r="C32" s="490"/>
      <c r="D32" s="2583"/>
      <c r="E32" s="2325"/>
      <c r="F32" s="2504"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548" t="str">
        <f>INDEX(PT_DIFFERENTIATION_NTAR,MATCH(B32,PT_DIFFERENTIATION_NTAR_ID,0))</f>
        <v>Тариф на теплоноситель, поставляемый потребителям узла теплоснабжения ТЭЦ-21 ПАО "ТГК-1"</v>
      </c>
      <c r="H32" s="1983"/>
      <c r="I32" s="7735">
        <v>46023</v>
      </c>
      <c r="J32" s="7736">
        <v>46387</v>
      </c>
      <c r="K32" s="1986" t="s">
        <v>1171</v>
      </c>
      <c r="L32" s="1983" t="s">
        <v>330</v>
      </c>
      <c r="M32" s="2291"/>
      <c r="N32" s="455"/>
      <c r="O32" s="1745"/>
      <c r="P32" s="1745"/>
      <c r="AH32" s="1752">
        <v>0</v>
      </c>
    </row>
    <row s="7720" customFormat="1" customHeight="1" ht="18.75">
      <c r="A33" s="1901"/>
      <c r="B33" s="1901"/>
      <c r="C33" s="490" t="s">
        <v>1165</v>
      </c>
      <c r="D33" s="2583"/>
      <c r="E33" s="2325"/>
      <c r="F33" s="2504"/>
      <c r="G33" s="2548"/>
      <c r="H33" s="1621"/>
      <c r="I33" s="772" t="s">
        <v>1166</v>
      </c>
      <c r="J33" s="692"/>
      <c r="K33" s="1621"/>
      <c r="L33" s="335"/>
      <c r="M33" s="2291"/>
      <c r="N33" s="455"/>
      <c r="O33" s="1745"/>
      <c r="P33" s="1745"/>
      <c r="AH33" s="1752">
        <v>0</v>
      </c>
    </row>
    <row s="7720" customFormat="1" customHeight="1" ht="0.75">
      <c r="A34" s="1901"/>
      <c r="B34" s="1901"/>
      <c r="C34" s="490" t="s">
        <v>1172</v>
      </c>
      <c r="D34" s="2583"/>
      <c r="E34" s="2325"/>
      <c r="F34" s="2504"/>
      <c r="G34" s="521"/>
      <c r="H34" s="1621"/>
      <c r="I34" s="772"/>
      <c r="J34" s="692"/>
      <c r="K34" s="1621"/>
      <c r="L34" s="335"/>
      <c r="M34" s="2291"/>
      <c r="N34" s="455"/>
      <c r="O34" s="1745"/>
      <c r="P34" s="1745"/>
      <c r="AH34" s="1752">
        <v>0</v>
      </c>
    </row>
    <row s="7720" customFormat="1" customHeight="1" ht="45" hidden="1">
      <c r="A35" s="1901" t="s">
        <v>199</v>
      </c>
      <c r="B35" s="1901" t="s">
        <v>200</v>
      </c>
      <c r="C35" s="490"/>
      <c r="D35" s="2583"/>
      <c r="E35" s="2325"/>
      <c r="F35" s="2504"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548" t="str">
        <f>INDEX(PT_DIFFERENTIATION_NTAR,MATCH(B35,PT_DIFFERENTIATION_NTAR_ID,0))</f>
        <v/>
      </c>
      <c r="H35" s="1983"/>
      <c r="I35" s="1860"/>
      <c r="J35" s="1894"/>
      <c r="K35" s="1986"/>
      <c r="L35" s="1983" t="s">
        <v>330</v>
      </c>
      <c r="M35" s="2291"/>
      <c r="N35" s="455"/>
      <c r="O35" s="1745"/>
      <c r="P35" s="1745"/>
      <c r="AH35" s="1752">
        <v>0</v>
      </c>
    </row>
    <row s="7720" customFormat="1" customHeight="1" ht="18.75" hidden="1">
      <c r="A36" s="1901"/>
      <c r="B36" s="1901"/>
      <c r="C36" s="490" t="s">
        <v>1165</v>
      </c>
      <c r="D36" s="2583"/>
      <c r="E36" s="2325"/>
      <c r="F36" s="2504"/>
      <c r="G36" s="2548"/>
      <c r="H36" s="1621"/>
      <c r="I36" s="772" t="s">
        <v>1166</v>
      </c>
      <c r="J36" s="692"/>
      <c r="K36" s="1621"/>
      <c r="L36" s="335"/>
      <c r="M36" s="2291"/>
      <c r="N36" s="455"/>
      <c r="O36" s="1745"/>
      <c r="P36" s="1745"/>
      <c r="AH36" s="1752">
        <v>0</v>
      </c>
    </row>
    <row s="7720" customFormat="1" customHeight="1" ht="0.75" hidden="1">
      <c r="A37" s="1901"/>
      <c r="B37" s="1901"/>
      <c r="C37" s="490" t="s">
        <v>1172</v>
      </c>
      <c r="D37" s="2583"/>
      <c r="E37" s="2325"/>
      <c r="F37" s="2504"/>
      <c r="G37" s="521"/>
      <c r="H37" s="1621"/>
      <c r="I37" s="772"/>
      <c r="J37" s="692"/>
      <c r="K37" s="1621"/>
      <c r="L37" s="335"/>
      <c r="M37" s="2291"/>
      <c r="N37" s="455"/>
      <c r="O37" s="1745"/>
      <c r="P37" s="1745"/>
      <c r="AH37" s="1752">
        <v>0</v>
      </c>
    </row>
    <row s="7720" customFormat="1" customHeight="1" ht="18.75" hidden="1">
      <c r="A38" s="1901" t="s">
        <v>205</v>
      </c>
      <c r="B38" s="1901" t="s">
        <v>206</v>
      </c>
      <c r="C38" s="490"/>
      <c r="D38" s="2583"/>
      <c r="E38" s="2325"/>
      <c r="F38" s="2504" t="str">
        <f>INDEX(PT_DIFFERENTIATION_VTAR,MATCH(A38,PT_DIFFERENTIATION_VTAR_ID,0))</f>
        <v>Тарифы на услуги по передаче тепловой энергии</v>
      </c>
      <c r="G38" s="2548" t="str">
        <f>INDEX(PT_DIFFERENTIATION_NTAR,MATCH(B38,PT_DIFFERENTIATION_NTAR_ID,0))</f>
        <v/>
      </c>
      <c r="H38" s="1983"/>
      <c r="I38" s="1860"/>
      <c r="J38" s="1894"/>
      <c r="K38" s="1986"/>
      <c r="L38" s="1983" t="s">
        <v>330</v>
      </c>
      <c r="M38" s="2291"/>
      <c r="N38" s="455"/>
      <c r="O38" s="1745"/>
      <c r="P38" s="1745"/>
      <c r="AH38" s="1752">
        <v>0</v>
      </c>
    </row>
    <row s="7720" customFormat="1" customHeight="1" ht="18.75" hidden="1">
      <c r="A39" s="1901"/>
      <c r="B39" s="1901"/>
      <c r="C39" s="490" t="s">
        <v>1165</v>
      </c>
      <c r="D39" s="2583"/>
      <c r="E39" s="2325"/>
      <c r="F39" s="2504"/>
      <c r="G39" s="2548"/>
      <c r="H39" s="1621"/>
      <c r="I39" s="772" t="s">
        <v>1166</v>
      </c>
      <c r="J39" s="692"/>
      <c r="K39" s="1621"/>
      <c r="L39" s="335"/>
      <c r="M39" s="2291"/>
      <c r="N39" s="455"/>
      <c r="O39" s="1745"/>
      <c r="P39" s="1745"/>
      <c r="AH39" s="1752">
        <v>0</v>
      </c>
    </row>
    <row s="7720" customFormat="1" customHeight="1" ht="0.75" hidden="1">
      <c r="A40" s="1901"/>
      <c r="B40" s="1901"/>
      <c r="C40" s="490" t="s">
        <v>1172</v>
      </c>
      <c r="D40" s="2583"/>
      <c r="E40" s="2325"/>
      <c r="F40" s="2504"/>
      <c r="G40" s="521"/>
      <c r="H40" s="1621"/>
      <c r="I40" s="772"/>
      <c r="J40" s="692"/>
      <c r="K40" s="1621"/>
      <c r="L40" s="335"/>
      <c r="M40" s="2291"/>
      <c r="N40" s="455"/>
      <c r="O40" s="1745"/>
      <c r="P40" s="1745"/>
      <c r="AH40" s="1752">
        <v>0</v>
      </c>
    </row>
    <row s="7720" customFormat="1" customHeight="1" ht="18.75" hidden="1">
      <c r="A41" s="1901" t="s">
        <v>211</v>
      </c>
      <c r="B41" s="1901" t="s">
        <v>212</v>
      </c>
      <c r="C41" s="490"/>
      <c r="D41" s="2583"/>
      <c r="E41" s="2325"/>
      <c r="F41" s="2504" t="str">
        <f>INDEX(PT_DIFFERENTIATION_VTAR,MATCH(A41,PT_DIFFERENTIATION_VTAR_ID,0))</f>
        <v>Тарифы на услуги по передаче теплоносителя</v>
      </c>
      <c r="G41" s="2548" t="str">
        <f>INDEX(PT_DIFFERENTIATION_NTAR,MATCH(B41,PT_DIFFERENTIATION_NTAR_ID,0))</f>
        <v/>
      </c>
      <c r="H41" s="1983"/>
      <c r="I41" s="1860"/>
      <c r="J41" s="1894"/>
      <c r="K41" s="1986"/>
      <c r="L41" s="1983" t="s">
        <v>330</v>
      </c>
      <c r="M41" s="2291"/>
      <c r="N41" s="455"/>
      <c r="O41" s="1745"/>
      <c r="P41" s="1745"/>
      <c r="AH41" s="1752">
        <v>0</v>
      </c>
    </row>
    <row s="7720" customFormat="1" customHeight="1" ht="18.75" hidden="1">
      <c r="A42" s="1901"/>
      <c r="B42" s="1901"/>
      <c r="C42" s="490" t="s">
        <v>1165</v>
      </c>
      <c r="D42" s="2583"/>
      <c r="E42" s="2325"/>
      <c r="F42" s="2504"/>
      <c r="G42" s="2548"/>
      <c r="H42" s="1621"/>
      <c r="I42" s="772" t="s">
        <v>1166</v>
      </c>
      <c r="J42" s="692"/>
      <c r="K42" s="1621"/>
      <c r="L42" s="335"/>
      <c r="M42" s="2291"/>
      <c r="N42" s="455"/>
      <c r="O42" s="1745"/>
      <c r="P42" s="1745"/>
      <c r="AH42" s="1752">
        <v>0</v>
      </c>
    </row>
    <row s="7720" customFormat="1" customHeight="1" ht="0.75" hidden="1">
      <c r="A43" s="1901"/>
      <c r="B43" s="1901"/>
      <c r="C43" s="490" t="s">
        <v>1172</v>
      </c>
      <c r="D43" s="2583"/>
      <c r="E43" s="2325"/>
      <c r="F43" s="2504"/>
      <c r="G43" s="521"/>
      <c r="H43" s="1621"/>
      <c r="I43" s="772"/>
      <c r="J43" s="692"/>
      <c r="K43" s="1621"/>
      <c r="L43" s="335"/>
      <c r="M43" s="2291"/>
      <c r="N43" s="455"/>
      <c r="O43" s="1745"/>
      <c r="P43" s="1745"/>
      <c r="AH43" s="1752">
        <v>0</v>
      </c>
    </row>
    <row s="7720" customFormat="1" customHeight="1" ht="18.75" hidden="1">
      <c r="A44" s="1901" t="s">
        <v>217</v>
      </c>
      <c r="B44" s="1901" t="s">
        <v>218</v>
      </c>
      <c r="C44" s="490"/>
      <c r="D44" s="2583"/>
      <c r="E44" s="2325"/>
      <c r="F44" s="2504" t="str">
        <f>INDEX(PT_DIFFERENTIATION_VTAR,MATCH(A44,PT_DIFFERENTIATION_VTAR_ID,0))</f>
        <v>Плата за услуги по поддержанию резервной тепловой мощности при отсутствии потребления тепловой энергии</v>
      </c>
      <c r="G44" s="2548" t="str">
        <f>INDEX(PT_DIFFERENTIATION_NTAR,MATCH(B44,PT_DIFFERENTIATION_NTAR_ID,0))</f>
        <v/>
      </c>
      <c r="H44" s="1983"/>
      <c r="I44" s="1860"/>
      <c r="J44" s="1894"/>
      <c r="K44" s="1986"/>
      <c r="L44" s="1983" t="s">
        <v>330</v>
      </c>
      <c r="M44" s="2291"/>
      <c r="N44" s="455"/>
      <c r="O44" s="1745"/>
      <c r="P44" s="1745"/>
      <c r="AH44" s="1752">
        <v>0</v>
      </c>
    </row>
    <row s="7720" customFormat="1" customHeight="1" ht="18.75" hidden="1">
      <c r="A45" s="1901"/>
      <c r="B45" s="1901"/>
      <c r="C45" s="490" t="s">
        <v>1165</v>
      </c>
      <c r="D45" s="2583"/>
      <c r="E45" s="2325"/>
      <c r="F45" s="2504"/>
      <c r="G45" s="2548"/>
      <c r="H45" s="1621"/>
      <c r="I45" s="772" t="s">
        <v>1166</v>
      </c>
      <c r="J45" s="692"/>
      <c r="K45" s="1621"/>
      <c r="L45" s="335"/>
      <c r="M45" s="2291"/>
      <c r="N45" s="455"/>
      <c r="O45" s="1745"/>
      <c r="P45" s="1745"/>
      <c r="AH45" s="1752">
        <v>0</v>
      </c>
    </row>
    <row s="7720" customFormat="1" customHeight="1" ht="0.75" hidden="1">
      <c r="A46" s="1901"/>
      <c r="B46" s="1901"/>
      <c r="C46" s="490" t="s">
        <v>1172</v>
      </c>
      <c r="D46" s="2583"/>
      <c r="E46" s="2325"/>
      <c r="F46" s="2504"/>
      <c r="G46" s="521"/>
      <c r="H46" s="1621"/>
      <c r="I46" s="772"/>
      <c r="J46" s="692"/>
      <c r="K46" s="1621"/>
      <c r="L46" s="335"/>
      <c r="M46" s="2291"/>
      <c r="N46" s="455"/>
      <c r="O46" s="1745"/>
      <c r="P46" s="1745"/>
      <c r="AH46" s="1752">
        <v>0</v>
      </c>
    </row>
    <row s="7720" customFormat="1" customHeight="1" ht="18.75" hidden="1">
      <c r="A47" s="1901" t="s">
        <v>223</v>
      </c>
      <c r="B47" s="1901" t="s">
        <v>224</v>
      </c>
      <c r="C47" s="490"/>
      <c r="D47" s="2583"/>
      <c r="E47" s="2325"/>
      <c r="F47" s="2504" t="str">
        <f>INDEX(PT_DIFFERENTIATION_VTAR,MATCH(A47,PT_DIFFERENTIATION_VTAR_ID,0))</f>
        <v>Плата за подключение (технологическое присоединение) к системе теплоснабжения</v>
      </c>
      <c r="G47" s="2548" t="str">
        <f>INDEX(PT_DIFFERENTIATION_NTAR,MATCH(B47,PT_DIFFERENTIATION_NTAR_ID,0))</f>
        <v/>
      </c>
      <c r="H47" s="1983"/>
      <c r="I47" s="1860"/>
      <c r="J47" s="1894"/>
      <c r="K47" s="1986"/>
      <c r="L47" s="1983" t="s">
        <v>330</v>
      </c>
      <c r="M47" s="2291"/>
      <c r="N47" s="455"/>
      <c r="O47" s="1745"/>
      <c r="P47" s="1745"/>
      <c r="AH47" s="1752">
        <v>0</v>
      </c>
    </row>
    <row s="7720" customFormat="1" customHeight="1" ht="18.75" hidden="1">
      <c r="A48" s="1901"/>
      <c r="B48" s="1901"/>
      <c r="C48" s="490" t="s">
        <v>1165</v>
      </c>
      <c r="D48" s="2583"/>
      <c r="E48" s="2325"/>
      <c r="F48" s="2504"/>
      <c r="G48" s="2548"/>
      <c r="H48" s="1621"/>
      <c r="I48" s="772" t="s">
        <v>1166</v>
      </c>
      <c r="J48" s="692"/>
      <c r="K48" s="1621"/>
      <c r="L48" s="335"/>
      <c r="M48" s="2291"/>
      <c r="N48" s="455"/>
      <c r="O48" s="1745"/>
      <c r="P48" s="1745"/>
      <c r="AH48" s="1752">
        <v>0</v>
      </c>
    </row>
    <row s="7720" customFormat="1" customHeight="1" ht="0.75" hidden="1">
      <c r="A49" s="1901"/>
      <c r="B49" s="1901"/>
      <c r="C49" s="490" t="s">
        <v>1172</v>
      </c>
      <c r="D49" s="2583"/>
      <c r="E49" s="2325"/>
      <c r="F49" s="2504"/>
      <c r="G49" s="521"/>
      <c r="H49" s="1621"/>
      <c r="I49" s="772"/>
      <c r="J49" s="692"/>
      <c r="K49" s="1621"/>
      <c r="L49" s="335"/>
      <c r="M49" s="2291"/>
      <c r="N49" s="455"/>
      <c r="O49" s="1745"/>
      <c r="P49" s="1745"/>
      <c r="AH49" s="1752">
        <v>0</v>
      </c>
    </row>
    <row s="7720" customFormat="1" customHeight="1" ht="18.75" hidden="1">
      <c r="A50" s="1901" t="s">
        <v>229</v>
      </c>
      <c r="B50" s="1901" t="s">
        <v>230</v>
      </c>
      <c r="C50" s="490"/>
      <c r="D50" s="2583"/>
      <c r="E50" s="2325"/>
      <c r="F50" s="2504" t="str">
        <f>INDEX(PT_DIFFERENTIATION_VTAR,MATCH(A50,PT_DIFFERENTIATION_VTAR_ID,0))</f>
        <v>Плата за подключение (технологическое присоединение) к системе теплоснабжения (индивидуальная)</v>
      </c>
      <c r="G50" s="2548" t="str">
        <f>INDEX(PT_DIFFERENTIATION_NTAR,MATCH(B50,PT_DIFFERENTIATION_NTAR_ID,0))</f>
        <v/>
      </c>
      <c r="H50" s="2110"/>
      <c r="I50" s="1860"/>
      <c r="J50" s="1894"/>
      <c r="K50" s="1986"/>
      <c r="L50" s="2110" t="s">
        <v>330</v>
      </c>
      <c r="M50" s="2291"/>
      <c r="N50" s="455"/>
      <c r="O50" s="1745"/>
      <c r="P50" s="1745"/>
      <c r="AH50" s="1752">
        <v>0</v>
      </c>
    </row>
    <row s="7720" customFormat="1" customHeight="1" ht="18.75" hidden="1">
      <c r="A51" s="1901"/>
      <c r="B51" s="1901"/>
      <c r="C51" s="490" t="s">
        <v>1165</v>
      </c>
      <c r="D51" s="2583"/>
      <c r="E51" s="2325"/>
      <c r="F51" s="2504"/>
      <c r="G51" s="2548"/>
      <c r="H51" s="1621"/>
      <c r="I51" s="772" t="s">
        <v>1166</v>
      </c>
      <c r="J51" s="692"/>
      <c r="K51" s="1621"/>
      <c r="L51" s="335"/>
      <c r="M51" s="2291"/>
      <c r="N51" s="455"/>
      <c r="O51" s="1745"/>
      <c r="P51" s="1745"/>
      <c r="AH51" s="1752">
        <v>0</v>
      </c>
    </row>
    <row s="7720" customFormat="1" customHeight="1" ht="0.75" hidden="1">
      <c r="A52" s="1901"/>
      <c r="B52" s="1901"/>
      <c r="C52" s="490" t="s">
        <v>1172</v>
      </c>
      <c r="D52" s="2583"/>
      <c r="E52" s="2325"/>
      <c r="F52" s="2504"/>
      <c r="G52" s="521"/>
      <c r="H52" s="1621"/>
      <c r="I52" s="772"/>
      <c r="J52" s="692"/>
      <c r="K52" s="1621"/>
      <c r="L52" s="335"/>
      <c r="M52" s="2291"/>
      <c r="N52" s="455"/>
      <c r="O52" s="1745"/>
      <c r="P52" s="1745"/>
      <c r="AH52" s="1752">
        <v>0</v>
      </c>
    </row>
    <row s="7720" customFormat="1" customHeight="1" ht="18.75" hidden="1">
      <c r="A53" s="1901" t="s">
        <v>249</v>
      </c>
      <c r="B53" s="1901" t="s">
        <v>250</v>
      </c>
      <c r="C53" s="490"/>
      <c r="D53" s="2583"/>
      <c r="E53" s="2325"/>
      <c r="F53" s="2504" t="str">
        <f>INDEX(PT_DIFFERENTIATION_VTAR,MATCH(A53,PT_DIFFERENTIATION_VTAR_ID,0))</f>
        <v>Тариф на питьевую воду (питьевое водоснабжение)</v>
      </c>
      <c r="G53" s="2548" t="str">
        <f>INDEX(PT_DIFFERENTIATION_NTAR,MATCH(B53,PT_DIFFERENTIATION_NTAR_ID,0))</f>
        <v/>
      </c>
      <c r="H53" s="1983"/>
      <c r="I53" s="1860"/>
      <c r="J53" s="1894"/>
      <c r="K53" s="1986"/>
      <c r="L53" s="1983" t="s">
        <v>330</v>
      </c>
      <c r="M53" s="2291"/>
      <c r="N53" s="455"/>
      <c r="O53" s="1745"/>
      <c r="P53" s="1745"/>
      <c r="AH53" s="1752">
        <v>0</v>
      </c>
    </row>
    <row s="7720" customFormat="1" customHeight="1" ht="18.75" hidden="1">
      <c r="A54" s="1901"/>
      <c r="B54" s="1901"/>
      <c r="C54" s="490" t="s">
        <v>1165</v>
      </c>
      <c r="D54" s="2583"/>
      <c r="E54" s="2325"/>
      <c r="F54" s="2504"/>
      <c r="G54" s="2548"/>
      <c r="H54" s="1621"/>
      <c r="I54" s="772" t="s">
        <v>1166</v>
      </c>
      <c r="J54" s="692"/>
      <c r="K54" s="1621"/>
      <c r="L54" s="335"/>
      <c r="M54" s="2291"/>
      <c r="N54" s="455"/>
      <c r="O54" s="1745"/>
      <c r="P54" s="1745"/>
      <c r="AH54" s="1752">
        <v>0</v>
      </c>
    </row>
    <row s="7720" customFormat="1" customHeight="1" ht="0.75" hidden="1">
      <c r="A55" s="1901"/>
      <c r="B55" s="1901"/>
      <c r="C55" s="490" t="s">
        <v>1172</v>
      </c>
      <c r="D55" s="2583"/>
      <c r="E55" s="2325"/>
      <c r="F55" s="2504"/>
      <c r="G55" s="521"/>
      <c r="H55" s="1621"/>
      <c r="I55" s="772"/>
      <c r="J55" s="692"/>
      <c r="K55" s="1621"/>
      <c r="L55" s="335"/>
      <c r="M55" s="2291"/>
      <c r="N55" s="455"/>
      <c r="O55" s="1745"/>
      <c r="P55" s="1745"/>
      <c r="AH55" s="1752">
        <v>0</v>
      </c>
    </row>
    <row s="7720" customFormat="1" customHeight="1" ht="18.75" hidden="1">
      <c r="A56" s="1901" t="s">
        <v>254</v>
      </c>
      <c r="B56" s="1901" t="s">
        <v>255</v>
      </c>
      <c r="C56" s="490"/>
      <c r="D56" s="2583"/>
      <c r="E56" s="2325"/>
      <c r="F56" s="2504" t="str">
        <f>INDEX(PT_DIFFERENTIATION_VTAR,MATCH(A56,PT_DIFFERENTIATION_VTAR_ID,0))</f>
        <v>Тариф на техническую воду</v>
      </c>
      <c r="G56" s="2548" t="str">
        <f>INDEX(PT_DIFFERENTIATION_NTAR,MATCH(B56,PT_DIFFERENTIATION_NTAR_ID,0))</f>
        <v/>
      </c>
      <c r="H56" s="1983"/>
      <c r="I56" s="1860"/>
      <c r="J56" s="1894"/>
      <c r="K56" s="1986"/>
      <c r="L56" s="1983" t="s">
        <v>330</v>
      </c>
      <c r="M56" s="2291"/>
      <c r="N56" s="455"/>
      <c r="O56" s="1745"/>
      <c r="P56" s="1745"/>
      <c r="AH56" s="1752">
        <v>0</v>
      </c>
    </row>
    <row s="7720" customFormat="1" customHeight="1" ht="18.75" hidden="1">
      <c r="A57" s="1901"/>
      <c r="B57" s="1901"/>
      <c r="C57" s="490" t="s">
        <v>1165</v>
      </c>
      <c r="D57" s="2583"/>
      <c r="E57" s="2325"/>
      <c r="F57" s="2504"/>
      <c r="G57" s="2548"/>
      <c r="H57" s="1621"/>
      <c r="I57" s="772" t="s">
        <v>1166</v>
      </c>
      <c r="J57" s="692"/>
      <c r="K57" s="1621"/>
      <c r="L57" s="335"/>
      <c r="M57" s="2291"/>
      <c r="N57" s="455"/>
      <c r="O57" s="1745"/>
      <c r="P57" s="1745"/>
      <c r="AH57" s="1752">
        <v>0</v>
      </c>
    </row>
    <row s="7720" customFormat="1" customHeight="1" ht="0.75" hidden="1">
      <c r="A58" s="1901"/>
      <c r="B58" s="1901"/>
      <c r="C58" s="490" t="s">
        <v>1172</v>
      </c>
      <c r="D58" s="2583"/>
      <c r="E58" s="2325"/>
      <c r="F58" s="2504"/>
      <c r="G58" s="521"/>
      <c r="H58" s="1621"/>
      <c r="I58" s="772"/>
      <c r="J58" s="692"/>
      <c r="K58" s="1621"/>
      <c r="L58" s="335"/>
      <c r="M58" s="2291"/>
      <c r="N58" s="455"/>
      <c r="O58" s="1745"/>
      <c r="P58" s="1745"/>
      <c r="AH58" s="1752">
        <v>0</v>
      </c>
    </row>
    <row s="7720" customFormat="1" customHeight="1" ht="18.75" hidden="1">
      <c r="A59" s="1901" t="s">
        <v>259</v>
      </c>
      <c r="B59" s="1901" t="s">
        <v>260</v>
      </c>
      <c r="C59" s="490"/>
      <c r="D59" s="2583"/>
      <c r="E59" s="2325"/>
      <c r="F59" s="2504" t="str">
        <f>INDEX(PT_DIFFERENTIATION_VTAR,MATCH(A59,PT_DIFFERENTIATION_VTAR_ID,0))</f>
        <v>Тариф на транспортировку воды</v>
      </c>
      <c r="G59" s="2548" t="str">
        <f>INDEX(PT_DIFFERENTIATION_NTAR,MATCH(B59,PT_DIFFERENTIATION_NTAR_ID,0))</f>
        <v/>
      </c>
      <c r="H59" s="1983"/>
      <c r="I59" s="1860"/>
      <c r="J59" s="1894"/>
      <c r="K59" s="1986"/>
      <c r="L59" s="1983" t="s">
        <v>330</v>
      </c>
      <c r="M59" s="2291"/>
      <c r="N59" s="455"/>
      <c r="O59" s="1745"/>
      <c r="P59" s="1745"/>
      <c r="AH59" s="1752">
        <v>0</v>
      </c>
    </row>
    <row s="7720" customFormat="1" customHeight="1" ht="18.75" hidden="1">
      <c r="A60" s="1901"/>
      <c r="B60" s="1901"/>
      <c r="C60" s="490" t="s">
        <v>1165</v>
      </c>
      <c r="D60" s="2583"/>
      <c r="E60" s="2325"/>
      <c r="F60" s="2504"/>
      <c r="G60" s="2548"/>
      <c r="H60" s="1621"/>
      <c r="I60" s="772" t="s">
        <v>1166</v>
      </c>
      <c r="J60" s="692"/>
      <c r="K60" s="1621"/>
      <c r="L60" s="335"/>
      <c r="M60" s="2291"/>
      <c r="N60" s="455"/>
      <c r="O60" s="1745"/>
      <c r="P60" s="1745"/>
      <c r="AH60" s="1752">
        <v>0</v>
      </c>
    </row>
    <row s="7720" customFormat="1" customHeight="1" ht="0.75" hidden="1">
      <c r="A61" s="1901"/>
      <c r="B61" s="1901"/>
      <c r="C61" s="490" t="s">
        <v>1172</v>
      </c>
      <c r="D61" s="2583"/>
      <c r="E61" s="2325"/>
      <c r="F61" s="2504"/>
      <c r="G61" s="521"/>
      <c r="H61" s="1621"/>
      <c r="I61" s="772"/>
      <c r="J61" s="692"/>
      <c r="K61" s="1621"/>
      <c r="L61" s="335"/>
      <c r="M61" s="2291"/>
      <c r="N61" s="455"/>
      <c r="O61" s="1745"/>
      <c r="P61" s="1745"/>
      <c r="AH61" s="1752">
        <v>0</v>
      </c>
    </row>
    <row s="7720" customFormat="1" customHeight="1" ht="18.75" hidden="1">
      <c r="A62" s="1901" t="s">
        <v>264</v>
      </c>
      <c r="B62" s="1901" t="s">
        <v>265</v>
      </c>
      <c r="C62" s="490"/>
      <c r="D62" s="2583"/>
      <c r="E62" s="2325"/>
      <c r="F62" s="2504" t="str">
        <f>INDEX(PT_DIFFERENTIATION_VTAR,MATCH(A62,PT_DIFFERENTIATION_VTAR_ID,0))</f>
        <v>Тариф на подвоз воды</v>
      </c>
      <c r="G62" s="2548" t="str">
        <f>INDEX(PT_DIFFERENTIATION_NTAR,MATCH(B62,PT_DIFFERENTIATION_NTAR_ID,0))</f>
        <v/>
      </c>
      <c r="H62" s="1983"/>
      <c r="I62" s="1860"/>
      <c r="J62" s="1894"/>
      <c r="K62" s="1986"/>
      <c r="L62" s="1983" t="s">
        <v>330</v>
      </c>
      <c r="M62" s="2291"/>
      <c r="N62" s="455"/>
      <c r="O62" s="1745"/>
      <c r="P62" s="1745"/>
      <c r="AH62" s="1752">
        <v>0</v>
      </c>
    </row>
    <row s="7720" customFormat="1" customHeight="1" ht="18.75" hidden="1">
      <c r="A63" s="1901"/>
      <c r="B63" s="1901"/>
      <c r="C63" s="490" t="s">
        <v>1165</v>
      </c>
      <c r="D63" s="2583"/>
      <c r="E63" s="2325"/>
      <c r="F63" s="2504"/>
      <c r="G63" s="2548"/>
      <c r="H63" s="1621"/>
      <c r="I63" s="772" t="s">
        <v>1166</v>
      </c>
      <c r="J63" s="692"/>
      <c r="K63" s="1621"/>
      <c r="L63" s="335"/>
      <c r="M63" s="2291"/>
      <c r="N63" s="455"/>
      <c r="O63" s="1745"/>
      <c r="P63" s="1745"/>
      <c r="AH63" s="1752">
        <v>0</v>
      </c>
    </row>
    <row s="7720" customFormat="1" customHeight="1" ht="0.75" hidden="1">
      <c r="A64" s="1901"/>
      <c r="B64" s="1901"/>
      <c r="C64" s="490" t="s">
        <v>1172</v>
      </c>
      <c r="D64" s="2583"/>
      <c r="E64" s="2325"/>
      <c r="F64" s="2504"/>
      <c r="G64" s="521"/>
      <c r="H64" s="1621"/>
      <c r="I64" s="772"/>
      <c r="J64" s="692"/>
      <c r="K64" s="1621"/>
      <c r="L64" s="335"/>
      <c r="M64" s="2291"/>
      <c r="N64" s="455"/>
      <c r="O64" s="1745"/>
      <c r="P64" s="1745"/>
      <c r="AH64" s="1752">
        <v>0</v>
      </c>
    </row>
    <row s="7720" customFormat="1" customHeight="1" ht="18.75" hidden="1">
      <c r="A65" s="1901" t="s">
        <v>269</v>
      </c>
      <c r="B65" s="1901" t="s">
        <v>270</v>
      </c>
      <c r="C65" s="490"/>
      <c r="D65" s="2583"/>
      <c r="E65" s="2325"/>
      <c r="F65" s="250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48" t="str">
        <f>INDEX(PT_DIFFERENTIATION_NTAR,MATCH(B65,PT_DIFFERENTIATION_NTAR_ID,0))</f>
        <v/>
      </c>
      <c r="H65" s="1983"/>
      <c r="I65" s="1860"/>
      <c r="J65" s="1894"/>
      <c r="K65" s="1986"/>
      <c r="L65" s="1983" t="s">
        <v>330</v>
      </c>
      <c r="M65" s="2291"/>
      <c r="N65" s="455"/>
      <c r="O65" s="1745"/>
      <c r="P65" s="1745"/>
      <c r="AH65" s="1752">
        <v>0</v>
      </c>
    </row>
    <row s="7720" customFormat="1" customHeight="1" ht="18.75" hidden="1">
      <c r="A66" s="1901"/>
      <c r="B66" s="1901"/>
      <c r="C66" s="490" t="s">
        <v>1165</v>
      </c>
      <c r="D66" s="2583"/>
      <c r="E66" s="2325"/>
      <c r="F66" s="2504"/>
      <c r="G66" s="2548"/>
      <c r="H66" s="1621"/>
      <c r="I66" s="772" t="s">
        <v>1166</v>
      </c>
      <c r="J66" s="692"/>
      <c r="K66" s="1621"/>
      <c r="L66" s="335"/>
      <c r="M66" s="2291"/>
      <c r="N66" s="455"/>
      <c r="O66" s="1745"/>
      <c r="P66" s="1745"/>
      <c r="AH66" s="1752">
        <v>0</v>
      </c>
    </row>
    <row s="7720" customFormat="1" customHeight="1" ht="0.75" hidden="1">
      <c r="A67" s="1901"/>
      <c r="B67" s="1901"/>
      <c r="C67" s="490" t="s">
        <v>1172</v>
      </c>
      <c r="D67" s="2583"/>
      <c r="E67" s="2325"/>
      <c r="F67" s="2504"/>
      <c r="G67" s="521"/>
      <c r="H67" s="1621"/>
      <c r="I67" s="772"/>
      <c r="J67" s="692"/>
      <c r="K67" s="1621"/>
      <c r="L67" s="335"/>
      <c r="M67" s="2291"/>
      <c r="N67" s="455"/>
      <c r="O67" s="1745"/>
      <c r="P67" s="1745"/>
      <c r="AH67" s="1752">
        <v>0</v>
      </c>
    </row>
    <row s="7720" customFormat="1" customHeight="1" ht="18.75" hidden="1">
      <c r="A68" s="1901" t="s">
        <v>274</v>
      </c>
      <c r="B68" s="1901" t="s">
        <v>275</v>
      </c>
      <c r="C68" s="490"/>
      <c r="D68" s="2583"/>
      <c r="E68" s="2325"/>
      <c r="F68" s="2504" t="str">
        <f>INDEX(PT_DIFFERENTIATION_VTAR,MATCH(A68,PT_DIFFERENTIATION_VTAR_ID,0))</f>
        <v>Тариф на горячую воду (горячее водоснабжение)</v>
      </c>
      <c r="G68" s="2548" t="str">
        <f>INDEX(PT_DIFFERENTIATION_NTAR,MATCH(B68,PT_DIFFERENTIATION_NTAR_ID,0))</f>
        <v/>
      </c>
      <c r="H68" s="1983"/>
      <c r="I68" s="1860"/>
      <c r="J68" s="1894"/>
      <c r="K68" s="1986"/>
      <c r="L68" s="1983" t="s">
        <v>330</v>
      </c>
      <c r="M68" s="2291"/>
      <c r="N68" s="455"/>
      <c r="O68" s="1745"/>
      <c r="P68" s="1745"/>
      <c r="AH68" s="1752">
        <v>0</v>
      </c>
    </row>
    <row s="7720" customFormat="1" customHeight="1" ht="18.75" hidden="1">
      <c r="A69" s="1901"/>
      <c r="B69" s="1901"/>
      <c r="C69" s="490" t="s">
        <v>1165</v>
      </c>
      <c r="D69" s="2583"/>
      <c r="E69" s="2325"/>
      <c r="F69" s="2504"/>
      <c r="G69" s="2548"/>
      <c r="H69" s="1621"/>
      <c r="I69" s="772" t="s">
        <v>1166</v>
      </c>
      <c r="J69" s="692"/>
      <c r="K69" s="1621"/>
      <c r="L69" s="335"/>
      <c r="M69" s="2291"/>
      <c r="N69" s="455"/>
      <c r="O69" s="1745"/>
      <c r="P69" s="1745"/>
      <c r="AH69" s="1752">
        <v>0</v>
      </c>
    </row>
    <row s="7720" customFormat="1" customHeight="1" ht="0.75" hidden="1">
      <c r="A70" s="1901"/>
      <c r="B70" s="1901"/>
      <c r="C70" s="490" t="s">
        <v>1172</v>
      </c>
      <c r="D70" s="2583"/>
      <c r="E70" s="2325"/>
      <c r="F70" s="2504"/>
      <c r="G70" s="521"/>
      <c r="H70" s="1621"/>
      <c r="I70" s="772"/>
      <c r="J70" s="692"/>
      <c r="K70" s="1621"/>
      <c r="L70" s="335"/>
      <c r="M70" s="2291"/>
      <c r="N70" s="455"/>
      <c r="O70" s="1745"/>
      <c r="P70" s="1745"/>
      <c r="AH70" s="1752">
        <v>0</v>
      </c>
    </row>
    <row s="7720" customFormat="1" customHeight="1" ht="18.75" hidden="1">
      <c r="A71" s="1901" t="s">
        <v>279</v>
      </c>
      <c r="B71" s="1901" t="s">
        <v>280</v>
      </c>
      <c r="C71" s="490"/>
      <c r="D71" s="2583"/>
      <c r="E71" s="2325"/>
      <c r="F71" s="2504" t="str">
        <f>INDEX(PT_DIFFERENTIATION_VTAR,MATCH(A71,PT_DIFFERENTIATION_VTAR_ID,0))</f>
        <v>Тариф на транспортировку горячей воды</v>
      </c>
      <c r="G71" s="2548" t="str">
        <f>INDEX(PT_DIFFERENTIATION_NTAR,MATCH(B71,PT_DIFFERENTIATION_NTAR_ID,0))</f>
        <v/>
      </c>
      <c r="H71" s="1983"/>
      <c r="I71" s="1860"/>
      <c r="J71" s="1894"/>
      <c r="K71" s="1986"/>
      <c r="L71" s="1983" t="s">
        <v>330</v>
      </c>
      <c r="M71" s="2291"/>
      <c r="N71" s="455"/>
      <c r="O71" s="1745"/>
      <c r="P71" s="1745"/>
      <c r="AH71" s="1752">
        <v>0</v>
      </c>
    </row>
    <row s="7720" customFormat="1" customHeight="1" ht="18.75" hidden="1">
      <c r="A72" s="1901"/>
      <c r="B72" s="1901"/>
      <c r="C72" s="490" t="s">
        <v>1165</v>
      </c>
      <c r="D72" s="2583"/>
      <c r="E72" s="2325"/>
      <c r="F72" s="2504"/>
      <c r="G72" s="2548"/>
      <c r="H72" s="1621"/>
      <c r="I72" s="772" t="s">
        <v>1166</v>
      </c>
      <c r="J72" s="692"/>
      <c r="K72" s="1621"/>
      <c r="L72" s="335"/>
      <c r="M72" s="2291"/>
      <c r="N72" s="455"/>
      <c r="O72" s="1745"/>
      <c r="P72" s="1745"/>
      <c r="AH72" s="1752">
        <v>0</v>
      </c>
    </row>
    <row s="7720" customFormat="1" customHeight="1" ht="0.75" hidden="1">
      <c r="A73" s="1901"/>
      <c r="B73" s="1901"/>
      <c r="C73" s="490" t="s">
        <v>1172</v>
      </c>
      <c r="D73" s="2583"/>
      <c r="E73" s="2325"/>
      <c r="F73" s="2504"/>
      <c r="G73" s="521"/>
      <c r="H73" s="1621"/>
      <c r="I73" s="772"/>
      <c r="J73" s="692"/>
      <c r="K73" s="1621"/>
      <c r="L73" s="335"/>
      <c r="M73" s="2291"/>
      <c r="N73" s="455"/>
      <c r="O73" s="1745"/>
      <c r="P73" s="1745"/>
      <c r="AH73" s="1752">
        <v>0</v>
      </c>
    </row>
    <row s="7720" customFormat="1" customHeight="1" ht="18.75" hidden="1">
      <c r="A74" s="1901" t="s">
        <v>284</v>
      </c>
      <c r="B74" s="1901" t="s">
        <v>285</v>
      </c>
      <c r="C74" s="490"/>
      <c r="D74" s="2583"/>
      <c r="E74" s="2325"/>
      <c r="F74" s="2504" t="str">
        <f>INDEX(PT_DIFFERENTIATION_VTAR,MATCH(A74,PT_DIFFERENTIATION_VTAR_ID,0))</f>
        <v>Тариф на подключение (технологическое присоединение) к централизованной системе горячего водоснабжения</v>
      </c>
      <c r="G74" s="2548" t="str">
        <f>INDEX(PT_DIFFERENTIATION_NTAR,MATCH(B74,PT_DIFFERENTIATION_NTAR_ID,0))</f>
        <v/>
      </c>
      <c r="H74" s="1983"/>
      <c r="I74" s="1860"/>
      <c r="J74" s="1894"/>
      <c r="K74" s="1986"/>
      <c r="L74" s="1983" t="s">
        <v>330</v>
      </c>
      <c r="M74" s="2291"/>
      <c r="N74" s="455"/>
      <c r="O74" s="1745"/>
      <c r="P74" s="1745"/>
      <c r="AH74" s="1752">
        <v>0</v>
      </c>
    </row>
    <row s="7720" customFormat="1" customHeight="1" ht="18.75" hidden="1">
      <c r="A75" s="1901"/>
      <c r="B75" s="1901"/>
      <c r="C75" s="490" t="s">
        <v>1165</v>
      </c>
      <c r="D75" s="2583"/>
      <c r="E75" s="2325"/>
      <c r="F75" s="2504"/>
      <c r="G75" s="2548"/>
      <c r="H75" s="1621"/>
      <c r="I75" s="772" t="s">
        <v>1166</v>
      </c>
      <c r="J75" s="692"/>
      <c r="K75" s="1621"/>
      <c r="L75" s="335"/>
      <c r="M75" s="2291"/>
      <c r="N75" s="455"/>
      <c r="O75" s="1745"/>
      <c r="P75" s="1745"/>
      <c r="AH75" s="1752">
        <v>0</v>
      </c>
    </row>
    <row s="7720" customFormat="1" customHeight="1" ht="0.75" hidden="1">
      <c r="A76" s="1901"/>
      <c r="B76" s="1901"/>
      <c r="C76" s="490" t="s">
        <v>1172</v>
      </c>
      <c r="D76" s="2583"/>
      <c r="E76" s="2325"/>
      <c r="F76" s="2504"/>
      <c r="G76" s="521"/>
      <c r="H76" s="1621"/>
      <c r="I76" s="772"/>
      <c r="J76" s="692"/>
      <c r="K76" s="1621"/>
      <c r="L76" s="335"/>
      <c r="M76" s="2291"/>
      <c r="N76" s="455"/>
      <c r="O76" s="1745"/>
      <c r="P76" s="1745"/>
      <c r="AH76" s="1752">
        <v>0</v>
      </c>
    </row>
    <row s="7720" customFormat="1" customHeight="1" ht="18.75" hidden="1">
      <c r="A77" s="1901" t="s">
        <v>289</v>
      </c>
      <c r="B77" s="1901" t="s">
        <v>290</v>
      </c>
      <c r="C77" s="490"/>
      <c r="D77" s="2583"/>
      <c r="E77" s="2325"/>
      <c r="F77" s="2504" t="str">
        <f>INDEX(PT_DIFFERENTIATION_VTAR,MATCH(A77,PT_DIFFERENTIATION_VTAR_ID,0))</f>
        <v>Тариф на водоотведение</v>
      </c>
      <c r="G77" s="2548" t="str">
        <f>INDEX(PT_DIFFERENTIATION_NTAR,MATCH(B77,PT_DIFFERENTIATION_NTAR_ID,0))</f>
        <v/>
      </c>
      <c r="H77" s="1983"/>
      <c r="I77" s="1860"/>
      <c r="J77" s="1894"/>
      <c r="K77" s="1986"/>
      <c r="L77" s="1983" t="s">
        <v>330</v>
      </c>
      <c r="M77" s="2291"/>
      <c r="N77" s="455"/>
      <c r="O77" s="1745"/>
      <c r="P77" s="1745"/>
      <c r="AH77" s="1752">
        <v>0</v>
      </c>
    </row>
    <row s="7720" customFormat="1" customHeight="1" ht="18.75" hidden="1">
      <c r="A78" s="1901"/>
      <c r="B78" s="1901"/>
      <c r="C78" s="490" t="s">
        <v>1165</v>
      </c>
      <c r="D78" s="2583"/>
      <c r="E78" s="2325"/>
      <c r="F78" s="2504"/>
      <c r="G78" s="2548"/>
      <c r="H78" s="1621"/>
      <c r="I78" s="772" t="s">
        <v>1166</v>
      </c>
      <c r="J78" s="692"/>
      <c r="K78" s="1621"/>
      <c r="L78" s="335"/>
      <c r="M78" s="2291"/>
      <c r="N78" s="455"/>
      <c r="O78" s="1745"/>
      <c r="P78" s="1745"/>
      <c r="AH78" s="1752">
        <v>0</v>
      </c>
    </row>
    <row s="7720" customFormat="1" customHeight="1" ht="0.75" hidden="1">
      <c r="A79" s="1901"/>
      <c r="B79" s="1901"/>
      <c r="C79" s="490" t="s">
        <v>1172</v>
      </c>
      <c r="D79" s="2583"/>
      <c r="E79" s="2325"/>
      <c r="F79" s="2504"/>
      <c r="G79" s="521"/>
      <c r="H79" s="1621"/>
      <c r="I79" s="772"/>
      <c r="J79" s="692"/>
      <c r="K79" s="1621"/>
      <c r="L79" s="335"/>
      <c r="M79" s="2291"/>
      <c r="N79" s="455"/>
      <c r="O79" s="1745"/>
      <c r="P79" s="1745"/>
      <c r="AH79" s="1752">
        <v>0</v>
      </c>
    </row>
    <row s="7720" customFormat="1" customHeight="1" ht="18.75" hidden="1">
      <c r="A80" s="1901" t="s">
        <v>294</v>
      </c>
      <c r="B80" s="1901" t="s">
        <v>295</v>
      </c>
      <c r="C80" s="490"/>
      <c r="D80" s="2583"/>
      <c r="E80" s="2325"/>
      <c r="F80" s="2504" t="str">
        <f>INDEX(PT_DIFFERENTIATION_VTAR,MATCH(A80,PT_DIFFERENTIATION_VTAR_ID,0))</f>
        <v>Тариф на транспортировку сточных вод</v>
      </c>
      <c r="G80" s="2548" t="str">
        <f>INDEX(PT_DIFFERENTIATION_NTAR,MATCH(B80,PT_DIFFERENTIATION_NTAR_ID,0))</f>
        <v/>
      </c>
      <c r="H80" s="1983"/>
      <c r="I80" s="1860"/>
      <c r="J80" s="1894"/>
      <c r="K80" s="1986"/>
      <c r="L80" s="1983" t="s">
        <v>330</v>
      </c>
      <c r="M80" s="2291"/>
      <c r="N80" s="455"/>
      <c r="O80" s="1745"/>
      <c r="P80" s="1745"/>
      <c r="AH80" s="1752">
        <v>0</v>
      </c>
    </row>
    <row s="7720" customFormat="1" customHeight="1" ht="18.75" hidden="1">
      <c r="A81" s="1901"/>
      <c r="B81" s="1901"/>
      <c r="C81" s="490" t="s">
        <v>1165</v>
      </c>
      <c r="D81" s="2583"/>
      <c r="E81" s="2325"/>
      <c r="F81" s="2504"/>
      <c r="G81" s="2548"/>
      <c r="H81" s="1621"/>
      <c r="I81" s="772" t="s">
        <v>1166</v>
      </c>
      <c r="J81" s="692"/>
      <c r="K81" s="1621"/>
      <c r="L81" s="335"/>
      <c r="M81" s="2291"/>
      <c r="N81" s="455"/>
      <c r="O81" s="1745"/>
      <c r="P81" s="1745"/>
      <c r="AH81" s="1752">
        <v>0</v>
      </c>
    </row>
    <row s="7720" customFormat="1" customHeight="1" ht="0.75" hidden="1">
      <c r="A82" s="1901"/>
      <c r="B82" s="1901"/>
      <c r="C82" s="490" t="s">
        <v>1172</v>
      </c>
      <c r="D82" s="2583"/>
      <c r="E82" s="2325"/>
      <c r="F82" s="2504"/>
      <c r="G82" s="521"/>
      <c r="H82" s="1621"/>
      <c r="I82" s="772"/>
      <c r="J82" s="692"/>
      <c r="K82" s="1621"/>
      <c r="L82" s="335"/>
      <c r="M82" s="2291"/>
      <c r="N82" s="455"/>
      <c r="O82" s="1745"/>
      <c r="P82" s="1745"/>
      <c r="AH82" s="1752">
        <v>0</v>
      </c>
    </row>
    <row s="7720" customFormat="1" customHeight="1" ht="18.75" hidden="1">
      <c r="A83" s="1901" t="s">
        <v>299</v>
      </c>
      <c r="B83" s="1901" t="s">
        <v>300</v>
      </c>
      <c r="C83" s="490"/>
      <c r="D83" s="2583"/>
      <c r="E83" s="2325"/>
      <c r="F83" s="2504" t="str">
        <f>INDEX(PT_DIFFERENTIATION_VTAR,MATCH(A83,PT_DIFFERENTIATION_VTAR_ID,0))</f>
        <v>Тариф на подключение (технологическое присоединение) к централизованной системе водоотведения</v>
      </c>
      <c r="G83" s="2548" t="str">
        <f>INDEX(PT_DIFFERENTIATION_NTAR,MATCH(B83,PT_DIFFERENTIATION_NTAR_ID,0))</f>
        <v/>
      </c>
      <c r="H83" s="1983"/>
      <c r="I83" s="1860"/>
      <c r="J83" s="1894"/>
      <c r="K83" s="1986"/>
      <c r="L83" s="1983" t="s">
        <v>330</v>
      </c>
      <c r="M83" s="2291"/>
      <c r="N83" s="455"/>
      <c r="O83" s="1745"/>
      <c r="P83" s="1745"/>
      <c r="AH83" s="1752">
        <v>0</v>
      </c>
    </row>
    <row s="7720" customFormat="1" customHeight="1" ht="18.75" hidden="1">
      <c r="A84" s="1901"/>
      <c r="B84" s="1901"/>
      <c r="C84" s="490" t="s">
        <v>1165</v>
      </c>
      <c r="D84" s="2583"/>
      <c r="E84" s="2325"/>
      <c r="F84" s="2504"/>
      <c r="G84" s="2548"/>
      <c r="H84" s="1621"/>
      <c r="I84" s="772" t="s">
        <v>1166</v>
      </c>
      <c r="J84" s="692"/>
      <c r="K84" s="1621"/>
      <c r="L84" s="335"/>
      <c r="M84" s="2291"/>
      <c r="N84" s="455"/>
      <c r="O84" s="1745"/>
      <c r="P84" s="1745"/>
      <c r="AH84" s="1752">
        <v>0</v>
      </c>
    </row>
    <row s="7720" customFormat="1" customHeight="1" ht="1.05">
      <c r="A85" s="1901"/>
      <c r="B85" s="1901"/>
      <c r="C85" s="490" t="s">
        <v>1172</v>
      </c>
      <c r="D85" s="2583"/>
      <c r="E85" s="2325"/>
      <c r="F85" s="2504"/>
      <c r="G85" s="521"/>
      <c r="H85" s="1621"/>
      <c r="I85" s="772"/>
      <c r="J85" s="692"/>
      <c r="K85" s="1621"/>
      <c r="L85" s="335"/>
      <c r="M85" s="2291"/>
      <c r="N85" s="455"/>
      <c r="O85" s="1745"/>
      <c r="P85" s="1745"/>
      <c r="AH85" s="1752">
        <v>1</v>
      </c>
    </row>
    <row customHeight="1" ht="19.95">
      <c r="A86" s="1901"/>
      <c r="B86" s="1901"/>
      <c r="D86" s="497"/>
      <c r="E86" s="268" t="s">
        <v>103</v>
      </c>
      <c r="F86"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81"/>
      <c r="H86" s="2581"/>
      <c r="I86" s="2581"/>
      <c r="J86" s="2581"/>
      <c r="K86" s="2581"/>
      <c r="L86" s="2581"/>
      <c r="M86" s="418"/>
      <c r="N86" s="455"/>
      <c r="AH86" s="495">
        <v>19</v>
      </c>
    </row>
    <row customHeight="1" ht="36">
      <c r="A87" s="1901"/>
      <c r="B87" s="1901"/>
      <c r="D87" s="497"/>
      <c r="E87" s="520"/>
      <c r="F87" s="319" t="s">
        <v>330</v>
      </c>
      <c r="G87" s="319" t="s">
        <v>330</v>
      </c>
      <c r="H87" s="2339" t="s">
        <v>330</v>
      </c>
      <c r="I87" s="2341"/>
      <c r="J87" s="319" t="s">
        <v>330</v>
      </c>
      <c r="K87" s="319" t="s">
        <v>330</v>
      </c>
      <c r="L87" s="4881" t="s">
        <v>1173</v>
      </c>
      <c r="M87" s="466" t="s">
        <v>1174</v>
      </c>
      <c r="N87" s="455"/>
      <c r="AH87" s="495">
        <v>34</v>
      </c>
    </row>
    <row customHeight="1" ht="19.95">
      <c r="A88" s="1901"/>
      <c r="B88" s="1901"/>
      <c r="D88" s="497"/>
      <c r="E88" s="268" t="s">
        <v>90</v>
      </c>
      <c r="F88" s="2581" t="s">
        <v>1175</v>
      </c>
      <c r="G88" s="2581"/>
      <c r="H88" s="2581"/>
      <c r="I88" s="2581"/>
      <c r="J88" s="2581"/>
      <c r="K88" s="2581"/>
      <c r="L88" s="2581"/>
      <c r="M88" s="418"/>
      <c r="N88" s="455"/>
      <c r="AH88" s="495">
        <v>19</v>
      </c>
    </row>
    <row s="7720" customFormat="1" customHeight="1" ht="60.75">
      <c r="A89" s="1901" t="s">
        <v>170</v>
      </c>
      <c r="B89" s="1901" t="s">
        <v>171</v>
      </c>
      <c r="C89" s="490"/>
      <c r="D89" s="2583"/>
      <c r="E89" s="2325"/>
      <c r="F89" s="250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8" t="str">
        <f>INDEX(PT_DIFFERENTIATION_NTAR,MATCH(B89,PT_DIFFERENTIATION_NTAR_ID,0))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89" s="1983"/>
      <c r="I89" s="7735">
        <v>46023</v>
      </c>
      <c r="J89" s="7736">
        <v>46387</v>
      </c>
      <c r="K89" s="1899">
        <v>1282387.25</v>
      </c>
      <c r="L89" s="1983" t="s">
        <v>330</v>
      </c>
      <c r="M89"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55"/>
      <c r="O89" s="1745"/>
      <c r="P89" s="1745"/>
      <c r="AH89" s="1752">
        <v>0</v>
      </c>
    </row>
    <row s="7720" customFormat="1" customHeight="1" ht="18.75">
      <c r="A90" s="1901"/>
      <c r="B90" s="1901"/>
      <c r="C90" s="490" t="s">
        <v>1167</v>
      </c>
      <c r="D90" s="2583"/>
      <c r="E90" s="2325"/>
      <c r="F90" s="2504"/>
      <c r="G90" s="2548"/>
      <c r="H90" s="1621"/>
      <c r="I90" s="772" t="s">
        <v>1166</v>
      </c>
      <c r="J90" s="692"/>
      <c r="K90" s="1621"/>
      <c r="L90" s="335"/>
      <c r="M90" s="2291"/>
      <c r="N90" s="455"/>
      <c r="O90" s="1745"/>
      <c r="P90" s="1745"/>
      <c r="AH90" s="1752">
        <v>0</v>
      </c>
    </row>
    <row s="7720" customFormat="1" customHeight="1" ht="18.75">
      <c r="A91" s="3785" t="s">
        <v>170</v>
      </c>
      <c r="B91" s="3785" t="s">
        <v>179</v>
      </c>
      <c r="C91" s="4861"/>
      <c r="D91" s="4862"/>
      <c r="E91" s="4863"/>
      <c r="F91" s="4863"/>
      <c r="G91" s="4864" t="str">
        <f>INDEX(PT_DIFFERENTIATION_NTAR,MATCH(B91,PT_DIFFERENTIATION_NTAR_ID,0))</f>
        <v>Тариф на тепловую энергию (мощность), 
поставляемую потребителям узла теплоснабжения ТЭЦ-5 ПАО "ТГК-1"</v>
      </c>
      <c r="H91" s="4865"/>
      <c r="I91" s="7735">
        <v>46023</v>
      </c>
      <c r="J91" s="7736">
        <v>46387</v>
      </c>
      <c r="K91" s="4882">
        <v>625891.33</v>
      </c>
      <c r="L91" s="4865" t="s">
        <v>330</v>
      </c>
      <c r="M91" s="4867"/>
      <c r="N91" s="4868"/>
      <c r="O91" s="3795"/>
      <c r="P91" s="3795"/>
      <c r="Q91" s="3796"/>
      <c r="R91" s="3796"/>
      <c r="S91" s="3796"/>
      <c r="T91" s="3796"/>
      <c r="U91" s="3796"/>
      <c r="V91" s="3796"/>
      <c r="W91" s="3796"/>
      <c r="X91" s="3796"/>
      <c r="Y91" s="3796"/>
      <c r="Z91" s="3796"/>
      <c r="AA91" s="3796"/>
      <c r="AB91" s="3796"/>
      <c r="AC91" s="3796"/>
      <c r="AD91" s="3796"/>
      <c r="AE91" s="3796"/>
      <c r="AF91" s="3796"/>
      <c r="AG91" s="3796"/>
      <c r="AH91" s="3796">
        <v>0</v>
      </c>
    </row>
    <row s="7720" customFormat="1" customHeight="1" ht="18.75">
      <c r="A92" s="3785"/>
      <c r="B92" s="3785"/>
      <c r="C92" s="4861" t="s">
        <v>1167</v>
      </c>
      <c r="D92" s="4862"/>
      <c r="E92" s="4863"/>
      <c r="F92" s="4863"/>
      <c r="G92" s="4864"/>
      <c r="H92" s="4883"/>
      <c r="I92" s="4884" t="s">
        <v>1166</v>
      </c>
      <c r="J92" s="4885"/>
      <c r="K92" s="4886"/>
      <c r="L92" s="4887"/>
      <c r="M92" s="4867"/>
      <c r="N92" s="4868"/>
      <c r="O92" s="3795"/>
      <c r="P92" s="3795"/>
      <c r="Q92" s="3796"/>
      <c r="R92" s="3796"/>
      <c r="S92" s="3796"/>
      <c r="T92" s="3796"/>
      <c r="U92" s="3796"/>
      <c r="V92" s="3796"/>
      <c r="W92" s="3796"/>
      <c r="X92" s="3796"/>
      <c r="Y92" s="3796"/>
      <c r="Z92" s="3796"/>
      <c r="AA92" s="3796"/>
      <c r="AB92" s="3796"/>
      <c r="AC92" s="3796"/>
      <c r="AD92" s="3796"/>
      <c r="AE92" s="3796"/>
      <c r="AF92" s="3796"/>
      <c r="AG92" s="3796"/>
      <c r="AH92" s="3796">
        <v>0</v>
      </c>
    </row>
    <row s="7720" customFormat="1" customHeight="1" ht="0.75">
      <c r="A93" s="1901"/>
      <c r="B93" s="1901"/>
      <c r="C93" s="490" t="s">
        <v>1176</v>
      </c>
      <c r="D93" s="2583"/>
      <c r="E93" s="2325"/>
      <c r="F93" s="2504"/>
      <c r="G93" s="521"/>
      <c r="H93" s="1621"/>
      <c r="I93" s="772"/>
      <c r="J93" s="692"/>
      <c r="K93" s="1621"/>
      <c r="L93" s="335"/>
      <c r="M93" s="2291"/>
      <c r="N93" s="455"/>
      <c r="O93" s="1745"/>
      <c r="P93" s="1745"/>
      <c r="AH93" s="1752">
        <v>0</v>
      </c>
    </row>
    <row s="7720" customFormat="1" customHeight="1" ht="45" hidden="1">
      <c r="A94" s="1901" t="s">
        <v>185</v>
      </c>
      <c r="B94" s="1901" t="s">
        <v>186</v>
      </c>
      <c r="C94" s="490"/>
      <c r="D94" s="2583"/>
      <c r="E94" s="2325"/>
      <c r="F94" s="2504"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548" t="str">
        <f>INDEX(PT_DIFFERENTIATION_NTAR,MATCH(B94,PT_DIFFERENTIATION_NTAR_ID,0))</f>
        <v/>
      </c>
      <c r="H94" s="1983"/>
      <c r="I94" s="1860"/>
      <c r="J94" s="1894"/>
      <c r="K94" s="1899"/>
      <c r="L94" s="1983" t="s">
        <v>330</v>
      </c>
      <c r="M94" s="2292"/>
      <c r="N94" s="455"/>
      <c r="O94" s="1745"/>
      <c r="P94" s="1745"/>
      <c r="AH94" s="1752">
        <v>0</v>
      </c>
    </row>
    <row s="7720" customFormat="1" customHeight="1" ht="18.75" hidden="1">
      <c r="A95" s="1901"/>
      <c r="B95" s="1901"/>
      <c r="C95" s="490" t="s">
        <v>1167</v>
      </c>
      <c r="D95" s="2583"/>
      <c r="E95" s="2325"/>
      <c r="F95" s="2504"/>
      <c r="G95" s="2548"/>
      <c r="H95" s="1621"/>
      <c r="I95" s="772" t="s">
        <v>1166</v>
      </c>
      <c r="J95" s="692"/>
      <c r="K95" s="1621"/>
      <c r="L95" s="335"/>
      <c r="M95" s="1982"/>
      <c r="N95" s="455"/>
      <c r="O95" s="1745"/>
      <c r="P95" s="1745"/>
      <c r="AH95" s="1752">
        <v>0</v>
      </c>
    </row>
    <row s="7720" customFormat="1" customHeight="1" ht="0.75" hidden="1">
      <c r="A96" s="1901"/>
      <c r="B96" s="1901"/>
      <c r="C96" s="490" t="s">
        <v>1176</v>
      </c>
      <c r="D96" s="2583"/>
      <c r="E96" s="2325"/>
      <c r="F96" s="2504"/>
      <c r="G96" s="521"/>
      <c r="H96" s="1621"/>
      <c r="I96" s="772"/>
      <c r="J96" s="692"/>
      <c r="K96" s="1621"/>
      <c r="L96" s="335"/>
      <c r="M96" s="462"/>
      <c r="N96" s="455"/>
      <c r="O96" s="1745"/>
      <c r="P96" s="1745"/>
      <c r="AH96" s="1752">
        <v>0</v>
      </c>
    </row>
    <row s="7720" customFormat="1" customHeight="1" ht="45">
      <c r="A97" s="1901" t="s">
        <v>193</v>
      </c>
      <c r="B97" s="1901" t="s">
        <v>194</v>
      </c>
      <c r="C97" s="490"/>
      <c r="D97" s="2583"/>
      <c r="E97" s="2325"/>
      <c r="F97" s="2504"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8" t="str">
        <f>INDEX(PT_DIFFERENTIATION_NTAR,MATCH(B97,PT_DIFFERENTIATION_NTAR_ID,0))</f>
        <v>Тариф на теплоноситель, поставляемый потребителям узла теплоснабжения ТЭЦ-21 ПАО "ТГК-1"</v>
      </c>
      <c r="H97" s="1983"/>
      <c r="I97" s="7735">
        <v>46023</v>
      </c>
      <c r="J97" s="7736">
        <v>46387</v>
      </c>
      <c r="K97" s="1899">
        <v>24599.47</v>
      </c>
      <c r="L97" s="1983" t="s">
        <v>330</v>
      </c>
      <c r="M97" s="462"/>
      <c r="N97" s="455"/>
      <c r="O97" s="1745"/>
      <c r="P97" s="1745"/>
      <c r="AH97" s="1752">
        <v>0</v>
      </c>
    </row>
    <row s="7720" customFormat="1" customHeight="1" ht="18.75">
      <c r="A98" s="1901"/>
      <c r="B98" s="1901"/>
      <c r="C98" s="490" t="s">
        <v>1167</v>
      </c>
      <c r="D98" s="2583"/>
      <c r="E98" s="2325"/>
      <c r="F98" s="2504"/>
      <c r="G98" s="2548"/>
      <c r="H98" s="1621"/>
      <c r="I98" s="772" t="s">
        <v>1166</v>
      </c>
      <c r="J98" s="692"/>
      <c r="K98" s="1621"/>
      <c r="L98" s="335"/>
      <c r="M98" s="462"/>
      <c r="N98" s="455"/>
      <c r="O98" s="1745"/>
      <c r="P98" s="1745"/>
      <c r="AH98" s="1752">
        <v>0</v>
      </c>
    </row>
    <row s="7720" customFormat="1" customHeight="1" ht="0.75">
      <c r="A99" s="1901"/>
      <c r="B99" s="1901"/>
      <c r="C99" s="490" t="s">
        <v>1176</v>
      </c>
      <c r="D99" s="2583"/>
      <c r="E99" s="2325"/>
      <c r="F99" s="2504"/>
      <c r="G99" s="521"/>
      <c r="H99" s="1621"/>
      <c r="I99" s="772"/>
      <c r="J99" s="692"/>
      <c r="K99" s="1621"/>
      <c r="L99" s="335"/>
      <c r="M99" s="462"/>
      <c r="N99" s="455"/>
      <c r="O99" s="1745"/>
      <c r="P99" s="1745"/>
      <c r="AH99" s="1752">
        <v>0</v>
      </c>
    </row>
    <row s="7720" customFormat="1" customHeight="1" ht="45" hidden="1">
      <c r="A100" s="1901" t="s">
        <v>199</v>
      </c>
      <c r="B100" s="1901" t="s">
        <v>200</v>
      </c>
      <c r="C100" s="490"/>
      <c r="D100" s="2583"/>
      <c r="E100" s="2325"/>
      <c r="F100" s="250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8" t="str">
        <f>INDEX(PT_DIFFERENTIATION_NTAR,MATCH(B100,PT_DIFFERENTIATION_NTAR_ID,0))</f>
        <v/>
      </c>
      <c r="H100" s="1983"/>
      <c r="I100" s="1860"/>
      <c r="J100" s="1894"/>
      <c r="K100" s="1899"/>
      <c r="L100" s="1983" t="s">
        <v>330</v>
      </c>
      <c r="M100" s="462"/>
      <c r="N100" s="455"/>
      <c r="O100" s="1745"/>
      <c r="P100" s="1745"/>
      <c r="AH100" s="1752">
        <v>0</v>
      </c>
    </row>
    <row s="7720" customFormat="1" customHeight="1" ht="18.75" hidden="1">
      <c r="A101" s="1901"/>
      <c r="B101" s="1901"/>
      <c r="C101" s="490" t="s">
        <v>1167</v>
      </c>
      <c r="D101" s="2583"/>
      <c r="E101" s="2325"/>
      <c r="F101" s="2504"/>
      <c r="G101" s="2548"/>
      <c r="H101" s="1621"/>
      <c r="I101" s="772" t="s">
        <v>1166</v>
      </c>
      <c r="J101" s="692"/>
      <c r="K101" s="1621"/>
      <c r="L101" s="335"/>
      <c r="M101" s="462"/>
      <c r="N101" s="455"/>
      <c r="O101" s="1745"/>
      <c r="P101" s="1745"/>
      <c r="AH101" s="1752">
        <v>0</v>
      </c>
    </row>
    <row s="7720" customFormat="1" customHeight="1" ht="0.75" hidden="1">
      <c r="A102" s="1901"/>
      <c r="B102" s="1901"/>
      <c r="C102" s="490" t="s">
        <v>1176</v>
      </c>
      <c r="D102" s="2583"/>
      <c r="E102" s="2325"/>
      <c r="F102" s="2504"/>
      <c r="G102" s="521"/>
      <c r="H102" s="1621"/>
      <c r="I102" s="772"/>
      <c r="J102" s="692"/>
      <c r="K102" s="1621"/>
      <c r="L102" s="335"/>
      <c r="M102" s="462"/>
      <c r="N102" s="455"/>
      <c r="O102" s="1745"/>
      <c r="P102" s="1745"/>
      <c r="AH102" s="1752">
        <v>0</v>
      </c>
    </row>
    <row s="7720" customFormat="1" customHeight="1" ht="18.75" hidden="1">
      <c r="A103" s="1901" t="s">
        <v>205</v>
      </c>
      <c r="B103" s="1901" t="s">
        <v>206</v>
      </c>
      <c r="C103" s="490"/>
      <c r="D103" s="2583"/>
      <c r="E103" s="2325"/>
      <c r="F103" s="2504" t="str">
        <f>INDEX(PT_DIFFERENTIATION_VTAR,MATCH(A103,PT_DIFFERENTIATION_VTAR_ID,0))</f>
        <v>Тарифы на услуги по передаче тепловой энергии</v>
      </c>
      <c r="G103" s="2548" t="str">
        <f>INDEX(PT_DIFFERENTIATION_NTAR,MATCH(B103,PT_DIFFERENTIATION_NTAR_ID,0))</f>
        <v/>
      </c>
      <c r="H103" s="1983"/>
      <c r="I103" s="1860"/>
      <c r="J103" s="1894"/>
      <c r="K103" s="1899"/>
      <c r="L103" s="1983" t="s">
        <v>330</v>
      </c>
      <c r="M103" s="462"/>
      <c r="N103" s="455"/>
      <c r="O103" s="1745"/>
      <c r="P103" s="1745"/>
      <c r="AH103" s="1752">
        <v>0</v>
      </c>
    </row>
    <row s="7720" customFormat="1" customHeight="1" ht="18.75" hidden="1">
      <c r="A104" s="1901"/>
      <c r="B104" s="1901"/>
      <c r="C104" s="490" t="s">
        <v>1167</v>
      </c>
      <c r="D104" s="2583"/>
      <c r="E104" s="2325"/>
      <c r="F104" s="2504"/>
      <c r="G104" s="2548"/>
      <c r="H104" s="1621"/>
      <c r="I104" s="772" t="s">
        <v>1166</v>
      </c>
      <c r="J104" s="692"/>
      <c r="K104" s="1621"/>
      <c r="L104" s="335"/>
      <c r="M104" s="462"/>
      <c r="N104" s="455"/>
      <c r="O104" s="1745"/>
      <c r="P104" s="1745"/>
      <c r="AH104" s="1752">
        <v>0</v>
      </c>
    </row>
    <row s="7720" customFormat="1" customHeight="1" ht="0.75" hidden="1">
      <c r="A105" s="1901"/>
      <c r="B105" s="1901"/>
      <c r="C105" s="490" t="s">
        <v>1176</v>
      </c>
      <c r="D105" s="2583"/>
      <c r="E105" s="2325"/>
      <c r="F105" s="2504"/>
      <c r="G105" s="521"/>
      <c r="H105" s="1621"/>
      <c r="I105" s="772"/>
      <c r="J105" s="692"/>
      <c r="K105" s="1621"/>
      <c r="L105" s="335"/>
      <c r="M105" s="462"/>
      <c r="N105" s="455"/>
      <c r="O105" s="1745"/>
      <c r="P105" s="1745"/>
      <c r="AH105" s="1752">
        <v>0</v>
      </c>
    </row>
    <row s="7720" customFormat="1" customHeight="1" ht="18.75" hidden="1">
      <c r="A106" s="1901" t="s">
        <v>211</v>
      </c>
      <c r="B106" s="1901" t="s">
        <v>212</v>
      </c>
      <c r="C106" s="490"/>
      <c r="D106" s="2583"/>
      <c r="E106" s="2325"/>
      <c r="F106" s="2504" t="str">
        <f>INDEX(PT_DIFFERENTIATION_VTAR,MATCH(A106,PT_DIFFERENTIATION_VTAR_ID,0))</f>
        <v>Тарифы на услуги по передаче теплоносителя</v>
      </c>
      <c r="G106" s="2548" t="str">
        <f>INDEX(PT_DIFFERENTIATION_NTAR,MATCH(B106,PT_DIFFERENTIATION_NTAR_ID,0))</f>
        <v/>
      </c>
      <c r="H106" s="1983"/>
      <c r="I106" s="1860"/>
      <c r="J106" s="1894"/>
      <c r="K106" s="1899"/>
      <c r="L106" s="1983" t="s">
        <v>330</v>
      </c>
      <c r="M106" s="462"/>
      <c r="N106" s="455"/>
      <c r="O106" s="1745"/>
      <c r="P106" s="1745"/>
      <c r="AH106" s="1752">
        <v>0</v>
      </c>
    </row>
    <row s="7720" customFormat="1" customHeight="1" ht="18.75" hidden="1">
      <c r="A107" s="1901"/>
      <c r="B107" s="1901"/>
      <c r="C107" s="490" t="s">
        <v>1167</v>
      </c>
      <c r="D107" s="2583"/>
      <c r="E107" s="2325"/>
      <c r="F107" s="2504"/>
      <c r="G107" s="2548"/>
      <c r="H107" s="1621"/>
      <c r="I107" s="772" t="s">
        <v>1166</v>
      </c>
      <c r="J107" s="692"/>
      <c r="K107" s="1621"/>
      <c r="L107" s="335"/>
      <c r="M107" s="462"/>
      <c r="N107" s="455"/>
      <c r="O107" s="1745"/>
      <c r="P107" s="1745"/>
      <c r="AH107" s="1752">
        <v>0</v>
      </c>
    </row>
    <row s="7720" customFormat="1" customHeight="1" ht="0.75" hidden="1">
      <c r="A108" s="1901"/>
      <c r="B108" s="1901"/>
      <c r="C108" s="490" t="s">
        <v>1176</v>
      </c>
      <c r="D108" s="2583"/>
      <c r="E108" s="2325"/>
      <c r="F108" s="2504"/>
      <c r="G108" s="521"/>
      <c r="H108" s="1621"/>
      <c r="I108" s="772"/>
      <c r="J108" s="692"/>
      <c r="K108" s="1621"/>
      <c r="L108" s="335"/>
      <c r="M108" s="462"/>
      <c r="N108" s="455"/>
      <c r="O108" s="1745"/>
      <c r="P108" s="1745"/>
      <c r="AH108" s="1752">
        <v>0</v>
      </c>
    </row>
    <row s="7720" customFormat="1" customHeight="1" ht="18.75" hidden="1">
      <c r="A109" s="1901" t="s">
        <v>217</v>
      </c>
      <c r="B109" s="1901" t="s">
        <v>218</v>
      </c>
      <c r="C109" s="490"/>
      <c r="D109" s="2583"/>
      <c r="E109" s="2325"/>
      <c r="F109" s="250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8" t="str">
        <f>INDEX(PT_DIFFERENTIATION_NTAR,MATCH(B109,PT_DIFFERENTIATION_NTAR_ID,0))</f>
        <v/>
      </c>
      <c r="H109" s="1983"/>
      <c r="I109" s="1860"/>
      <c r="J109" s="1894"/>
      <c r="K109" s="1899"/>
      <c r="L109" s="1983" t="s">
        <v>330</v>
      </c>
      <c r="M109" s="462"/>
      <c r="N109" s="455"/>
      <c r="O109" s="1745"/>
      <c r="P109" s="1745"/>
      <c r="AH109" s="1752">
        <v>0</v>
      </c>
    </row>
    <row s="7720" customFormat="1" customHeight="1" ht="18.75" hidden="1">
      <c r="A110" s="1901"/>
      <c r="B110" s="1901"/>
      <c r="C110" s="490" t="s">
        <v>1167</v>
      </c>
      <c r="D110" s="2583"/>
      <c r="E110" s="2325"/>
      <c r="F110" s="2504"/>
      <c r="G110" s="2548"/>
      <c r="H110" s="1621"/>
      <c r="I110" s="772" t="s">
        <v>1166</v>
      </c>
      <c r="J110" s="692"/>
      <c r="K110" s="1621"/>
      <c r="L110" s="335"/>
      <c r="M110" s="462"/>
      <c r="N110" s="455"/>
      <c r="O110" s="1745"/>
      <c r="P110" s="1745"/>
      <c r="AH110" s="1752">
        <v>0</v>
      </c>
    </row>
    <row s="7720" customFormat="1" customHeight="1" ht="0.75" hidden="1">
      <c r="A111" s="1901"/>
      <c r="B111" s="1901"/>
      <c r="C111" s="490" t="s">
        <v>1176</v>
      </c>
      <c r="D111" s="2583"/>
      <c r="E111" s="2325"/>
      <c r="F111" s="2504"/>
      <c r="G111" s="521"/>
      <c r="H111" s="1621"/>
      <c r="I111" s="772"/>
      <c r="J111" s="692"/>
      <c r="K111" s="1621"/>
      <c r="L111" s="335"/>
      <c r="M111" s="462"/>
      <c r="N111" s="455"/>
      <c r="O111" s="1745"/>
      <c r="P111" s="1745"/>
      <c r="AH111" s="1752">
        <v>0</v>
      </c>
    </row>
    <row s="7720" customFormat="1" customHeight="1" ht="18.75" hidden="1">
      <c r="A112" s="1901" t="s">
        <v>223</v>
      </c>
      <c r="B112" s="1901" t="s">
        <v>224</v>
      </c>
      <c r="C112" s="490"/>
      <c r="D112" s="2583"/>
      <c r="E112" s="2325"/>
      <c r="F112" s="2504" t="str">
        <f>INDEX(PT_DIFFERENTIATION_VTAR,MATCH(A112,PT_DIFFERENTIATION_VTAR_ID,0))</f>
        <v>Плата за подключение (технологическое присоединение) к системе теплоснабжения</v>
      </c>
      <c r="G112" s="2548" t="str">
        <f>INDEX(PT_DIFFERENTIATION_NTAR,MATCH(B112,PT_DIFFERENTIATION_NTAR_ID,0))</f>
        <v/>
      </c>
      <c r="H112" s="1983"/>
      <c r="I112" s="1860"/>
      <c r="J112" s="1894"/>
      <c r="K112" s="1899"/>
      <c r="L112" s="1983" t="s">
        <v>330</v>
      </c>
      <c r="M112" s="462"/>
      <c r="N112" s="455"/>
      <c r="O112" s="1745"/>
      <c r="P112" s="1745"/>
      <c r="AH112" s="1752">
        <v>0</v>
      </c>
    </row>
    <row s="7720" customFormat="1" customHeight="1" ht="18.75" hidden="1">
      <c r="A113" s="1901"/>
      <c r="B113" s="1901"/>
      <c r="C113" s="490" t="s">
        <v>1167</v>
      </c>
      <c r="D113" s="2583"/>
      <c r="E113" s="2325"/>
      <c r="F113" s="2504"/>
      <c r="G113" s="2548"/>
      <c r="H113" s="1621"/>
      <c r="I113" s="772" t="s">
        <v>1166</v>
      </c>
      <c r="J113" s="692"/>
      <c r="K113" s="1621"/>
      <c r="L113" s="335"/>
      <c r="M113" s="462"/>
      <c r="N113" s="455"/>
      <c r="O113" s="1745"/>
      <c r="P113" s="1745"/>
      <c r="AH113" s="1752">
        <v>0</v>
      </c>
    </row>
    <row s="7720" customFormat="1" customHeight="1" ht="0.75" hidden="1">
      <c r="A114" s="1901"/>
      <c r="B114" s="1901"/>
      <c r="C114" s="490" t="s">
        <v>1176</v>
      </c>
      <c r="D114" s="2583"/>
      <c r="E114" s="2325"/>
      <c r="F114" s="2504"/>
      <c r="G114" s="521"/>
      <c r="H114" s="1621"/>
      <c r="I114" s="772"/>
      <c r="J114" s="692"/>
      <c r="K114" s="1621"/>
      <c r="L114" s="335"/>
      <c r="M114" s="462"/>
      <c r="N114" s="455"/>
      <c r="O114" s="1745"/>
      <c r="P114" s="1745"/>
      <c r="AH114" s="1752">
        <v>0</v>
      </c>
    </row>
    <row s="7720" customFormat="1" customHeight="1" ht="18.75" hidden="1">
      <c r="A115" s="1901" t="s">
        <v>229</v>
      </c>
      <c r="B115" s="1901" t="s">
        <v>230</v>
      </c>
      <c r="C115" s="490"/>
      <c r="D115" s="2583"/>
      <c r="E115" s="2325"/>
      <c r="F115" s="2504" t="str">
        <f>INDEX(PT_DIFFERENTIATION_VTAR,MATCH(A115,PT_DIFFERENTIATION_VTAR_ID,0))</f>
        <v>Плата за подключение (технологическое присоединение) к системе теплоснабжения (индивидуальная)</v>
      </c>
      <c r="G115" s="2548" t="str">
        <f>INDEX(PT_DIFFERENTIATION_NTAR,MATCH(B115,PT_DIFFERENTIATION_NTAR_ID,0))</f>
        <v/>
      </c>
      <c r="H115" s="2110"/>
      <c r="I115" s="1860"/>
      <c r="J115" s="1894"/>
      <c r="K115" s="1899"/>
      <c r="L115" s="2110" t="s">
        <v>330</v>
      </c>
      <c r="M115" s="462"/>
      <c r="N115" s="455"/>
      <c r="O115" s="1745"/>
      <c r="P115" s="1745"/>
      <c r="AH115" s="1752">
        <v>0</v>
      </c>
    </row>
    <row s="7720" customFormat="1" customHeight="1" ht="18.75" hidden="1">
      <c r="A116" s="1901"/>
      <c r="B116" s="1901"/>
      <c r="C116" s="490" t="s">
        <v>1167</v>
      </c>
      <c r="D116" s="2583"/>
      <c r="E116" s="2325"/>
      <c r="F116" s="2504"/>
      <c r="G116" s="2548"/>
      <c r="H116" s="1621"/>
      <c r="I116" s="772" t="s">
        <v>1166</v>
      </c>
      <c r="J116" s="692"/>
      <c r="K116" s="1621"/>
      <c r="L116" s="335"/>
      <c r="M116" s="462"/>
      <c r="N116" s="455"/>
      <c r="O116" s="1745"/>
      <c r="P116" s="1745"/>
      <c r="AH116" s="1752">
        <v>0</v>
      </c>
    </row>
    <row s="7720" customFormat="1" customHeight="1" ht="0.75" hidden="1">
      <c r="A117" s="1901"/>
      <c r="B117" s="1901"/>
      <c r="C117" s="490" t="s">
        <v>1176</v>
      </c>
      <c r="D117" s="2583"/>
      <c r="E117" s="2325"/>
      <c r="F117" s="2504"/>
      <c r="G117" s="521"/>
      <c r="H117" s="1621"/>
      <c r="I117" s="772"/>
      <c r="J117" s="692"/>
      <c r="K117" s="1621"/>
      <c r="L117" s="335"/>
      <c r="M117" s="462"/>
      <c r="N117" s="455"/>
      <c r="O117" s="1745"/>
      <c r="P117" s="1745"/>
      <c r="AH117" s="1752">
        <v>0</v>
      </c>
    </row>
    <row s="7720" customFormat="1" customHeight="1" ht="18.75" hidden="1">
      <c r="A118" s="1901" t="s">
        <v>249</v>
      </c>
      <c r="B118" s="1901" t="s">
        <v>250</v>
      </c>
      <c r="C118" s="490"/>
      <c r="D118" s="2583"/>
      <c r="E118" s="2325"/>
      <c r="F118" s="2504" t="str">
        <f>INDEX(PT_DIFFERENTIATION_VTAR,MATCH(A118,PT_DIFFERENTIATION_VTAR_ID,0))</f>
        <v>Тариф на питьевую воду (питьевое водоснабжение)</v>
      </c>
      <c r="G118" s="2548" t="str">
        <f>INDEX(PT_DIFFERENTIATION_NTAR,MATCH(B118,PT_DIFFERENTIATION_NTAR_ID,0))</f>
        <v/>
      </c>
      <c r="H118" s="1983"/>
      <c r="I118" s="1860"/>
      <c r="J118" s="1894"/>
      <c r="K118" s="1899"/>
      <c r="L118" s="1983" t="s">
        <v>330</v>
      </c>
      <c r="M118" s="462"/>
      <c r="N118" s="455"/>
      <c r="O118" s="1745"/>
      <c r="P118" s="1745"/>
      <c r="AH118" s="1752">
        <v>0</v>
      </c>
    </row>
    <row s="7720" customFormat="1" customHeight="1" ht="18.75" hidden="1">
      <c r="A119" s="1901"/>
      <c r="B119" s="1901"/>
      <c r="C119" s="490" t="s">
        <v>1167</v>
      </c>
      <c r="D119" s="2583"/>
      <c r="E119" s="2325"/>
      <c r="F119" s="2504"/>
      <c r="G119" s="2548"/>
      <c r="H119" s="1621"/>
      <c r="I119" s="772" t="s">
        <v>1166</v>
      </c>
      <c r="J119" s="692"/>
      <c r="K119" s="1621"/>
      <c r="L119" s="335"/>
      <c r="M119" s="462"/>
      <c r="N119" s="455"/>
      <c r="O119" s="1745"/>
      <c r="P119" s="1745"/>
      <c r="AH119" s="1752">
        <v>0</v>
      </c>
    </row>
    <row s="7720" customFormat="1" customHeight="1" ht="0.75" hidden="1">
      <c r="A120" s="1901"/>
      <c r="B120" s="1901"/>
      <c r="C120" s="490" t="s">
        <v>1176</v>
      </c>
      <c r="D120" s="2583"/>
      <c r="E120" s="2325"/>
      <c r="F120" s="2504"/>
      <c r="G120" s="521"/>
      <c r="H120" s="1621"/>
      <c r="I120" s="772"/>
      <c r="J120" s="692"/>
      <c r="K120" s="1621"/>
      <c r="L120" s="335"/>
      <c r="M120" s="462"/>
      <c r="N120" s="455"/>
      <c r="O120" s="1745"/>
      <c r="P120" s="1745"/>
      <c r="AH120" s="1752">
        <v>0</v>
      </c>
    </row>
    <row s="7720" customFormat="1" customHeight="1" ht="18.75" hidden="1">
      <c r="A121" s="1901" t="s">
        <v>254</v>
      </c>
      <c r="B121" s="1901" t="s">
        <v>255</v>
      </c>
      <c r="C121" s="490"/>
      <c r="D121" s="2583"/>
      <c r="E121" s="2325"/>
      <c r="F121" s="2504" t="str">
        <f>INDEX(PT_DIFFERENTIATION_VTAR,MATCH(A121,PT_DIFFERENTIATION_VTAR_ID,0))</f>
        <v>Тариф на техническую воду</v>
      </c>
      <c r="G121" s="2548" t="str">
        <f>INDEX(PT_DIFFERENTIATION_NTAR,MATCH(B121,PT_DIFFERENTIATION_NTAR_ID,0))</f>
        <v/>
      </c>
      <c r="H121" s="1983"/>
      <c r="I121" s="1860"/>
      <c r="J121" s="1894"/>
      <c r="K121" s="1899"/>
      <c r="L121" s="1983" t="s">
        <v>330</v>
      </c>
      <c r="M121" s="462"/>
      <c r="N121" s="455"/>
      <c r="O121" s="1745"/>
      <c r="P121" s="1745"/>
      <c r="AH121" s="1752">
        <v>0</v>
      </c>
    </row>
    <row s="7720" customFormat="1" customHeight="1" ht="18.75" hidden="1">
      <c r="A122" s="1901"/>
      <c r="B122" s="1901"/>
      <c r="C122" s="490" t="s">
        <v>1167</v>
      </c>
      <c r="D122" s="2583"/>
      <c r="E122" s="2325"/>
      <c r="F122" s="2504"/>
      <c r="G122" s="2548"/>
      <c r="H122" s="1621"/>
      <c r="I122" s="772" t="s">
        <v>1166</v>
      </c>
      <c r="J122" s="692"/>
      <c r="K122" s="1621"/>
      <c r="L122" s="335"/>
      <c r="M122" s="462"/>
      <c r="N122" s="455"/>
      <c r="O122" s="1745"/>
      <c r="P122" s="1745"/>
      <c r="AH122" s="1752">
        <v>0</v>
      </c>
    </row>
    <row s="7720" customFormat="1" customHeight="1" ht="0.75" hidden="1">
      <c r="A123" s="1901"/>
      <c r="B123" s="1901"/>
      <c r="C123" s="490" t="s">
        <v>1176</v>
      </c>
      <c r="D123" s="2583"/>
      <c r="E123" s="2325"/>
      <c r="F123" s="2504"/>
      <c r="G123" s="521"/>
      <c r="H123" s="1621"/>
      <c r="I123" s="772"/>
      <c r="J123" s="692"/>
      <c r="K123" s="1621"/>
      <c r="L123" s="335"/>
      <c r="M123" s="462"/>
      <c r="N123" s="455"/>
      <c r="O123" s="1745"/>
      <c r="P123" s="1745"/>
      <c r="AH123" s="1752">
        <v>0</v>
      </c>
    </row>
    <row s="7720" customFormat="1" customHeight="1" ht="18.75" hidden="1">
      <c r="A124" s="1901" t="s">
        <v>259</v>
      </c>
      <c r="B124" s="1901" t="s">
        <v>260</v>
      </c>
      <c r="C124" s="490"/>
      <c r="D124" s="2583"/>
      <c r="E124" s="2325"/>
      <c r="F124" s="2504" t="str">
        <f>INDEX(PT_DIFFERENTIATION_VTAR,MATCH(A124,PT_DIFFERENTIATION_VTAR_ID,0))</f>
        <v>Тариф на транспортировку воды</v>
      </c>
      <c r="G124" s="2548" t="str">
        <f>INDEX(PT_DIFFERENTIATION_NTAR,MATCH(B124,PT_DIFFERENTIATION_NTAR_ID,0))</f>
        <v/>
      </c>
      <c r="H124" s="1983"/>
      <c r="I124" s="1860"/>
      <c r="J124" s="1894"/>
      <c r="K124" s="1899"/>
      <c r="L124" s="1983" t="s">
        <v>330</v>
      </c>
      <c r="M124" s="462"/>
      <c r="N124" s="455"/>
      <c r="O124" s="1745"/>
      <c r="P124" s="1745"/>
      <c r="AH124" s="1752">
        <v>0</v>
      </c>
    </row>
    <row s="7720" customFormat="1" customHeight="1" ht="18.75" hidden="1">
      <c r="A125" s="1901"/>
      <c r="B125" s="1901"/>
      <c r="C125" s="490" t="s">
        <v>1167</v>
      </c>
      <c r="D125" s="2583"/>
      <c r="E125" s="2325"/>
      <c r="F125" s="2504"/>
      <c r="G125" s="2548"/>
      <c r="H125" s="1621"/>
      <c r="I125" s="772" t="s">
        <v>1166</v>
      </c>
      <c r="J125" s="692"/>
      <c r="K125" s="1621"/>
      <c r="L125" s="335"/>
      <c r="M125" s="462"/>
      <c r="N125" s="455"/>
      <c r="O125" s="1745"/>
      <c r="P125" s="1745"/>
      <c r="AH125" s="1752">
        <v>0</v>
      </c>
    </row>
    <row s="7720" customFormat="1" customHeight="1" ht="0.75" hidden="1">
      <c r="A126" s="1901"/>
      <c r="B126" s="1901"/>
      <c r="C126" s="490" t="s">
        <v>1176</v>
      </c>
      <c r="D126" s="2583"/>
      <c r="E126" s="2325"/>
      <c r="F126" s="2504"/>
      <c r="G126" s="521"/>
      <c r="H126" s="1621"/>
      <c r="I126" s="772"/>
      <c r="J126" s="692"/>
      <c r="K126" s="1621"/>
      <c r="L126" s="335"/>
      <c r="M126" s="462"/>
      <c r="N126" s="455"/>
      <c r="O126" s="1745"/>
      <c r="P126" s="1745"/>
      <c r="AH126" s="1752">
        <v>0</v>
      </c>
    </row>
    <row s="7720" customFormat="1" customHeight="1" ht="18.75" hidden="1">
      <c r="A127" s="1901" t="s">
        <v>264</v>
      </c>
      <c r="B127" s="1901" t="s">
        <v>265</v>
      </c>
      <c r="C127" s="490"/>
      <c r="D127" s="2583"/>
      <c r="E127" s="2325"/>
      <c r="F127" s="2504" t="str">
        <f>INDEX(PT_DIFFERENTIATION_VTAR,MATCH(A127,PT_DIFFERENTIATION_VTAR_ID,0))</f>
        <v>Тариф на подвоз воды</v>
      </c>
      <c r="G127" s="2548" t="str">
        <f>INDEX(PT_DIFFERENTIATION_NTAR,MATCH(B127,PT_DIFFERENTIATION_NTAR_ID,0))</f>
        <v/>
      </c>
      <c r="H127" s="1983"/>
      <c r="I127" s="1860"/>
      <c r="J127" s="1894"/>
      <c r="K127" s="1899"/>
      <c r="L127" s="1983" t="s">
        <v>330</v>
      </c>
      <c r="M127" s="462"/>
      <c r="N127" s="455"/>
      <c r="O127" s="1745"/>
      <c r="P127" s="1745"/>
      <c r="AH127" s="1752">
        <v>0</v>
      </c>
    </row>
    <row s="7720" customFormat="1" customHeight="1" ht="18.75" hidden="1">
      <c r="A128" s="1901"/>
      <c r="B128" s="1901"/>
      <c r="C128" s="490" t="s">
        <v>1167</v>
      </c>
      <c r="D128" s="2583"/>
      <c r="E128" s="2325"/>
      <c r="F128" s="2504"/>
      <c r="G128" s="2548"/>
      <c r="H128" s="1621"/>
      <c r="I128" s="772" t="s">
        <v>1166</v>
      </c>
      <c r="J128" s="692"/>
      <c r="K128" s="1621"/>
      <c r="L128" s="335"/>
      <c r="M128" s="462"/>
      <c r="N128" s="455"/>
      <c r="O128" s="1745"/>
      <c r="P128" s="1745"/>
      <c r="AH128" s="1752">
        <v>0</v>
      </c>
    </row>
    <row s="7720" customFormat="1" customHeight="1" ht="0.75" hidden="1">
      <c r="A129" s="1901"/>
      <c r="B129" s="1901"/>
      <c r="C129" s="490" t="s">
        <v>1176</v>
      </c>
      <c r="D129" s="2583"/>
      <c r="E129" s="2325"/>
      <c r="F129" s="2504"/>
      <c r="G129" s="521"/>
      <c r="H129" s="1621"/>
      <c r="I129" s="772"/>
      <c r="J129" s="692"/>
      <c r="K129" s="1621"/>
      <c r="L129" s="335"/>
      <c r="M129" s="462"/>
      <c r="N129" s="455"/>
      <c r="O129" s="1745"/>
      <c r="P129" s="1745"/>
      <c r="AH129" s="1752">
        <v>0</v>
      </c>
    </row>
    <row s="7720" customFormat="1" customHeight="1" ht="18.75" hidden="1">
      <c r="A130" s="1901" t="s">
        <v>269</v>
      </c>
      <c r="B130" s="1901" t="s">
        <v>270</v>
      </c>
      <c r="C130" s="490"/>
      <c r="D130" s="2583"/>
      <c r="E130" s="2325"/>
      <c r="F130" s="250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8" t="str">
        <f>INDEX(PT_DIFFERENTIATION_NTAR,MATCH(B130,PT_DIFFERENTIATION_NTAR_ID,0))</f>
        <v/>
      </c>
      <c r="H130" s="1983"/>
      <c r="I130" s="1860"/>
      <c r="J130" s="1894"/>
      <c r="K130" s="1899"/>
      <c r="L130" s="1983" t="s">
        <v>330</v>
      </c>
      <c r="M130" s="462"/>
      <c r="N130" s="455"/>
      <c r="O130" s="1745"/>
      <c r="P130" s="1745"/>
      <c r="AH130" s="1752">
        <v>0</v>
      </c>
    </row>
    <row s="7720" customFormat="1" customHeight="1" ht="18.75" hidden="1">
      <c r="A131" s="1901"/>
      <c r="B131" s="1901"/>
      <c r="C131" s="490" t="s">
        <v>1167</v>
      </c>
      <c r="D131" s="2583"/>
      <c r="E131" s="2325"/>
      <c r="F131" s="2504"/>
      <c r="G131" s="2548"/>
      <c r="H131" s="1621"/>
      <c r="I131" s="772" t="s">
        <v>1166</v>
      </c>
      <c r="J131" s="692"/>
      <c r="K131" s="1621"/>
      <c r="L131" s="335"/>
      <c r="M131" s="462"/>
      <c r="N131" s="455"/>
      <c r="O131" s="1745"/>
      <c r="P131" s="1745"/>
      <c r="AH131" s="1752">
        <v>0</v>
      </c>
    </row>
    <row s="7720" customFormat="1" customHeight="1" ht="0.75" hidden="1">
      <c r="A132" s="1901"/>
      <c r="B132" s="1901"/>
      <c r="C132" s="490" t="s">
        <v>1176</v>
      </c>
      <c r="D132" s="2583"/>
      <c r="E132" s="2325"/>
      <c r="F132" s="2504"/>
      <c r="G132" s="521"/>
      <c r="H132" s="1621"/>
      <c r="I132" s="772"/>
      <c r="J132" s="692"/>
      <c r="K132" s="1621"/>
      <c r="L132" s="335"/>
      <c r="M132" s="462"/>
      <c r="N132" s="455"/>
      <c r="O132" s="1745"/>
      <c r="P132" s="1745"/>
      <c r="AH132" s="1752">
        <v>0</v>
      </c>
    </row>
    <row s="7720" customFormat="1" customHeight="1" ht="18.75" hidden="1">
      <c r="A133" s="1901" t="s">
        <v>274</v>
      </c>
      <c r="B133" s="1901" t="s">
        <v>275</v>
      </c>
      <c r="C133" s="490"/>
      <c r="D133" s="2583"/>
      <c r="E133" s="2325"/>
      <c r="F133" s="2504" t="str">
        <f>INDEX(PT_DIFFERENTIATION_VTAR,MATCH(A133,PT_DIFFERENTIATION_VTAR_ID,0))</f>
        <v>Тариф на горячую воду (горячее водоснабжение)</v>
      </c>
      <c r="G133" s="2548" t="str">
        <f>INDEX(PT_DIFFERENTIATION_NTAR,MATCH(B133,PT_DIFFERENTIATION_NTAR_ID,0))</f>
        <v/>
      </c>
      <c r="H133" s="1983"/>
      <c r="I133" s="1860"/>
      <c r="J133" s="1894"/>
      <c r="K133" s="1899"/>
      <c r="L133" s="1983" t="s">
        <v>330</v>
      </c>
      <c r="M133" s="462"/>
      <c r="N133" s="455"/>
      <c r="O133" s="1745"/>
      <c r="P133" s="1745"/>
      <c r="AH133" s="1752">
        <v>0</v>
      </c>
    </row>
    <row s="7720" customFormat="1" customHeight="1" ht="18.75" hidden="1">
      <c r="A134" s="1901"/>
      <c r="B134" s="1901"/>
      <c r="C134" s="490" t="s">
        <v>1167</v>
      </c>
      <c r="D134" s="2583"/>
      <c r="E134" s="2325"/>
      <c r="F134" s="2504"/>
      <c r="G134" s="2548"/>
      <c r="H134" s="1621"/>
      <c r="I134" s="772" t="s">
        <v>1166</v>
      </c>
      <c r="J134" s="692"/>
      <c r="K134" s="1621"/>
      <c r="L134" s="335"/>
      <c r="M134" s="462"/>
      <c r="N134" s="455"/>
      <c r="O134" s="1745"/>
      <c r="P134" s="1745"/>
      <c r="AH134" s="1752">
        <v>0</v>
      </c>
    </row>
    <row s="7720" customFormat="1" customHeight="1" ht="0.75" hidden="1">
      <c r="A135" s="1901"/>
      <c r="B135" s="1901"/>
      <c r="C135" s="490" t="s">
        <v>1176</v>
      </c>
      <c r="D135" s="2583"/>
      <c r="E135" s="2325"/>
      <c r="F135" s="2504"/>
      <c r="G135" s="521"/>
      <c r="H135" s="1621"/>
      <c r="I135" s="772"/>
      <c r="J135" s="692"/>
      <c r="K135" s="1621"/>
      <c r="L135" s="335"/>
      <c r="M135" s="462"/>
      <c r="N135" s="455"/>
      <c r="O135" s="1745"/>
      <c r="P135" s="1745"/>
      <c r="AH135" s="1752">
        <v>0</v>
      </c>
    </row>
    <row s="7720" customFormat="1" customHeight="1" ht="18.75" hidden="1">
      <c r="A136" s="1901" t="s">
        <v>279</v>
      </c>
      <c r="B136" s="1901" t="s">
        <v>280</v>
      </c>
      <c r="C136" s="490"/>
      <c r="D136" s="2583"/>
      <c r="E136" s="2325"/>
      <c r="F136" s="2504" t="str">
        <f>INDEX(PT_DIFFERENTIATION_VTAR,MATCH(A136,PT_DIFFERENTIATION_VTAR_ID,0))</f>
        <v>Тариф на транспортировку горячей воды</v>
      </c>
      <c r="G136" s="2548" t="str">
        <f>INDEX(PT_DIFFERENTIATION_NTAR,MATCH(B136,PT_DIFFERENTIATION_NTAR_ID,0))</f>
        <v/>
      </c>
      <c r="H136" s="1983"/>
      <c r="I136" s="1860"/>
      <c r="J136" s="1894"/>
      <c r="K136" s="1899"/>
      <c r="L136" s="1983" t="s">
        <v>330</v>
      </c>
      <c r="M136" s="462"/>
      <c r="N136" s="455"/>
      <c r="O136" s="1745"/>
      <c r="P136" s="1745"/>
      <c r="AH136" s="1752">
        <v>0</v>
      </c>
    </row>
    <row s="7720" customFormat="1" customHeight="1" ht="18.75" hidden="1">
      <c r="A137" s="1901"/>
      <c r="B137" s="1901"/>
      <c r="C137" s="490" t="s">
        <v>1167</v>
      </c>
      <c r="D137" s="2583"/>
      <c r="E137" s="2325"/>
      <c r="F137" s="2504"/>
      <c r="G137" s="2548"/>
      <c r="H137" s="1621"/>
      <c r="I137" s="772" t="s">
        <v>1166</v>
      </c>
      <c r="J137" s="692"/>
      <c r="K137" s="1621"/>
      <c r="L137" s="335"/>
      <c r="M137" s="462"/>
      <c r="N137" s="455"/>
      <c r="O137" s="1745"/>
      <c r="P137" s="1745"/>
      <c r="AH137" s="1752">
        <v>0</v>
      </c>
    </row>
    <row s="7720" customFormat="1" customHeight="1" ht="0.75" hidden="1">
      <c r="A138" s="1901"/>
      <c r="B138" s="1901"/>
      <c r="C138" s="490" t="s">
        <v>1176</v>
      </c>
      <c r="D138" s="2583"/>
      <c r="E138" s="2325"/>
      <c r="F138" s="2504"/>
      <c r="G138" s="521"/>
      <c r="H138" s="1621"/>
      <c r="I138" s="772"/>
      <c r="J138" s="692"/>
      <c r="K138" s="1621"/>
      <c r="L138" s="335"/>
      <c r="M138" s="462"/>
      <c r="N138" s="455"/>
      <c r="O138" s="1745"/>
      <c r="P138" s="1745"/>
      <c r="AH138" s="1752">
        <v>0</v>
      </c>
    </row>
    <row s="7720" customFormat="1" customHeight="1" ht="18.75" hidden="1">
      <c r="A139" s="1901" t="s">
        <v>284</v>
      </c>
      <c r="B139" s="1901" t="s">
        <v>285</v>
      </c>
      <c r="C139" s="490"/>
      <c r="D139" s="2583"/>
      <c r="E139" s="2325"/>
      <c r="F139" s="250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8" t="str">
        <f>INDEX(PT_DIFFERENTIATION_NTAR,MATCH(B139,PT_DIFFERENTIATION_NTAR_ID,0))</f>
        <v/>
      </c>
      <c r="H139" s="1983"/>
      <c r="I139" s="1860"/>
      <c r="J139" s="1894"/>
      <c r="K139" s="1899"/>
      <c r="L139" s="1983" t="s">
        <v>330</v>
      </c>
      <c r="M139" s="462"/>
      <c r="N139" s="455"/>
      <c r="O139" s="1745"/>
      <c r="P139" s="1745"/>
      <c r="AH139" s="1752">
        <v>0</v>
      </c>
    </row>
    <row s="7720" customFormat="1" customHeight="1" ht="18.75" hidden="1">
      <c r="A140" s="1901"/>
      <c r="B140" s="1901"/>
      <c r="C140" s="490" t="s">
        <v>1167</v>
      </c>
      <c r="D140" s="2583"/>
      <c r="E140" s="2325"/>
      <c r="F140" s="2504"/>
      <c r="G140" s="2548"/>
      <c r="H140" s="1621"/>
      <c r="I140" s="772" t="s">
        <v>1166</v>
      </c>
      <c r="J140" s="692"/>
      <c r="K140" s="1621"/>
      <c r="L140" s="335"/>
      <c r="M140" s="462"/>
      <c r="N140" s="455"/>
      <c r="O140" s="1745"/>
      <c r="P140" s="1745"/>
      <c r="AH140" s="1752">
        <v>0</v>
      </c>
    </row>
    <row s="7720" customFormat="1" customHeight="1" ht="0.75" hidden="1">
      <c r="A141" s="1901"/>
      <c r="B141" s="1901"/>
      <c r="C141" s="490" t="s">
        <v>1176</v>
      </c>
      <c r="D141" s="2583"/>
      <c r="E141" s="2325"/>
      <c r="F141" s="2504"/>
      <c r="G141" s="521"/>
      <c r="H141" s="1621"/>
      <c r="I141" s="772"/>
      <c r="J141" s="692"/>
      <c r="K141" s="1621"/>
      <c r="L141" s="335"/>
      <c r="M141" s="462"/>
      <c r="N141" s="455"/>
      <c r="O141" s="1745"/>
      <c r="P141" s="1745"/>
      <c r="AH141" s="1752">
        <v>0</v>
      </c>
    </row>
    <row s="7720" customFormat="1" customHeight="1" ht="18.75" hidden="1">
      <c r="A142" s="1901" t="s">
        <v>289</v>
      </c>
      <c r="B142" s="1901" t="s">
        <v>290</v>
      </c>
      <c r="C142" s="490"/>
      <c r="D142" s="2583"/>
      <c r="E142" s="2325"/>
      <c r="F142" s="2504" t="str">
        <f>INDEX(PT_DIFFERENTIATION_VTAR,MATCH(A142,PT_DIFFERENTIATION_VTAR_ID,0))</f>
        <v>Тариф на водоотведение</v>
      </c>
      <c r="G142" s="2548" t="str">
        <f>INDEX(PT_DIFFERENTIATION_NTAR,MATCH(B142,PT_DIFFERENTIATION_NTAR_ID,0))</f>
        <v/>
      </c>
      <c r="H142" s="1983"/>
      <c r="I142" s="1860"/>
      <c r="J142" s="1894"/>
      <c r="K142" s="1899"/>
      <c r="L142" s="1983" t="s">
        <v>330</v>
      </c>
      <c r="M142" s="462"/>
      <c r="N142" s="455"/>
      <c r="O142" s="1745"/>
      <c r="P142" s="1745"/>
      <c r="AH142" s="1752">
        <v>0</v>
      </c>
    </row>
    <row s="7720" customFormat="1" customHeight="1" ht="18.75" hidden="1">
      <c r="A143" s="1901"/>
      <c r="B143" s="1901"/>
      <c r="C143" s="490" t="s">
        <v>1167</v>
      </c>
      <c r="D143" s="2583"/>
      <c r="E143" s="2325"/>
      <c r="F143" s="2504"/>
      <c r="G143" s="2548"/>
      <c r="H143" s="1621"/>
      <c r="I143" s="772" t="s">
        <v>1166</v>
      </c>
      <c r="J143" s="692"/>
      <c r="K143" s="1621"/>
      <c r="L143" s="335"/>
      <c r="M143" s="462"/>
      <c r="N143" s="455"/>
      <c r="O143" s="1745"/>
      <c r="P143" s="1745"/>
      <c r="AH143" s="1752">
        <v>0</v>
      </c>
    </row>
    <row s="7720" customFormat="1" customHeight="1" ht="0.75" hidden="1">
      <c r="A144" s="1901"/>
      <c r="B144" s="1901"/>
      <c r="C144" s="490" t="s">
        <v>1176</v>
      </c>
      <c r="D144" s="2583"/>
      <c r="E144" s="2325"/>
      <c r="F144" s="2504"/>
      <c r="G144" s="521"/>
      <c r="H144" s="1621"/>
      <c r="I144" s="772"/>
      <c r="J144" s="692"/>
      <c r="K144" s="1621"/>
      <c r="L144" s="335"/>
      <c r="M144" s="462"/>
      <c r="N144" s="455"/>
      <c r="O144" s="1745"/>
      <c r="P144" s="1745"/>
      <c r="AH144" s="1752">
        <v>0</v>
      </c>
    </row>
    <row s="7720" customFormat="1" customHeight="1" ht="18.75" hidden="1">
      <c r="A145" s="1901" t="s">
        <v>294</v>
      </c>
      <c r="B145" s="1901" t="s">
        <v>295</v>
      </c>
      <c r="C145" s="490"/>
      <c r="D145" s="2583"/>
      <c r="E145" s="2325"/>
      <c r="F145" s="2504" t="str">
        <f>INDEX(PT_DIFFERENTIATION_VTAR,MATCH(A145,PT_DIFFERENTIATION_VTAR_ID,0))</f>
        <v>Тариф на транспортировку сточных вод</v>
      </c>
      <c r="G145" s="2548" t="str">
        <f>INDEX(PT_DIFFERENTIATION_NTAR,MATCH(B145,PT_DIFFERENTIATION_NTAR_ID,0))</f>
        <v/>
      </c>
      <c r="H145" s="1983"/>
      <c r="I145" s="1860"/>
      <c r="J145" s="1894"/>
      <c r="K145" s="1899"/>
      <c r="L145" s="1983" t="s">
        <v>330</v>
      </c>
      <c r="M145" s="462"/>
      <c r="N145" s="455"/>
      <c r="O145" s="1745"/>
      <c r="P145" s="1745"/>
      <c r="AH145" s="1752">
        <v>0</v>
      </c>
    </row>
    <row s="7720" customFormat="1" customHeight="1" ht="18.75" hidden="1">
      <c r="A146" s="1901"/>
      <c r="B146" s="1901"/>
      <c r="C146" s="490" t="s">
        <v>1167</v>
      </c>
      <c r="D146" s="2583"/>
      <c r="E146" s="2325"/>
      <c r="F146" s="2504"/>
      <c r="G146" s="2548"/>
      <c r="H146" s="1621"/>
      <c r="I146" s="772" t="s">
        <v>1166</v>
      </c>
      <c r="J146" s="692"/>
      <c r="K146" s="1621"/>
      <c r="L146" s="335"/>
      <c r="M146" s="462"/>
      <c r="N146" s="455"/>
      <c r="O146" s="1745"/>
      <c r="P146" s="1745"/>
      <c r="AH146" s="1752">
        <v>0</v>
      </c>
    </row>
    <row s="7720" customFormat="1" customHeight="1" ht="0.75" hidden="1">
      <c r="A147" s="1901"/>
      <c r="B147" s="1901"/>
      <c r="C147" s="490" t="s">
        <v>1176</v>
      </c>
      <c r="D147" s="2583"/>
      <c r="E147" s="2325"/>
      <c r="F147" s="2504"/>
      <c r="G147" s="521"/>
      <c r="H147" s="1621"/>
      <c r="I147" s="772"/>
      <c r="J147" s="692"/>
      <c r="K147" s="1621"/>
      <c r="L147" s="335"/>
      <c r="M147" s="462"/>
      <c r="N147" s="455"/>
      <c r="O147" s="1745"/>
      <c r="P147" s="1745"/>
      <c r="AH147" s="1752">
        <v>0</v>
      </c>
    </row>
    <row s="7720" customFormat="1" customHeight="1" ht="18.75" hidden="1">
      <c r="A148" s="1901" t="s">
        <v>299</v>
      </c>
      <c r="B148" s="1901" t="s">
        <v>300</v>
      </c>
      <c r="C148" s="490"/>
      <c r="D148" s="2583"/>
      <c r="E148" s="2325"/>
      <c r="F148" s="2504" t="str">
        <f>INDEX(PT_DIFFERENTIATION_VTAR,MATCH(A148,PT_DIFFERENTIATION_VTAR_ID,0))</f>
        <v>Тариф на подключение (технологическое присоединение) к централизованной системе водоотведения</v>
      </c>
      <c r="G148" s="2548" t="str">
        <f>INDEX(PT_DIFFERENTIATION_NTAR,MATCH(B148,PT_DIFFERENTIATION_NTAR_ID,0))</f>
        <v/>
      </c>
      <c r="H148" s="1983"/>
      <c r="I148" s="1860"/>
      <c r="J148" s="1894"/>
      <c r="K148" s="1899"/>
      <c r="L148" s="1983" t="s">
        <v>330</v>
      </c>
      <c r="M148" s="462"/>
      <c r="N148" s="455"/>
      <c r="O148" s="1745"/>
      <c r="P148" s="1745"/>
      <c r="AH148" s="1752">
        <v>0</v>
      </c>
    </row>
    <row s="7720" customFormat="1" customHeight="1" ht="18.75" hidden="1">
      <c r="A149" s="1901"/>
      <c r="B149" s="1901"/>
      <c r="C149" s="490" t="s">
        <v>1167</v>
      </c>
      <c r="D149" s="2583"/>
      <c r="E149" s="2325"/>
      <c r="F149" s="2504"/>
      <c r="G149" s="2548"/>
      <c r="H149" s="1621"/>
      <c r="I149" s="772" t="s">
        <v>1166</v>
      </c>
      <c r="J149" s="692"/>
      <c r="K149" s="1621"/>
      <c r="L149" s="335"/>
      <c r="M149" s="462"/>
      <c r="N149" s="455"/>
      <c r="O149" s="1745"/>
      <c r="P149" s="1745"/>
      <c r="AH149" s="1752">
        <v>0</v>
      </c>
    </row>
    <row s="7720" customFormat="1" customHeight="1" ht="1.05">
      <c r="A150" s="1901"/>
      <c r="B150" s="1901"/>
      <c r="C150" s="490" t="s">
        <v>1176</v>
      </c>
      <c r="D150" s="2583"/>
      <c r="E150" s="2325"/>
      <c r="F150" s="2504"/>
      <c r="G150" s="521"/>
      <c r="H150" s="1621"/>
      <c r="I150" s="772"/>
      <c r="J150" s="692"/>
      <c r="K150" s="1621"/>
      <c r="L150" s="335"/>
      <c r="M150" s="462"/>
      <c r="N150" s="455"/>
      <c r="O150" s="1745"/>
      <c r="P150" s="1745"/>
      <c r="AH150" s="1752">
        <v>1</v>
      </c>
    </row>
    <row customHeight="1" ht="19.95">
      <c r="A151" s="1901"/>
      <c r="B151" s="1901"/>
      <c r="D151" s="497"/>
      <c r="E151" s="268" t="s">
        <v>91</v>
      </c>
      <c r="F151"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81"/>
      <c r="H151" s="2581"/>
      <c r="I151" s="2581"/>
      <c r="J151" s="2581"/>
      <c r="K151" s="2581"/>
      <c r="L151" s="2581"/>
      <c r="M151" s="418"/>
      <c r="N151" s="455"/>
      <c r="AH151" s="495">
        <v>19</v>
      </c>
    </row>
    <row s="7720" customFormat="1" customHeight="1" ht="60.75">
      <c r="A152" s="1901" t="s">
        <v>170</v>
      </c>
      <c r="B152" s="1901" t="s">
        <v>171</v>
      </c>
      <c r="C152" s="490"/>
      <c r="D152" s="2583"/>
      <c r="E152" s="2325"/>
      <c r="F152" s="250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8" t="str">
        <f>INDEX(PT_DIFFERENTIATION_NTAR,MATCH(B152,PT_DIFFERENTIATION_NTAR_ID,0))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152" s="1983"/>
      <c r="I152" s="7735">
        <v>46023</v>
      </c>
      <c r="J152" s="7736">
        <v>46387</v>
      </c>
      <c r="K152" s="1899">
        <v>590.98</v>
      </c>
      <c r="L152" s="1983" t="s">
        <v>330</v>
      </c>
      <c r="M152"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55"/>
      <c r="O152" s="1745"/>
      <c r="P152" s="1745"/>
      <c r="AH152" s="1752">
        <v>0</v>
      </c>
    </row>
    <row s="7720" customFormat="1" customHeight="1" ht="18.75">
      <c r="A153" s="1901"/>
      <c r="B153" s="1901"/>
      <c r="C153" s="490" t="s">
        <v>1167</v>
      </c>
      <c r="D153" s="2583"/>
      <c r="E153" s="2325"/>
      <c r="F153" s="2504"/>
      <c r="G153" s="2548"/>
      <c r="H153" s="1621"/>
      <c r="I153" s="772" t="s">
        <v>1166</v>
      </c>
      <c r="J153" s="692"/>
      <c r="K153" s="1621"/>
      <c r="L153" s="335"/>
      <c r="M153" s="2291"/>
      <c r="N153" s="455"/>
      <c r="O153" s="1745"/>
      <c r="P153" s="1745"/>
      <c r="AH153" s="1752">
        <v>0</v>
      </c>
    </row>
    <row s="7720" customFormat="1" customHeight="1" ht="18.75">
      <c r="A154" s="3785" t="s">
        <v>170</v>
      </c>
      <c r="B154" s="3785" t="s">
        <v>179</v>
      </c>
      <c r="C154" s="4861"/>
      <c r="D154" s="4862"/>
      <c r="E154" s="4863"/>
      <c r="F154" s="4863"/>
      <c r="G154" s="4864" t="str">
        <f>INDEX(PT_DIFFERENTIATION_NTAR,MATCH(B154,PT_DIFFERENTIATION_NTAR_ID,0))</f>
        <v>Тариф на тепловую энергию (мощность), 
поставляемую потребителям узла теплоснабжения ТЭЦ-5 ПАО "ТГК-1"</v>
      </c>
      <c r="H154" s="4865"/>
      <c r="I154" s="7735">
        <v>46023</v>
      </c>
      <c r="J154" s="7736">
        <v>46387</v>
      </c>
      <c r="K154" s="4882">
        <v>281.08</v>
      </c>
      <c r="L154" s="4865" t="s">
        <v>330</v>
      </c>
      <c r="M154" s="4867"/>
      <c r="N154" s="4868"/>
      <c r="O154" s="3795"/>
      <c r="P154" s="3795"/>
      <c r="Q154" s="3796"/>
      <c r="R154" s="3796"/>
      <c r="S154" s="3796"/>
      <c r="T154" s="3796"/>
      <c r="U154" s="3796"/>
      <c r="V154" s="3796"/>
      <c r="W154" s="3796"/>
      <c r="X154" s="3796"/>
      <c r="Y154" s="3796"/>
      <c r="Z154" s="3796"/>
      <c r="AA154" s="3796"/>
      <c r="AB154" s="3796"/>
      <c r="AC154" s="3796"/>
      <c r="AD154" s="3796"/>
      <c r="AE154" s="3796"/>
      <c r="AF154" s="3796"/>
      <c r="AG154" s="3796"/>
      <c r="AH154" s="3796">
        <v>0</v>
      </c>
    </row>
    <row s="7720" customFormat="1" customHeight="1" ht="18.75">
      <c r="A155" s="3785"/>
      <c r="B155" s="3785"/>
      <c r="C155" s="4861" t="s">
        <v>1167</v>
      </c>
      <c r="D155" s="4862"/>
      <c r="E155" s="4863"/>
      <c r="F155" s="4863"/>
      <c r="G155" s="4864"/>
      <c r="H155" s="4889"/>
      <c r="I155" s="4890" t="s">
        <v>1166</v>
      </c>
      <c r="J155" s="4891"/>
      <c r="K155" s="4892"/>
      <c r="L155" s="4893"/>
      <c r="M155" s="4867"/>
      <c r="N155" s="4868"/>
      <c r="O155" s="3795"/>
      <c r="P155" s="3795"/>
      <c r="Q155" s="3796"/>
      <c r="R155" s="3796"/>
      <c r="S155" s="3796"/>
      <c r="T155" s="3796"/>
      <c r="U155" s="3796"/>
      <c r="V155" s="3796"/>
      <c r="W155" s="3796"/>
      <c r="X155" s="3796"/>
      <c r="Y155" s="3796"/>
      <c r="Z155" s="3796"/>
      <c r="AA155" s="3796"/>
      <c r="AB155" s="3796"/>
      <c r="AC155" s="3796"/>
      <c r="AD155" s="3796"/>
      <c r="AE155" s="3796"/>
      <c r="AF155" s="3796"/>
      <c r="AG155" s="3796"/>
      <c r="AH155" s="3796">
        <v>0</v>
      </c>
    </row>
    <row s="7720" customFormat="1" customHeight="1" ht="0.75">
      <c r="A156" s="1901"/>
      <c r="B156" s="1901"/>
      <c r="C156" s="490" t="s">
        <v>1176</v>
      </c>
      <c r="D156" s="2583"/>
      <c r="E156" s="2325"/>
      <c r="F156" s="2504"/>
      <c r="G156" s="521"/>
      <c r="H156" s="1621"/>
      <c r="I156" s="772"/>
      <c r="J156" s="692"/>
      <c r="K156" s="1621"/>
      <c r="L156" s="335"/>
      <c r="M156" s="2291"/>
      <c r="N156" s="455"/>
      <c r="O156" s="1745"/>
      <c r="P156" s="1745"/>
      <c r="AH156" s="1752">
        <v>0</v>
      </c>
    </row>
    <row s="7720" customFormat="1" customHeight="1" ht="45" hidden="1">
      <c r="A157" s="1901" t="s">
        <v>185</v>
      </c>
      <c r="B157" s="1901" t="s">
        <v>186</v>
      </c>
      <c r="C157" s="490"/>
      <c r="D157" s="2583"/>
      <c r="E157" s="2325"/>
      <c r="F157" s="2504"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548" t="str">
        <f>INDEX(PT_DIFFERENTIATION_NTAR,MATCH(B157,PT_DIFFERENTIATION_NTAR_ID,0))</f>
        <v/>
      </c>
      <c r="H157" s="1983"/>
      <c r="I157" s="1860"/>
      <c r="J157" s="1894"/>
      <c r="K157" s="1899"/>
      <c r="L157" s="1983" t="s">
        <v>330</v>
      </c>
      <c r="M157" s="2292"/>
      <c r="N157" s="455"/>
      <c r="O157" s="1745"/>
      <c r="P157" s="1745"/>
      <c r="AH157" s="1752">
        <v>0</v>
      </c>
    </row>
    <row s="7720" customFormat="1" customHeight="1" ht="18.75" hidden="1">
      <c r="A158" s="1901"/>
      <c r="B158" s="1901"/>
      <c r="C158" s="490" t="s">
        <v>1167</v>
      </c>
      <c r="D158" s="2583"/>
      <c r="E158" s="2325"/>
      <c r="F158" s="2504"/>
      <c r="G158" s="2548"/>
      <c r="H158" s="1621"/>
      <c r="I158" s="772" t="s">
        <v>1166</v>
      </c>
      <c r="J158" s="692"/>
      <c r="K158" s="1621"/>
      <c r="L158" s="335"/>
      <c r="M158" s="1982"/>
      <c r="N158" s="455"/>
      <c r="O158" s="1745"/>
      <c r="P158" s="1745"/>
      <c r="AH158" s="1752">
        <v>0</v>
      </c>
    </row>
    <row s="7720" customFormat="1" customHeight="1" ht="0.75" hidden="1">
      <c r="A159" s="1901"/>
      <c r="B159" s="1901"/>
      <c r="C159" s="490" t="s">
        <v>1176</v>
      </c>
      <c r="D159" s="2583"/>
      <c r="E159" s="2325"/>
      <c r="F159" s="2504"/>
      <c r="G159" s="521"/>
      <c r="H159" s="1621"/>
      <c r="I159" s="772"/>
      <c r="J159" s="692"/>
      <c r="K159" s="1621"/>
      <c r="L159" s="335"/>
      <c r="M159" s="462"/>
      <c r="N159" s="455"/>
      <c r="O159" s="1745"/>
      <c r="P159" s="1745"/>
      <c r="AH159" s="1752">
        <v>0</v>
      </c>
    </row>
    <row s="7720" customFormat="1" customHeight="1" ht="45">
      <c r="A160" s="1901" t="s">
        <v>193</v>
      </c>
      <c r="B160" s="1901" t="s">
        <v>194</v>
      </c>
      <c r="C160" s="490"/>
      <c r="D160" s="2583"/>
      <c r="E160" s="2325"/>
      <c r="F160" s="2504"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548" t="str">
        <f>INDEX(PT_DIFFERENTIATION_NTAR,MATCH(B160,PT_DIFFERENTIATION_NTAR_ID,0))</f>
        <v>Тариф на теплоноситель, поставляемый потребителям узла теплоснабжения ТЭЦ-21 ПАО "ТГК-1"</v>
      </c>
      <c r="H160" s="1983"/>
      <c r="I160" s="7735">
        <v>46023</v>
      </c>
      <c r="J160" s="7736">
        <v>46387</v>
      </c>
      <c r="K160" s="1899">
        <v>273.21</v>
      </c>
      <c r="L160" s="1983" t="s">
        <v>330</v>
      </c>
      <c r="M160" s="462"/>
      <c r="N160" s="455"/>
      <c r="O160" s="1745"/>
      <c r="P160" s="1745"/>
      <c r="AH160" s="1752">
        <v>0</v>
      </c>
    </row>
    <row s="7720" customFormat="1" customHeight="1" ht="18.75">
      <c r="A161" s="1901"/>
      <c r="B161" s="1901"/>
      <c r="C161" s="490" t="s">
        <v>1167</v>
      </c>
      <c r="D161" s="2583"/>
      <c r="E161" s="2325"/>
      <c r="F161" s="2504"/>
      <c r="G161" s="2548"/>
      <c r="H161" s="1621"/>
      <c r="I161" s="772" t="s">
        <v>1166</v>
      </c>
      <c r="J161" s="692"/>
      <c r="K161" s="1621"/>
      <c r="L161" s="335"/>
      <c r="M161" s="462"/>
      <c r="N161" s="455"/>
      <c r="O161" s="1745"/>
      <c r="P161" s="1745"/>
      <c r="AH161" s="1752">
        <v>0</v>
      </c>
    </row>
    <row s="7720" customFormat="1" customHeight="1" ht="0.75">
      <c r="A162" s="1901"/>
      <c r="B162" s="1901"/>
      <c r="C162" s="490" t="s">
        <v>1176</v>
      </c>
      <c r="D162" s="2583"/>
      <c r="E162" s="2325"/>
      <c r="F162" s="2504"/>
      <c r="G162" s="521"/>
      <c r="H162" s="1621"/>
      <c r="I162" s="772"/>
      <c r="J162" s="692"/>
      <c r="K162" s="1621"/>
      <c r="L162" s="335"/>
      <c r="M162" s="462"/>
      <c r="N162" s="455"/>
      <c r="O162" s="1745"/>
      <c r="P162" s="1745"/>
      <c r="AH162" s="1752">
        <v>0</v>
      </c>
    </row>
    <row s="7720" customFormat="1" customHeight="1" ht="45" hidden="1">
      <c r="A163" s="1901" t="s">
        <v>199</v>
      </c>
      <c r="B163" s="1901" t="s">
        <v>200</v>
      </c>
      <c r="C163" s="490"/>
      <c r="D163" s="2583"/>
      <c r="E163" s="2325"/>
      <c r="F163" s="250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548" t="str">
        <f>INDEX(PT_DIFFERENTIATION_NTAR,MATCH(B163,PT_DIFFERENTIATION_NTAR_ID,0))</f>
        <v/>
      </c>
      <c r="H163" s="1983"/>
      <c r="I163" s="1860"/>
      <c r="J163" s="1894"/>
      <c r="K163" s="1899"/>
      <c r="L163" s="1983" t="s">
        <v>330</v>
      </c>
      <c r="M163" s="462"/>
      <c r="N163" s="455"/>
      <c r="O163" s="1745"/>
      <c r="P163" s="1745"/>
      <c r="AH163" s="1752">
        <v>0</v>
      </c>
    </row>
    <row s="7720" customFormat="1" customHeight="1" ht="18.75" hidden="1">
      <c r="A164" s="1901"/>
      <c r="B164" s="1901"/>
      <c r="C164" s="490" t="s">
        <v>1167</v>
      </c>
      <c r="D164" s="2583"/>
      <c r="E164" s="2325"/>
      <c r="F164" s="2504"/>
      <c r="G164" s="2548"/>
      <c r="H164" s="1621"/>
      <c r="I164" s="772" t="s">
        <v>1166</v>
      </c>
      <c r="J164" s="692"/>
      <c r="K164" s="1621"/>
      <c r="L164" s="335"/>
      <c r="M164" s="462"/>
      <c r="N164" s="455"/>
      <c r="O164" s="1745"/>
      <c r="P164" s="1745"/>
      <c r="AH164" s="1752">
        <v>0</v>
      </c>
    </row>
    <row s="7720" customFormat="1" customHeight="1" ht="0.75" hidden="1">
      <c r="A165" s="1901"/>
      <c r="B165" s="1901"/>
      <c r="C165" s="490" t="s">
        <v>1176</v>
      </c>
      <c r="D165" s="2583"/>
      <c r="E165" s="2325"/>
      <c r="F165" s="2504"/>
      <c r="G165" s="521"/>
      <c r="H165" s="1621"/>
      <c r="I165" s="772"/>
      <c r="J165" s="692"/>
      <c r="K165" s="1621"/>
      <c r="L165" s="335"/>
      <c r="M165" s="462"/>
      <c r="N165" s="455"/>
      <c r="O165" s="1745"/>
      <c r="P165" s="1745"/>
      <c r="AH165" s="1752">
        <v>0</v>
      </c>
    </row>
    <row s="7720" customFormat="1" customHeight="1" ht="18.75" hidden="1">
      <c r="A166" s="1901" t="s">
        <v>205</v>
      </c>
      <c r="B166" s="1901" t="s">
        <v>206</v>
      </c>
      <c r="C166" s="490"/>
      <c r="D166" s="2583"/>
      <c r="E166" s="2325"/>
      <c r="F166" s="2504" t="str">
        <f>INDEX(PT_DIFFERENTIATION_VTAR,MATCH(A166,PT_DIFFERENTIATION_VTAR_ID,0))</f>
        <v>Тарифы на услуги по передаче тепловой энергии</v>
      </c>
      <c r="G166" s="2548" t="str">
        <f>INDEX(PT_DIFFERENTIATION_NTAR,MATCH(B166,PT_DIFFERENTIATION_NTAR_ID,0))</f>
        <v/>
      </c>
      <c r="H166" s="1983"/>
      <c r="I166" s="1860"/>
      <c r="J166" s="1894"/>
      <c r="K166" s="1899"/>
      <c r="L166" s="1983" t="s">
        <v>330</v>
      </c>
      <c r="M166" s="462"/>
      <c r="N166" s="455"/>
      <c r="O166" s="1745"/>
      <c r="P166" s="1745"/>
      <c r="AH166" s="1752">
        <v>0</v>
      </c>
    </row>
    <row s="7720" customFormat="1" customHeight="1" ht="18.75" hidden="1">
      <c r="A167" s="1901"/>
      <c r="B167" s="1901"/>
      <c r="C167" s="490" t="s">
        <v>1167</v>
      </c>
      <c r="D167" s="2583"/>
      <c r="E167" s="2325"/>
      <c r="F167" s="2504"/>
      <c r="G167" s="2548"/>
      <c r="H167" s="1621"/>
      <c r="I167" s="772" t="s">
        <v>1166</v>
      </c>
      <c r="J167" s="692"/>
      <c r="K167" s="1621"/>
      <c r="L167" s="335"/>
      <c r="M167" s="462"/>
      <c r="N167" s="455"/>
      <c r="O167" s="1745"/>
      <c r="P167" s="1745"/>
      <c r="AH167" s="1752">
        <v>0</v>
      </c>
    </row>
    <row s="7720" customFormat="1" customHeight="1" ht="0.75" hidden="1">
      <c r="A168" s="1901"/>
      <c r="B168" s="1901"/>
      <c r="C168" s="490" t="s">
        <v>1176</v>
      </c>
      <c r="D168" s="2583"/>
      <c r="E168" s="2325"/>
      <c r="F168" s="2504"/>
      <c r="G168" s="521"/>
      <c r="H168" s="1621"/>
      <c r="I168" s="772"/>
      <c r="J168" s="692"/>
      <c r="K168" s="1621"/>
      <c r="L168" s="335"/>
      <c r="M168" s="462"/>
      <c r="N168" s="455"/>
      <c r="O168" s="1745"/>
      <c r="P168" s="1745"/>
      <c r="AH168" s="1752">
        <v>0</v>
      </c>
    </row>
    <row s="7720" customFormat="1" customHeight="1" ht="18.75" hidden="1">
      <c r="A169" s="1901" t="s">
        <v>211</v>
      </c>
      <c r="B169" s="1901" t="s">
        <v>212</v>
      </c>
      <c r="C169" s="490"/>
      <c r="D169" s="2583"/>
      <c r="E169" s="2325"/>
      <c r="F169" s="2504" t="str">
        <f>INDEX(PT_DIFFERENTIATION_VTAR,MATCH(A169,PT_DIFFERENTIATION_VTAR_ID,0))</f>
        <v>Тарифы на услуги по передаче теплоносителя</v>
      </c>
      <c r="G169" s="2548" t="str">
        <f>INDEX(PT_DIFFERENTIATION_NTAR,MATCH(B169,PT_DIFFERENTIATION_NTAR_ID,0))</f>
        <v/>
      </c>
      <c r="H169" s="1983"/>
      <c r="I169" s="1860"/>
      <c r="J169" s="1894"/>
      <c r="K169" s="1899"/>
      <c r="L169" s="1983" t="s">
        <v>330</v>
      </c>
      <c r="M169" s="462"/>
      <c r="N169" s="455"/>
      <c r="O169" s="1745"/>
      <c r="P169" s="1745"/>
      <c r="AH169" s="1752">
        <v>0</v>
      </c>
    </row>
    <row s="7720" customFormat="1" customHeight="1" ht="18.75" hidden="1">
      <c r="A170" s="1901"/>
      <c r="B170" s="1901"/>
      <c r="C170" s="490" t="s">
        <v>1167</v>
      </c>
      <c r="D170" s="2583"/>
      <c r="E170" s="2325"/>
      <c r="F170" s="2504"/>
      <c r="G170" s="2548"/>
      <c r="H170" s="1621"/>
      <c r="I170" s="772" t="s">
        <v>1166</v>
      </c>
      <c r="J170" s="692"/>
      <c r="K170" s="1621"/>
      <c r="L170" s="335"/>
      <c r="M170" s="462"/>
      <c r="N170" s="455"/>
      <c r="O170" s="1745"/>
      <c r="P170" s="1745"/>
      <c r="AH170" s="1752">
        <v>0</v>
      </c>
    </row>
    <row s="7720" customFormat="1" customHeight="1" ht="0.75" hidden="1">
      <c r="A171" s="1901"/>
      <c r="B171" s="1901"/>
      <c r="C171" s="490" t="s">
        <v>1176</v>
      </c>
      <c r="D171" s="2583"/>
      <c r="E171" s="2325"/>
      <c r="F171" s="2504"/>
      <c r="G171" s="521"/>
      <c r="H171" s="1621"/>
      <c r="I171" s="772"/>
      <c r="J171" s="692"/>
      <c r="K171" s="1621"/>
      <c r="L171" s="335"/>
      <c r="M171" s="462"/>
      <c r="N171" s="455"/>
      <c r="O171" s="1745"/>
      <c r="P171" s="1745"/>
      <c r="AH171" s="1752">
        <v>0</v>
      </c>
    </row>
    <row s="7720" customFormat="1" customHeight="1" ht="18.75" hidden="1">
      <c r="A172" s="1901" t="s">
        <v>217</v>
      </c>
      <c r="B172" s="1901" t="s">
        <v>218</v>
      </c>
      <c r="C172" s="490"/>
      <c r="D172" s="2583"/>
      <c r="E172" s="2325"/>
      <c r="F172" s="250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548" t="str">
        <f>INDEX(PT_DIFFERENTIATION_NTAR,MATCH(B172,PT_DIFFERENTIATION_NTAR_ID,0))</f>
        <v/>
      </c>
      <c r="H172" s="1983"/>
      <c r="I172" s="1860"/>
      <c r="J172" s="1894"/>
      <c r="K172" s="1899"/>
      <c r="L172" s="1983" t="s">
        <v>330</v>
      </c>
      <c r="M172" s="462"/>
      <c r="N172" s="455"/>
      <c r="O172" s="1745"/>
      <c r="P172" s="1745"/>
      <c r="AH172" s="1752">
        <v>0</v>
      </c>
    </row>
    <row s="7720" customFormat="1" customHeight="1" ht="18.75" hidden="1">
      <c r="A173" s="1901"/>
      <c r="B173" s="1901"/>
      <c r="C173" s="490" t="s">
        <v>1167</v>
      </c>
      <c r="D173" s="2583"/>
      <c r="E173" s="2325"/>
      <c r="F173" s="2504"/>
      <c r="G173" s="2548"/>
      <c r="H173" s="1621"/>
      <c r="I173" s="772" t="s">
        <v>1166</v>
      </c>
      <c r="J173" s="692"/>
      <c r="K173" s="1621"/>
      <c r="L173" s="335"/>
      <c r="M173" s="462"/>
      <c r="N173" s="455"/>
      <c r="O173" s="1745"/>
      <c r="P173" s="1745"/>
      <c r="AH173" s="1752">
        <v>0</v>
      </c>
    </row>
    <row s="7720" customFormat="1" customHeight="1" ht="0.75" hidden="1">
      <c r="A174" s="1901"/>
      <c r="B174" s="1901"/>
      <c r="C174" s="490" t="s">
        <v>1176</v>
      </c>
      <c r="D174" s="2583"/>
      <c r="E174" s="2325"/>
      <c r="F174" s="2504"/>
      <c r="G174" s="521"/>
      <c r="H174" s="1621"/>
      <c r="I174" s="772"/>
      <c r="J174" s="692"/>
      <c r="K174" s="1621"/>
      <c r="L174" s="335"/>
      <c r="M174" s="462"/>
      <c r="N174" s="455"/>
      <c r="O174" s="1745"/>
      <c r="P174" s="1745"/>
      <c r="AH174" s="1752">
        <v>0</v>
      </c>
    </row>
    <row s="7720" customFormat="1" customHeight="1" ht="18.75" hidden="1">
      <c r="A175" s="1901" t="s">
        <v>223</v>
      </c>
      <c r="B175" s="1901" t="s">
        <v>224</v>
      </c>
      <c r="C175" s="490"/>
      <c r="D175" s="2583"/>
      <c r="E175" s="2325"/>
      <c r="F175" s="2504" t="str">
        <f>INDEX(PT_DIFFERENTIATION_VTAR,MATCH(A175,PT_DIFFERENTIATION_VTAR_ID,0))</f>
        <v>Плата за подключение (технологическое присоединение) к системе теплоснабжения</v>
      </c>
      <c r="G175" s="2548" t="str">
        <f>INDEX(PT_DIFFERENTIATION_NTAR,MATCH(B175,PT_DIFFERENTIATION_NTAR_ID,0))</f>
        <v/>
      </c>
      <c r="H175" s="1983"/>
      <c r="I175" s="1860"/>
      <c r="J175" s="1894"/>
      <c r="K175" s="1899"/>
      <c r="L175" s="1983" t="s">
        <v>330</v>
      </c>
      <c r="M175" s="462"/>
      <c r="N175" s="455"/>
      <c r="O175" s="1745"/>
      <c r="P175" s="1745"/>
      <c r="AH175" s="1752">
        <v>0</v>
      </c>
    </row>
    <row s="7720" customFormat="1" customHeight="1" ht="18.75" hidden="1">
      <c r="A176" s="1901"/>
      <c r="B176" s="1901"/>
      <c r="C176" s="490" t="s">
        <v>1167</v>
      </c>
      <c r="D176" s="2583"/>
      <c r="E176" s="2325"/>
      <c r="F176" s="2504"/>
      <c r="G176" s="2548"/>
      <c r="H176" s="1621"/>
      <c r="I176" s="772" t="s">
        <v>1166</v>
      </c>
      <c r="J176" s="692"/>
      <c r="K176" s="1621"/>
      <c r="L176" s="335"/>
      <c r="M176" s="462"/>
      <c r="N176" s="455"/>
      <c r="O176" s="1745"/>
      <c r="P176" s="1745"/>
      <c r="AH176" s="1752">
        <v>0</v>
      </c>
    </row>
    <row s="7720" customFormat="1" customHeight="1" ht="0.75" hidden="1">
      <c r="A177" s="1901"/>
      <c r="B177" s="1901"/>
      <c r="C177" s="490" t="s">
        <v>1176</v>
      </c>
      <c r="D177" s="2583"/>
      <c r="E177" s="2325"/>
      <c r="F177" s="2504"/>
      <c r="G177" s="521"/>
      <c r="H177" s="1621"/>
      <c r="I177" s="772"/>
      <c r="J177" s="692"/>
      <c r="K177" s="1621"/>
      <c r="L177" s="335"/>
      <c r="M177" s="462"/>
      <c r="N177" s="455"/>
      <c r="O177" s="1745"/>
      <c r="P177" s="1745"/>
      <c r="AH177" s="1752">
        <v>0</v>
      </c>
    </row>
    <row s="7720" customFormat="1" customHeight="1" ht="18.75" hidden="1">
      <c r="A178" s="1901" t="s">
        <v>229</v>
      </c>
      <c r="B178" s="1901" t="s">
        <v>230</v>
      </c>
      <c r="C178" s="490"/>
      <c r="D178" s="2583"/>
      <c r="E178" s="2325"/>
      <c r="F178" s="2504" t="str">
        <f>INDEX(PT_DIFFERENTIATION_VTAR,MATCH(A178,PT_DIFFERENTIATION_VTAR_ID,0))</f>
        <v>Плата за подключение (технологическое присоединение) к системе теплоснабжения (индивидуальная)</v>
      </c>
      <c r="G178" s="2548" t="str">
        <f>INDEX(PT_DIFFERENTIATION_NTAR,MATCH(B178,PT_DIFFERENTIATION_NTAR_ID,0))</f>
        <v/>
      </c>
      <c r="H178" s="2110"/>
      <c r="I178" s="1860"/>
      <c r="J178" s="1894"/>
      <c r="K178" s="1899"/>
      <c r="L178" s="2110" t="s">
        <v>330</v>
      </c>
      <c r="M178" s="462"/>
      <c r="N178" s="455"/>
      <c r="O178" s="1745"/>
      <c r="P178" s="1745"/>
      <c r="AH178" s="1752">
        <v>0</v>
      </c>
    </row>
    <row s="7720" customFormat="1" customHeight="1" ht="18.75" hidden="1">
      <c r="A179" s="1901"/>
      <c r="B179" s="1901"/>
      <c r="C179" s="490" t="s">
        <v>1167</v>
      </c>
      <c r="D179" s="2583"/>
      <c r="E179" s="2325"/>
      <c r="F179" s="2504"/>
      <c r="G179" s="2548"/>
      <c r="H179" s="1621"/>
      <c r="I179" s="772" t="s">
        <v>1166</v>
      </c>
      <c r="J179" s="692"/>
      <c r="K179" s="1621"/>
      <c r="L179" s="335"/>
      <c r="M179" s="462"/>
      <c r="N179" s="455"/>
      <c r="O179" s="1745"/>
      <c r="P179" s="1745"/>
      <c r="AH179" s="1752">
        <v>0</v>
      </c>
    </row>
    <row s="7720" customFormat="1" customHeight="1" ht="0.75" hidden="1">
      <c r="A180" s="1901"/>
      <c r="B180" s="1901"/>
      <c r="C180" s="490" t="s">
        <v>1176</v>
      </c>
      <c r="D180" s="2583"/>
      <c r="E180" s="2325"/>
      <c r="F180" s="2504"/>
      <c r="G180" s="521"/>
      <c r="H180" s="1621"/>
      <c r="I180" s="772"/>
      <c r="J180" s="692"/>
      <c r="K180" s="1621"/>
      <c r="L180" s="335"/>
      <c r="M180" s="462"/>
      <c r="N180" s="455"/>
      <c r="O180" s="1745"/>
      <c r="P180" s="1745"/>
      <c r="AH180" s="1752">
        <v>0</v>
      </c>
    </row>
    <row s="7720" customFormat="1" customHeight="1" ht="18.75" hidden="1">
      <c r="A181" s="1901" t="s">
        <v>249</v>
      </c>
      <c r="B181" s="1901" t="s">
        <v>250</v>
      </c>
      <c r="C181" s="490"/>
      <c r="D181" s="2583"/>
      <c r="E181" s="2325"/>
      <c r="F181" s="2504" t="str">
        <f>INDEX(PT_DIFFERENTIATION_VTAR,MATCH(A181,PT_DIFFERENTIATION_VTAR_ID,0))</f>
        <v>Тариф на питьевую воду (питьевое водоснабжение)</v>
      </c>
      <c r="G181" s="2548" t="str">
        <f>INDEX(PT_DIFFERENTIATION_NTAR,MATCH(B181,PT_DIFFERENTIATION_NTAR_ID,0))</f>
        <v/>
      </c>
      <c r="H181" s="1983"/>
      <c r="I181" s="1860"/>
      <c r="J181" s="1894"/>
      <c r="K181" s="1899"/>
      <c r="L181" s="1983" t="s">
        <v>330</v>
      </c>
      <c r="M181" s="462"/>
      <c r="N181" s="455"/>
      <c r="O181" s="1745"/>
      <c r="P181" s="1745"/>
      <c r="AH181" s="1752">
        <v>0</v>
      </c>
    </row>
    <row s="7720" customFormat="1" customHeight="1" ht="18.75" hidden="1">
      <c r="A182" s="1901"/>
      <c r="B182" s="1901"/>
      <c r="C182" s="490" t="s">
        <v>1167</v>
      </c>
      <c r="D182" s="2583"/>
      <c r="E182" s="2325"/>
      <c r="F182" s="2504"/>
      <c r="G182" s="2548"/>
      <c r="H182" s="1621"/>
      <c r="I182" s="772" t="s">
        <v>1166</v>
      </c>
      <c r="J182" s="692"/>
      <c r="K182" s="1621"/>
      <c r="L182" s="335"/>
      <c r="M182" s="462"/>
      <c r="N182" s="455"/>
      <c r="O182" s="1745"/>
      <c r="P182" s="1745"/>
      <c r="AH182" s="1752">
        <v>0</v>
      </c>
    </row>
    <row s="7720" customFormat="1" customHeight="1" ht="0.75" hidden="1">
      <c r="A183" s="1901"/>
      <c r="B183" s="1901"/>
      <c r="C183" s="490" t="s">
        <v>1176</v>
      </c>
      <c r="D183" s="2583"/>
      <c r="E183" s="2325"/>
      <c r="F183" s="2504"/>
      <c r="G183" s="521"/>
      <c r="H183" s="1621"/>
      <c r="I183" s="772"/>
      <c r="J183" s="692"/>
      <c r="K183" s="1621"/>
      <c r="L183" s="335"/>
      <c r="M183" s="462"/>
      <c r="N183" s="455"/>
      <c r="O183" s="1745"/>
      <c r="P183" s="1745"/>
      <c r="AH183" s="1752">
        <v>0</v>
      </c>
    </row>
    <row s="7720" customFormat="1" customHeight="1" ht="18.75" hidden="1">
      <c r="A184" s="1901" t="s">
        <v>254</v>
      </c>
      <c r="B184" s="1901" t="s">
        <v>255</v>
      </c>
      <c r="C184" s="490"/>
      <c r="D184" s="2583"/>
      <c r="E184" s="2325"/>
      <c r="F184" s="2504" t="str">
        <f>INDEX(PT_DIFFERENTIATION_VTAR,MATCH(A184,PT_DIFFERENTIATION_VTAR_ID,0))</f>
        <v>Тариф на техническую воду</v>
      </c>
      <c r="G184" s="2548" t="str">
        <f>INDEX(PT_DIFFERENTIATION_NTAR,MATCH(B184,PT_DIFFERENTIATION_NTAR_ID,0))</f>
        <v/>
      </c>
      <c r="H184" s="1983"/>
      <c r="I184" s="1860"/>
      <c r="J184" s="1894"/>
      <c r="K184" s="1899"/>
      <c r="L184" s="1983" t="s">
        <v>330</v>
      </c>
      <c r="M184" s="462"/>
      <c r="N184" s="455"/>
      <c r="O184" s="1745"/>
      <c r="P184" s="1745"/>
      <c r="AH184" s="1752">
        <v>0</v>
      </c>
    </row>
    <row s="7720" customFormat="1" customHeight="1" ht="18.75" hidden="1">
      <c r="A185" s="1901"/>
      <c r="B185" s="1901"/>
      <c r="C185" s="490" t="s">
        <v>1167</v>
      </c>
      <c r="D185" s="2583"/>
      <c r="E185" s="2325"/>
      <c r="F185" s="2504"/>
      <c r="G185" s="2548"/>
      <c r="H185" s="1621"/>
      <c r="I185" s="772" t="s">
        <v>1166</v>
      </c>
      <c r="J185" s="692"/>
      <c r="K185" s="1621"/>
      <c r="L185" s="335"/>
      <c r="M185" s="462"/>
      <c r="N185" s="455"/>
      <c r="O185" s="1745"/>
      <c r="P185" s="1745"/>
      <c r="AH185" s="1752">
        <v>0</v>
      </c>
    </row>
    <row s="7720" customFormat="1" customHeight="1" ht="0.75" hidden="1">
      <c r="A186" s="1901"/>
      <c r="B186" s="1901"/>
      <c r="C186" s="490" t="s">
        <v>1176</v>
      </c>
      <c r="D186" s="2583"/>
      <c r="E186" s="2325"/>
      <c r="F186" s="2504"/>
      <c r="G186" s="521"/>
      <c r="H186" s="1621"/>
      <c r="I186" s="772"/>
      <c r="J186" s="692"/>
      <c r="K186" s="1621"/>
      <c r="L186" s="335"/>
      <c r="M186" s="462"/>
      <c r="N186" s="455"/>
      <c r="O186" s="1745"/>
      <c r="P186" s="1745"/>
      <c r="AH186" s="1752">
        <v>0</v>
      </c>
    </row>
    <row s="7720" customFormat="1" customHeight="1" ht="18.75" hidden="1">
      <c r="A187" s="1901" t="s">
        <v>259</v>
      </c>
      <c r="B187" s="1901" t="s">
        <v>260</v>
      </c>
      <c r="C187" s="490"/>
      <c r="D187" s="2583"/>
      <c r="E187" s="2325"/>
      <c r="F187" s="2504" t="str">
        <f>INDEX(PT_DIFFERENTIATION_VTAR,MATCH(A187,PT_DIFFERENTIATION_VTAR_ID,0))</f>
        <v>Тариф на транспортировку воды</v>
      </c>
      <c r="G187" s="2548" t="str">
        <f>INDEX(PT_DIFFERENTIATION_NTAR,MATCH(B187,PT_DIFFERENTIATION_NTAR_ID,0))</f>
        <v/>
      </c>
      <c r="H187" s="1983"/>
      <c r="I187" s="1860"/>
      <c r="J187" s="1894"/>
      <c r="K187" s="1899"/>
      <c r="L187" s="1983" t="s">
        <v>330</v>
      </c>
      <c r="M187" s="462"/>
      <c r="N187" s="455"/>
      <c r="O187" s="1745"/>
      <c r="P187" s="1745"/>
      <c r="AH187" s="1752">
        <v>0</v>
      </c>
    </row>
    <row s="7720" customFormat="1" customHeight="1" ht="18.75" hidden="1">
      <c r="A188" s="1901"/>
      <c r="B188" s="1901"/>
      <c r="C188" s="490" t="s">
        <v>1167</v>
      </c>
      <c r="D188" s="2583"/>
      <c r="E188" s="2325"/>
      <c r="F188" s="2504"/>
      <c r="G188" s="2548"/>
      <c r="H188" s="1621"/>
      <c r="I188" s="772" t="s">
        <v>1166</v>
      </c>
      <c r="J188" s="692"/>
      <c r="K188" s="1621"/>
      <c r="L188" s="335"/>
      <c r="M188" s="462"/>
      <c r="N188" s="455"/>
      <c r="O188" s="1745"/>
      <c r="P188" s="1745"/>
      <c r="AH188" s="1752">
        <v>0</v>
      </c>
    </row>
    <row s="7720" customFormat="1" customHeight="1" ht="0.75" hidden="1">
      <c r="A189" s="1901"/>
      <c r="B189" s="1901"/>
      <c r="C189" s="490" t="s">
        <v>1176</v>
      </c>
      <c r="D189" s="2583"/>
      <c r="E189" s="2325"/>
      <c r="F189" s="2504"/>
      <c r="G189" s="521"/>
      <c r="H189" s="1621"/>
      <c r="I189" s="772"/>
      <c r="J189" s="692"/>
      <c r="K189" s="1621"/>
      <c r="L189" s="335"/>
      <c r="M189" s="462"/>
      <c r="N189" s="455"/>
      <c r="O189" s="1745"/>
      <c r="P189" s="1745"/>
      <c r="AH189" s="1752">
        <v>0</v>
      </c>
    </row>
    <row s="7720" customFormat="1" customHeight="1" ht="18.75" hidden="1">
      <c r="A190" s="1901" t="s">
        <v>264</v>
      </c>
      <c r="B190" s="1901" t="s">
        <v>265</v>
      </c>
      <c r="C190" s="490"/>
      <c r="D190" s="2583"/>
      <c r="E190" s="2325"/>
      <c r="F190" s="2504" t="str">
        <f>INDEX(PT_DIFFERENTIATION_VTAR,MATCH(A190,PT_DIFFERENTIATION_VTAR_ID,0))</f>
        <v>Тариф на подвоз воды</v>
      </c>
      <c r="G190" s="2548" t="str">
        <f>INDEX(PT_DIFFERENTIATION_NTAR,MATCH(B190,PT_DIFFERENTIATION_NTAR_ID,0))</f>
        <v/>
      </c>
      <c r="H190" s="1983"/>
      <c r="I190" s="1860"/>
      <c r="J190" s="1894"/>
      <c r="K190" s="1899"/>
      <c r="L190" s="1983" t="s">
        <v>330</v>
      </c>
      <c r="M190" s="462"/>
      <c r="N190" s="455"/>
      <c r="O190" s="1745"/>
      <c r="P190" s="1745"/>
      <c r="AH190" s="1752">
        <v>0</v>
      </c>
    </row>
    <row s="7720" customFormat="1" customHeight="1" ht="18.75" hidden="1">
      <c r="A191" s="1901"/>
      <c r="B191" s="1901"/>
      <c r="C191" s="490" t="s">
        <v>1167</v>
      </c>
      <c r="D191" s="2583"/>
      <c r="E191" s="2325"/>
      <c r="F191" s="2504"/>
      <c r="G191" s="2548"/>
      <c r="H191" s="1621"/>
      <c r="I191" s="772" t="s">
        <v>1166</v>
      </c>
      <c r="J191" s="692"/>
      <c r="K191" s="1621"/>
      <c r="L191" s="335"/>
      <c r="M191" s="462"/>
      <c r="N191" s="455"/>
      <c r="O191" s="1745"/>
      <c r="P191" s="1745"/>
      <c r="AH191" s="1752">
        <v>0</v>
      </c>
    </row>
    <row s="7720" customFormat="1" customHeight="1" ht="0.75" hidden="1">
      <c r="A192" s="1901"/>
      <c r="B192" s="1901"/>
      <c r="C192" s="490" t="s">
        <v>1176</v>
      </c>
      <c r="D192" s="2583"/>
      <c r="E192" s="2325"/>
      <c r="F192" s="2504"/>
      <c r="G192" s="521"/>
      <c r="H192" s="1621"/>
      <c r="I192" s="772"/>
      <c r="J192" s="692"/>
      <c r="K192" s="1621"/>
      <c r="L192" s="335"/>
      <c r="M192" s="462"/>
      <c r="N192" s="455"/>
      <c r="O192" s="1745"/>
      <c r="P192" s="1745"/>
      <c r="AH192" s="1752">
        <v>0</v>
      </c>
    </row>
    <row s="7720" customFormat="1" customHeight="1" ht="18.75" hidden="1">
      <c r="A193" s="1901" t="s">
        <v>269</v>
      </c>
      <c r="B193" s="1901" t="s">
        <v>270</v>
      </c>
      <c r="C193" s="490"/>
      <c r="D193" s="2583"/>
      <c r="E193" s="2325"/>
      <c r="F193" s="250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548" t="str">
        <f>INDEX(PT_DIFFERENTIATION_NTAR,MATCH(B193,PT_DIFFERENTIATION_NTAR_ID,0))</f>
        <v/>
      </c>
      <c r="H193" s="1983"/>
      <c r="I193" s="1860"/>
      <c r="J193" s="1894"/>
      <c r="K193" s="1899"/>
      <c r="L193" s="1983" t="s">
        <v>330</v>
      </c>
      <c r="M193" s="462"/>
      <c r="N193" s="455"/>
      <c r="O193" s="1745"/>
      <c r="P193" s="1745"/>
      <c r="AH193" s="1752">
        <v>0</v>
      </c>
    </row>
    <row s="7720" customFormat="1" customHeight="1" ht="18.75" hidden="1">
      <c r="A194" s="1901"/>
      <c r="B194" s="1901"/>
      <c r="C194" s="490" t="s">
        <v>1167</v>
      </c>
      <c r="D194" s="2583"/>
      <c r="E194" s="2325"/>
      <c r="F194" s="2504"/>
      <c r="G194" s="2548"/>
      <c r="H194" s="1621"/>
      <c r="I194" s="772" t="s">
        <v>1166</v>
      </c>
      <c r="J194" s="692"/>
      <c r="K194" s="1621"/>
      <c r="L194" s="335"/>
      <c r="M194" s="462"/>
      <c r="N194" s="455"/>
      <c r="O194" s="1745"/>
      <c r="P194" s="1745"/>
      <c r="AH194" s="1752">
        <v>0</v>
      </c>
    </row>
    <row s="7720" customFormat="1" customHeight="1" ht="0.75" hidden="1">
      <c r="A195" s="1901"/>
      <c r="B195" s="1901"/>
      <c r="C195" s="490" t="s">
        <v>1176</v>
      </c>
      <c r="D195" s="2583"/>
      <c r="E195" s="2325"/>
      <c r="F195" s="2504"/>
      <c r="G195" s="521"/>
      <c r="H195" s="1621"/>
      <c r="I195" s="772"/>
      <c r="J195" s="692"/>
      <c r="K195" s="1621"/>
      <c r="L195" s="335"/>
      <c r="M195" s="462"/>
      <c r="N195" s="455"/>
      <c r="O195" s="1745"/>
      <c r="P195" s="1745"/>
      <c r="AH195" s="1752">
        <v>0</v>
      </c>
    </row>
    <row s="7720" customFormat="1" customHeight="1" ht="18.75" hidden="1">
      <c r="A196" s="1901" t="s">
        <v>274</v>
      </c>
      <c r="B196" s="1901" t="s">
        <v>275</v>
      </c>
      <c r="C196" s="490"/>
      <c r="D196" s="2583"/>
      <c r="E196" s="2325"/>
      <c r="F196" s="2504" t="str">
        <f>INDEX(PT_DIFFERENTIATION_VTAR,MATCH(A196,PT_DIFFERENTIATION_VTAR_ID,0))</f>
        <v>Тариф на горячую воду (горячее водоснабжение)</v>
      </c>
      <c r="G196" s="2548" t="str">
        <f>INDEX(PT_DIFFERENTIATION_NTAR,MATCH(B196,PT_DIFFERENTIATION_NTAR_ID,0))</f>
        <v/>
      </c>
      <c r="H196" s="1983"/>
      <c r="I196" s="1860"/>
      <c r="J196" s="1894"/>
      <c r="K196" s="1899"/>
      <c r="L196" s="1983" t="s">
        <v>330</v>
      </c>
      <c r="M196" s="462"/>
      <c r="N196" s="455"/>
      <c r="O196" s="1745"/>
      <c r="P196" s="1745"/>
      <c r="AH196" s="1752">
        <v>0</v>
      </c>
    </row>
    <row s="7720" customFormat="1" customHeight="1" ht="18.75" hidden="1">
      <c r="A197" s="1901"/>
      <c r="B197" s="1901"/>
      <c r="C197" s="490" t="s">
        <v>1167</v>
      </c>
      <c r="D197" s="2583"/>
      <c r="E197" s="2325"/>
      <c r="F197" s="2504"/>
      <c r="G197" s="2548"/>
      <c r="H197" s="1621"/>
      <c r="I197" s="772" t="s">
        <v>1166</v>
      </c>
      <c r="J197" s="692"/>
      <c r="K197" s="1621"/>
      <c r="L197" s="335"/>
      <c r="M197" s="462"/>
      <c r="N197" s="455"/>
      <c r="O197" s="1745"/>
      <c r="P197" s="1745"/>
      <c r="AH197" s="1752">
        <v>0</v>
      </c>
    </row>
    <row s="7720" customFormat="1" customHeight="1" ht="0.75" hidden="1">
      <c r="A198" s="1901"/>
      <c r="B198" s="1901"/>
      <c r="C198" s="490" t="s">
        <v>1176</v>
      </c>
      <c r="D198" s="2583"/>
      <c r="E198" s="2325"/>
      <c r="F198" s="2504"/>
      <c r="G198" s="521"/>
      <c r="H198" s="1621"/>
      <c r="I198" s="772"/>
      <c r="J198" s="692"/>
      <c r="K198" s="1621"/>
      <c r="L198" s="335"/>
      <c r="M198" s="462"/>
      <c r="N198" s="455"/>
      <c r="O198" s="1745"/>
      <c r="P198" s="1745"/>
      <c r="AH198" s="1752">
        <v>0</v>
      </c>
    </row>
    <row s="7720" customFormat="1" customHeight="1" ht="18.75" hidden="1">
      <c r="A199" s="1901" t="s">
        <v>279</v>
      </c>
      <c r="B199" s="1901" t="s">
        <v>280</v>
      </c>
      <c r="C199" s="490"/>
      <c r="D199" s="2583"/>
      <c r="E199" s="2325"/>
      <c r="F199" s="2504" t="str">
        <f>INDEX(PT_DIFFERENTIATION_VTAR,MATCH(A199,PT_DIFFERENTIATION_VTAR_ID,0))</f>
        <v>Тариф на транспортировку горячей воды</v>
      </c>
      <c r="G199" s="2548" t="str">
        <f>INDEX(PT_DIFFERENTIATION_NTAR,MATCH(B199,PT_DIFFERENTIATION_NTAR_ID,0))</f>
        <v/>
      </c>
      <c r="H199" s="1983"/>
      <c r="I199" s="1860"/>
      <c r="J199" s="1894"/>
      <c r="K199" s="1899"/>
      <c r="L199" s="1983" t="s">
        <v>330</v>
      </c>
      <c r="M199" s="462"/>
      <c r="N199" s="455"/>
      <c r="O199" s="1745"/>
      <c r="P199" s="1745"/>
      <c r="AH199" s="1752">
        <v>0</v>
      </c>
    </row>
    <row s="7720" customFormat="1" customHeight="1" ht="18.75" hidden="1">
      <c r="A200" s="1901"/>
      <c r="B200" s="1901"/>
      <c r="C200" s="490" t="s">
        <v>1167</v>
      </c>
      <c r="D200" s="2583"/>
      <c r="E200" s="2325"/>
      <c r="F200" s="2504"/>
      <c r="G200" s="2548"/>
      <c r="H200" s="1621"/>
      <c r="I200" s="772" t="s">
        <v>1166</v>
      </c>
      <c r="J200" s="692"/>
      <c r="K200" s="1621"/>
      <c r="L200" s="335"/>
      <c r="M200" s="462"/>
      <c r="N200" s="455"/>
      <c r="O200" s="1745"/>
      <c r="P200" s="1745"/>
      <c r="AH200" s="1752">
        <v>0</v>
      </c>
    </row>
    <row s="7720" customFormat="1" customHeight="1" ht="0.75" hidden="1">
      <c r="A201" s="1901"/>
      <c r="B201" s="1901"/>
      <c r="C201" s="490" t="s">
        <v>1176</v>
      </c>
      <c r="D201" s="2583"/>
      <c r="E201" s="2325"/>
      <c r="F201" s="2504"/>
      <c r="G201" s="521"/>
      <c r="H201" s="1621"/>
      <c r="I201" s="772"/>
      <c r="J201" s="692"/>
      <c r="K201" s="1621"/>
      <c r="L201" s="335"/>
      <c r="M201" s="462"/>
      <c r="N201" s="455"/>
      <c r="O201" s="1745"/>
      <c r="P201" s="1745"/>
      <c r="AH201" s="1752">
        <v>0</v>
      </c>
    </row>
    <row s="7720" customFormat="1" customHeight="1" ht="18.75" hidden="1">
      <c r="A202" s="1901" t="s">
        <v>284</v>
      </c>
      <c r="B202" s="1901" t="s">
        <v>285</v>
      </c>
      <c r="C202" s="490"/>
      <c r="D202" s="2583"/>
      <c r="E202" s="2325"/>
      <c r="F202" s="250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8" t="str">
        <f>INDEX(PT_DIFFERENTIATION_NTAR,MATCH(B202,PT_DIFFERENTIATION_NTAR_ID,0))</f>
        <v/>
      </c>
      <c r="H202" s="1983"/>
      <c r="I202" s="1860"/>
      <c r="J202" s="1894"/>
      <c r="K202" s="1899"/>
      <c r="L202" s="1983" t="s">
        <v>330</v>
      </c>
      <c r="M202" s="462"/>
      <c r="N202" s="455"/>
      <c r="O202" s="1745"/>
      <c r="P202" s="1745"/>
      <c r="AH202" s="1752">
        <v>0</v>
      </c>
    </row>
    <row s="7720" customFormat="1" customHeight="1" ht="18.75" hidden="1">
      <c r="A203" s="1901"/>
      <c r="B203" s="1901"/>
      <c r="C203" s="490" t="s">
        <v>1167</v>
      </c>
      <c r="D203" s="2583"/>
      <c r="E203" s="2325"/>
      <c r="F203" s="2504"/>
      <c r="G203" s="2548"/>
      <c r="H203" s="1621"/>
      <c r="I203" s="772" t="s">
        <v>1166</v>
      </c>
      <c r="J203" s="692"/>
      <c r="K203" s="1621"/>
      <c r="L203" s="335"/>
      <c r="M203" s="462"/>
      <c r="N203" s="455"/>
      <c r="O203" s="1745"/>
      <c r="P203" s="1745"/>
      <c r="AH203" s="1752">
        <v>0</v>
      </c>
    </row>
    <row s="7720" customFormat="1" customHeight="1" ht="0.75" hidden="1">
      <c r="A204" s="1901"/>
      <c r="B204" s="1901"/>
      <c r="C204" s="490" t="s">
        <v>1176</v>
      </c>
      <c r="D204" s="2583"/>
      <c r="E204" s="2325"/>
      <c r="F204" s="2504"/>
      <c r="G204" s="521"/>
      <c r="H204" s="1621"/>
      <c r="I204" s="772"/>
      <c r="J204" s="692"/>
      <c r="K204" s="1621"/>
      <c r="L204" s="335"/>
      <c r="M204" s="462"/>
      <c r="N204" s="455"/>
      <c r="O204" s="1745"/>
      <c r="P204" s="1745"/>
      <c r="AH204" s="1752">
        <v>0</v>
      </c>
    </row>
    <row s="7720" customFormat="1" customHeight="1" ht="18.75" hidden="1">
      <c r="A205" s="1901" t="s">
        <v>289</v>
      </c>
      <c r="B205" s="1901" t="s">
        <v>290</v>
      </c>
      <c r="C205" s="490"/>
      <c r="D205" s="2583"/>
      <c r="E205" s="2325"/>
      <c r="F205" s="2504" t="str">
        <f>INDEX(PT_DIFFERENTIATION_VTAR,MATCH(A205,PT_DIFFERENTIATION_VTAR_ID,0))</f>
        <v>Тариф на водоотведение</v>
      </c>
      <c r="G205" s="2548" t="str">
        <f>INDEX(PT_DIFFERENTIATION_NTAR,MATCH(B205,PT_DIFFERENTIATION_NTAR_ID,0))</f>
        <v/>
      </c>
      <c r="H205" s="1983"/>
      <c r="I205" s="1860"/>
      <c r="J205" s="1894"/>
      <c r="K205" s="1899"/>
      <c r="L205" s="1983" t="s">
        <v>330</v>
      </c>
      <c r="M205" s="462"/>
      <c r="N205" s="455"/>
      <c r="O205" s="1745"/>
      <c r="P205" s="1745"/>
      <c r="AH205" s="1752">
        <v>0</v>
      </c>
    </row>
    <row s="7720" customFormat="1" customHeight="1" ht="18.75" hidden="1">
      <c r="A206" s="1901"/>
      <c r="B206" s="1901"/>
      <c r="C206" s="490" t="s">
        <v>1167</v>
      </c>
      <c r="D206" s="2583"/>
      <c r="E206" s="2325"/>
      <c r="F206" s="2504"/>
      <c r="G206" s="2548"/>
      <c r="H206" s="1621"/>
      <c r="I206" s="772" t="s">
        <v>1166</v>
      </c>
      <c r="J206" s="692"/>
      <c r="K206" s="1621"/>
      <c r="L206" s="335"/>
      <c r="M206" s="462"/>
      <c r="N206" s="455"/>
      <c r="O206" s="1745"/>
      <c r="P206" s="1745"/>
      <c r="AH206" s="1752">
        <v>0</v>
      </c>
    </row>
    <row s="7720" customFormat="1" customHeight="1" ht="0.75" hidden="1">
      <c r="A207" s="1901"/>
      <c r="B207" s="1901"/>
      <c r="C207" s="490" t="s">
        <v>1176</v>
      </c>
      <c r="D207" s="2583"/>
      <c r="E207" s="2325"/>
      <c r="F207" s="2504"/>
      <c r="G207" s="521"/>
      <c r="H207" s="1621"/>
      <c r="I207" s="772"/>
      <c r="J207" s="692"/>
      <c r="K207" s="1621"/>
      <c r="L207" s="335"/>
      <c r="M207" s="462"/>
      <c r="N207" s="455"/>
      <c r="O207" s="1745"/>
      <c r="P207" s="1745"/>
      <c r="AH207" s="1752">
        <v>0</v>
      </c>
    </row>
    <row s="7720" customFormat="1" customHeight="1" ht="18.75" hidden="1">
      <c r="A208" s="1901" t="s">
        <v>294</v>
      </c>
      <c r="B208" s="1901" t="s">
        <v>295</v>
      </c>
      <c r="C208" s="490"/>
      <c r="D208" s="2583"/>
      <c r="E208" s="2325"/>
      <c r="F208" s="2504" t="str">
        <f>INDEX(PT_DIFFERENTIATION_VTAR,MATCH(A208,PT_DIFFERENTIATION_VTAR_ID,0))</f>
        <v>Тариф на транспортировку сточных вод</v>
      </c>
      <c r="G208" s="2548" t="str">
        <f>INDEX(PT_DIFFERENTIATION_NTAR,MATCH(B208,PT_DIFFERENTIATION_NTAR_ID,0))</f>
        <v/>
      </c>
      <c r="H208" s="1983"/>
      <c r="I208" s="1860"/>
      <c r="J208" s="1894"/>
      <c r="K208" s="1899"/>
      <c r="L208" s="1983" t="s">
        <v>330</v>
      </c>
      <c r="M208" s="462"/>
      <c r="N208" s="455"/>
      <c r="O208" s="1745"/>
      <c r="P208" s="1745"/>
      <c r="AH208" s="1752">
        <v>0</v>
      </c>
    </row>
    <row s="7720" customFormat="1" customHeight="1" ht="18.75" hidden="1">
      <c r="A209" s="1901"/>
      <c r="B209" s="1901"/>
      <c r="C209" s="490" t="s">
        <v>1167</v>
      </c>
      <c r="D209" s="2583"/>
      <c r="E209" s="2325"/>
      <c r="F209" s="2504"/>
      <c r="G209" s="2548"/>
      <c r="H209" s="1621"/>
      <c r="I209" s="772" t="s">
        <v>1166</v>
      </c>
      <c r="J209" s="692"/>
      <c r="K209" s="1621"/>
      <c r="L209" s="335"/>
      <c r="M209" s="462"/>
      <c r="N209" s="455"/>
      <c r="O209" s="1745"/>
      <c r="P209" s="1745"/>
      <c r="AH209" s="1752">
        <v>0</v>
      </c>
    </row>
    <row s="7720" customFormat="1" customHeight="1" ht="0.75" hidden="1">
      <c r="A210" s="1901"/>
      <c r="B210" s="1901"/>
      <c r="C210" s="490" t="s">
        <v>1176</v>
      </c>
      <c r="D210" s="2583"/>
      <c r="E210" s="2325"/>
      <c r="F210" s="2504"/>
      <c r="G210" s="521"/>
      <c r="H210" s="1621"/>
      <c r="I210" s="772"/>
      <c r="J210" s="692"/>
      <c r="K210" s="1621"/>
      <c r="L210" s="335"/>
      <c r="M210" s="462"/>
      <c r="N210" s="455"/>
      <c r="O210" s="1745"/>
      <c r="P210" s="1745"/>
      <c r="AH210" s="1752">
        <v>0</v>
      </c>
    </row>
    <row s="7720" customFormat="1" customHeight="1" ht="18.75" hidden="1">
      <c r="A211" s="1901" t="s">
        <v>299</v>
      </c>
      <c r="B211" s="1901" t="s">
        <v>300</v>
      </c>
      <c r="C211" s="490"/>
      <c r="D211" s="2583"/>
      <c r="E211" s="2325"/>
      <c r="F211" s="2504" t="str">
        <f>INDEX(PT_DIFFERENTIATION_VTAR,MATCH(A211,PT_DIFFERENTIATION_VTAR_ID,0))</f>
        <v>Тариф на подключение (технологическое присоединение) к централизованной системе водоотведения</v>
      </c>
      <c r="G211" s="2548" t="str">
        <f>INDEX(PT_DIFFERENTIATION_NTAR,MATCH(B211,PT_DIFFERENTIATION_NTAR_ID,0))</f>
        <v/>
      </c>
      <c r="H211" s="1983"/>
      <c r="I211" s="1860"/>
      <c r="J211" s="1894"/>
      <c r="K211" s="1899"/>
      <c r="L211" s="1983" t="s">
        <v>330</v>
      </c>
      <c r="M211" s="462"/>
      <c r="N211" s="455"/>
      <c r="O211" s="1745"/>
      <c r="P211" s="1745"/>
      <c r="AH211" s="1752">
        <v>0</v>
      </c>
    </row>
    <row s="7720" customFormat="1" customHeight="1" ht="18.75" hidden="1">
      <c r="A212" s="1901"/>
      <c r="B212" s="1901"/>
      <c r="C212" s="490" t="s">
        <v>1167</v>
      </c>
      <c r="D212" s="2583"/>
      <c r="E212" s="2325"/>
      <c r="F212" s="2504"/>
      <c r="G212" s="2548"/>
      <c r="H212" s="1621"/>
      <c r="I212" s="772" t="s">
        <v>1166</v>
      </c>
      <c r="J212" s="692"/>
      <c r="K212" s="1621"/>
      <c r="L212" s="335"/>
      <c r="M212" s="462"/>
      <c r="N212" s="455"/>
      <c r="O212" s="1745"/>
      <c r="P212" s="1745"/>
      <c r="AH212" s="1752">
        <v>0</v>
      </c>
    </row>
    <row s="7720" customFormat="1" customHeight="1" ht="1.05">
      <c r="A213" s="1901"/>
      <c r="B213" s="1901"/>
      <c r="C213" s="490" t="s">
        <v>1176</v>
      </c>
      <c r="D213" s="2583"/>
      <c r="E213" s="2325"/>
      <c r="F213" s="2504"/>
      <c r="G213" s="521"/>
      <c r="H213" s="1621"/>
      <c r="I213" s="772"/>
      <c r="J213" s="692"/>
      <c r="K213" s="1621"/>
      <c r="L213" s="335"/>
      <c r="M213" s="462"/>
      <c r="N213" s="455"/>
      <c r="O213" s="1745"/>
      <c r="P213" s="1745"/>
      <c r="AH213" s="1752">
        <v>1</v>
      </c>
    </row>
    <row customHeight="1" ht="27.299999999999997">
      <c r="A214" s="1901"/>
      <c r="B214" s="1901"/>
      <c r="D214" s="497"/>
      <c r="E214" s="268" t="s">
        <v>124</v>
      </c>
      <c r="F214"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81"/>
      <c r="H214" s="2581"/>
      <c r="I214" s="2581"/>
      <c r="J214" s="2581"/>
      <c r="K214" s="2581"/>
      <c r="L214" s="2581"/>
      <c r="M214" s="418"/>
      <c r="N214" s="455"/>
      <c r="AH214" s="495">
        <v>26</v>
      </c>
    </row>
    <row s="7720" customFormat="1" customHeight="1" ht="60.75">
      <c r="A215" s="1901" t="s">
        <v>170</v>
      </c>
      <c r="B215" s="1901" t="s">
        <v>171</v>
      </c>
      <c r="C215" s="490"/>
      <c r="D215" s="2583"/>
      <c r="E215" s="2325"/>
      <c r="F215" s="250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8" t="str">
        <f>INDEX(PT_DIFFERENTIATION_NTAR,MATCH(B215,PT_DIFFERENTIATION_NTAR_ID,0))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15" s="1983"/>
      <c r="I215" s="7735">
        <v>46023</v>
      </c>
      <c r="J215" s="7736">
        <v>46387</v>
      </c>
      <c r="K215" s="1899">
        <v>165329.1</v>
      </c>
      <c r="L215" s="1983" t="s">
        <v>330</v>
      </c>
      <c r="M215"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55"/>
      <c r="O215" s="1745"/>
      <c r="P215" s="1745"/>
      <c r="AH215" s="1752">
        <v>0</v>
      </c>
    </row>
    <row s="7720" customFormat="1" customHeight="1" ht="18.75">
      <c r="A216" s="1901"/>
      <c r="B216" s="1901"/>
      <c r="C216" s="490" t="s">
        <v>1167</v>
      </c>
      <c r="D216" s="2583"/>
      <c r="E216" s="2325"/>
      <c r="F216" s="2504"/>
      <c r="G216" s="2548"/>
      <c r="H216" s="1621"/>
      <c r="I216" s="772" t="s">
        <v>1166</v>
      </c>
      <c r="J216" s="692"/>
      <c r="K216" s="1621"/>
      <c r="L216" s="335"/>
      <c r="M216" s="2291"/>
      <c r="N216" s="455"/>
      <c r="O216" s="1745"/>
      <c r="P216" s="1745"/>
      <c r="AH216" s="1752">
        <v>0</v>
      </c>
    </row>
    <row s="7720" customFormat="1" customHeight="1" ht="18.75">
      <c r="A217" s="3785" t="s">
        <v>170</v>
      </c>
      <c r="B217" s="3785" t="s">
        <v>179</v>
      </c>
      <c r="C217" s="4861"/>
      <c r="D217" s="4862"/>
      <c r="E217" s="4863"/>
      <c r="F217" s="4863"/>
      <c r="G217" s="4864" t="str">
        <f>INDEX(PT_DIFFERENTIATION_NTAR,MATCH(B217,PT_DIFFERENTIATION_NTAR_ID,0))</f>
        <v>Тариф на тепловую энергию (мощность), 
поставляемую потребителям узла теплоснабжения ТЭЦ-5 ПАО "ТГК-1"</v>
      </c>
      <c r="H217" s="4865"/>
      <c r="I217" s="7735">
        <v>46023</v>
      </c>
      <c r="J217" s="7736">
        <v>46387</v>
      </c>
      <c r="K217" s="4882">
        <v>0</v>
      </c>
      <c r="L217" s="4865" t="s">
        <v>330</v>
      </c>
      <c r="M217" s="4867"/>
      <c r="N217" s="4868"/>
      <c r="O217" s="3795"/>
      <c r="P217" s="3795"/>
      <c r="Q217" s="3796"/>
      <c r="R217" s="3796"/>
      <c r="S217" s="3796"/>
      <c r="T217" s="3796"/>
      <c r="U217" s="3796"/>
      <c r="V217" s="3796"/>
      <c r="W217" s="3796"/>
      <c r="X217" s="3796"/>
      <c r="Y217" s="3796"/>
      <c r="Z217" s="3796"/>
      <c r="AA217" s="3796"/>
      <c r="AB217" s="3796"/>
      <c r="AC217" s="3796"/>
      <c r="AD217" s="3796"/>
      <c r="AE217" s="3796"/>
      <c r="AF217" s="3796"/>
      <c r="AG217" s="3796"/>
      <c r="AH217" s="3796">
        <v>0</v>
      </c>
    </row>
    <row s="7720" customFormat="1" customHeight="1" ht="18.75">
      <c r="A218" s="3785"/>
      <c r="B218" s="3785"/>
      <c r="C218" s="4861" t="s">
        <v>1167</v>
      </c>
      <c r="D218" s="4862"/>
      <c r="E218" s="4863"/>
      <c r="F218" s="4863"/>
      <c r="G218" s="4864"/>
      <c r="H218" s="4894"/>
      <c r="I218" s="4895" t="s">
        <v>1166</v>
      </c>
      <c r="J218" s="4896"/>
      <c r="K218" s="4897"/>
      <c r="L218" s="4898"/>
      <c r="M218" s="4867"/>
      <c r="N218" s="4868"/>
      <c r="O218" s="3795"/>
      <c r="P218" s="3795"/>
      <c r="Q218" s="3796"/>
      <c r="R218" s="3796"/>
      <c r="S218" s="3796"/>
      <c r="T218" s="3796"/>
      <c r="U218" s="3796"/>
      <c r="V218" s="3796"/>
      <c r="W218" s="3796"/>
      <c r="X218" s="3796"/>
      <c r="Y218" s="3796"/>
      <c r="Z218" s="3796"/>
      <c r="AA218" s="3796"/>
      <c r="AB218" s="3796"/>
      <c r="AC218" s="3796"/>
      <c r="AD218" s="3796"/>
      <c r="AE218" s="3796"/>
      <c r="AF218" s="3796"/>
      <c r="AG218" s="3796"/>
      <c r="AH218" s="3796">
        <v>0</v>
      </c>
    </row>
    <row s="7720" customFormat="1" customHeight="1" ht="0.75">
      <c r="A219" s="1901"/>
      <c r="B219" s="1901"/>
      <c r="C219" s="490" t="s">
        <v>1176</v>
      </c>
      <c r="D219" s="2583"/>
      <c r="E219" s="2325"/>
      <c r="F219" s="2504"/>
      <c r="G219" s="521"/>
      <c r="H219" s="1621"/>
      <c r="I219" s="772"/>
      <c r="J219" s="692"/>
      <c r="K219" s="1621"/>
      <c r="L219" s="335"/>
      <c r="M219" s="2291"/>
      <c r="N219" s="455"/>
      <c r="O219" s="1745"/>
      <c r="P219" s="1745"/>
      <c r="AH219" s="1752">
        <v>0</v>
      </c>
    </row>
    <row s="7720" customFormat="1" customHeight="1" ht="45" hidden="1">
      <c r="A220" s="1901" t="s">
        <v>185</v>
      </c>
      <c r="B220" s="1901" t="s">
        <v>186</v>
      </c>
      <c r="C220" s="490"/>
      <c r="D220" s="2583"/>
      <c r="E220" s="2325"/>
      <c r="F220" s="2504"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548" t="str">
        <f>INDEX(PT_DIFFERENTIATION_NTAR,MATCH(B220,PT_DIFFERENTIATION_NTAR_ID,0))</f>
        <v/>
      </c>
      <c r="H220" s="1983"/>
      <c r="I220" s="1860"/>
      <c r="J220" s="1894"/>
      <c r="K220" s="1899"/>
      <c r="L220" s="1983" t="s">
        <v>330</v>
      </c>
      <c r="M220" s="2292"/>
      <c r="N220" s="455"/>
      <c r="O220" s="1745"/>
      <c r="P220" s="1745"/>
      <c r="AH220" s="1752">
        <v>0</v>
      </c>
    </row>
    <row s="7720" customFormat="1" customHeight="1" ht="18.75" hidden="1">
      <c r="A221" s="1901"/>
      <c r="B221" s="1901"/>
      <c r="C221" s="490" t="s">
        <v>1167</v>
      </c>
      <c r="D221" s="2583"/>
      <c r="E221" s="2325"/>
      <c r="F221" s="2504"/>
      <c r="G221" s="2548"/>
      <c r="H221" s="1621"/>
      <c r="I221" s="772" t="s">
        <v>1166</v>
      </c>
      <c r="J221" s="692"/>
      <c r="K221" s="1621"/>
      <c r="L221" s="335"/>
      <c r="M221" s="1982"/>
      <c r="N221" s="455"/>
      <c r="O221" s="1745"/>
      <c r="P221" s="1745"/>
      <c r="AH221" s="1752">
        <v>0</v>
      </c>
    </row>
    <row s="7720" customFormat="1" customHeight="1" ht="0.75" hidden="1">
      <c r="A222" s="1901"/>
      <c r="B222" s="1901"/>
      <c r="C222" s="490" t="s">
        <v>1176</v>
      </c>
      <c r="D222" s="2583"/>
      <c r="E222" s="2325"/>
      <c r="F222" s="2504"/>
      <c r="G222" s="521"/>
      <c r="H222" s="1621"/>
      <c r="I222" s="772"/>
      <c r="J222" s="692"/>
      <c r="K222" s="1621"/>
      <c r="L222" s="335"/>
      <c r="M222" s="462"/>
      <c r="N222" s="455"/>
      <c r="O222" s="1745"/>
      <c r="P222" s="1745"/>
      <c r="AH222" s="1752">
        <v>0</v>
      </c>
    </row>
    <row s="7720" customFormat="1" customHeight="1" ht="45">
      <c r="A223" s="1901" t="s">
        <v>193</v>
      </c>
      <c r="B223" s="1901" t="s">
        <v>194</v>
      </c>
      <c r="C223" s="490"/>
      <c r="D223" s="2583"/>
      <c r="E223" s="2325"/>
      <c r="F223" s="250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8" t="str">
        <f>INDEX(PT_DIFFERENTIATION_NTAR,MATCH(B223,PT_DIFFERENTIATION_NTAR_ID,0))</f>
        <v>Тариф на теплоноситель, поставляемый потребителям узла теплоснабжения ТЭЦ-21 ПАО "ТГК-1"</v>
      </c>
      <c r="H223" s="1983"/>
      <c r="I223" s="7735">
        <v>46023</v>
      </c>
      <c r="J223" s="7736">
        <v>46387</v>
      </c>
      <c r="K223" s="1899">
        <v>0</v>
      </c>
      <c r="L223" s="1983" t="s">
        <v>330</v>
      </c>
      <c r="M223" s="462"/>
      <c r="N223" s="455"/>
      <c r="O223" s="1745"/>
      <c r="P223" s="1745"/>
      <c r="AH223" s="1752">
        <v>0</v>
      </c>
    </row>
    <row s="7720" customFormat="1" customHeight="1" ht="18.75">
      <c r="A224" s="1901"/>
      <c r="B224" s="1901"/>
      <c r="C224" s="490" t="s">
        <v>1167</v>
      </c>
      <c r="D224" s="2583"/>
      <c r="E224" s="2325"/>
      <c r="F224" s="2504"/>
      <c r="G224" s="2548"/>
      <c r="H224" s="1621"/>
      <c r="I224" s="772" t="s">
        <v>1166</v>
      </c>
      <c r="J224" s="692"/>
      <c r="K224" s="1621"/>
      <c r="L224" s="335"/>
      <c r="M224" s="462"/>
      <c r="N224" s="455"/>
      <c r="O224" s="1745"/>
      <c r="P224" s="1745"/>
      <c r="AH224" s="1752">
        <v>0</v>
      </c>
    </row>
    <row s="7720" customFormat="1" customHeight="1" ht="0.75">
      <c r="A225" s="1901"/>
      <c r="B225" s="1901"/>
      <c r="C225" s="490" t="s">
        <v>1176</v>
      </c>
      <c r="D225" s="2583"/>
      <c r="E225" s="2325"/>
      <c r="F225" s="2504"/>
      <c r="G225" s="521"/>
      <c r="H225" s="1621"/>
      <c r="I225" s="772"/>
      <c r="J225" s="692"/>
      <c r="K225" s="1621"/>
      <c r="L225" s="335"/>
      <c r="M225" s="462"/>
      <c r="N225" s="455"/>
      <c r="O225" s="1745"/>
      <c r="P225" s="1745"/>
      <c r="AH225" s="1752">
        <v>0</v>
      </c>
    </row>
    <row s="7720" customFormat="1" customHeight="1" ht="45" hidden="1">
      <c r="A226" s="1901" t="s">
        <v>199</v>
      </c>
      <c r="B226" s="1901" t="s">
        <v>200</v>
      </c>
      <c r="C226" s="490"/>
      <c r="D226" s="2583"/>
      <c r="E226" s="2325"/>
      <c r="F226" s="250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8" t="str">
        <f>INDEX(PT_DIFFERENTIATION_NTAR,MATCH(B226,PT_DIFFERENTIATION_NTAR_ID,0))</f>
        <v/>
      </c>
      <c r="H226" s="1983"/>
      <c r="I226" s="1860"/>
      <c r="J226" s="1894"/>
      <c r="K226" s="1899"/>
      <c r="L226" s="1983" t="s">
        <v>330</v>
      </c>
      <c r="M226" s="462"/>
      <c r="N226" s="455"/>
      <c r="O226" s="1745"/>
      <c r="P226" s="1745"/>
      <c r="AH226" s="1752">
        <v>0</v>
      </c>
    </row>
    <row s="7720" customFormat="1" customHeight="1" ht="18.75" hidden="1">
      <c r="A227" s="1901"/>
      <c r="B227" s="1901"/>
      <c r="C227" s="490" t="s">
        <v>1167</v>
      </c>
      <c r="D227" s="2583"/>
      <c r="E227" s="2325"/>
      <c r="F227" s="2504"/>
      <c r="G227" s="2548"/>
      <c r="H227" s="1621"/>
      <c r="I227" s="772" t="s">
        <v>1166</v>
      </c>
      <c r="J227" s="692"/>
      <c r="K227" s="1621"/>
      <c r="L227" s="335"/>
      <c r="M227" s="462"/>
      <c r="N227" s="455"/>
      <c r="O227" s="1745"/>
      <c r="P227" s="1745"/>
      <c r="AH227" s="1752">
        <v>0</v>
      </c>
    </row>
    <row s="7720" customFormat="1" customHeight="1" ht="0.75" hidden="1">
      <c r="A228" s="1901"/>
      <c r="B228" s="1901"/>
      <c r="C228" s="490" t="s">
        <v>1176</v>
      </c>
      <c r="D228" s="2583"/>
      <c r="E228" s="2325"/>
      <c r="F228" s="2504"/>
      <c r="G228" s="521"/>
      <c r="H228" s="1621"/>
      <c r="I228" s="772"/>
      <c r="J228" s="692"/>
      <c r="K228" s="1621"/>
      <c r="L228" s="335"/>
      <c r="M228" s="462"/>
      <c r="N228" s="455"/>
      <c r="O228" s="1745"/>
      <c r="P228" s="1745"/>
      <c r="AH228" s="1752">
        <v>0</v>
      </c>
    </row>
    <row s="7720" customFormat="1" customHeight="1" ht="18.75" hidden="1">
      <c r="A229" s="1901" t="s">
        <v>205</v>
      </c>
      <c r="B229" s="1901" t="s">
        <v>206</v>
      </c>
      <c r="C229" s="490"/>
      <c r="D229" s="2583"/>
      <c r="E229" s="2325"/>
      <c r="F229" s="2504" t="str">
        <f>INDEX(PT_DIFFERENTIATION_VTAR,MATCH(A229,PT_DIFFERENTIATION_VTAR_ID,0))</f>
        <v>Тарифы на услуги по передаче тепловой энергии</v>
      </c>
      <c r="G229" s="2548" t="str">
        <f>INDEX(PT_DIFFERENTIATION_NTAR,MATCH(B229,PT_DIFFERENTIATION_NTAR_ID,0))</f>
        <v/>
      </c>
      <c r="H229" s="1983"/>
      <c r="I229" s="1860"/>
      <c r="J229" s="1894"/>
      <c r="K229" s="1899"/>
      <c r="L229" s="1983" t="s">
        <v>330</v>
      </c>
      <c r="M229" s="462"/>
      <c r="N229" s="455"/>
      <c r="O229" s="1745"/>
      <c r="P229" s="1745"/>
      <c r="AH229" s="1752">
        <v>0</v>
      </c>
    </row>
    <row s="7720" customFormat="1" customHeight="1" ht="18.75" hidden="1">
      <c r="A230" s="1901"/>
      <c r="B230" s="1901"/>
      <c r="C230" s="490" t="s">
        <v>1167</v>
      </c>
      <c r="D230" s="2583"/>
      <c r="E230" s="2325"/>
      <c r="F230" s="2504"/>
      <c r="G230" s="2548"/>
      <c r="H230" s="1621"/>
      <c r="I230" s="772" t="s">
        <v>1166</v>
      </c>
      <c r="J230" s="692"/>
      <c r="K230" s="1621"/>
      <c r="L230" s="335"/>
      <c r="M230" s="462"/>
      <c r="N230" s="455"/>
      <c r="O230" s="1745"/>
      <c r="P230" s="1745"/>
      <c r="AH230" s="1752">
        <v>0</v>
      </c>
    </row>
    <row s="7720" customFormat="1" customHeight="1" ht="0.75" hidden="1">
      <c r="A231" s="1901"/>
      <c r="B231" s="1901"/>
      <c r="C231" s="490" t="s">
        <v>1176</v>
      </c>
      <c r="D231" s="2583"/>
      <c r="E231" s="2325"/>
      <c r="F231" s="2504"/>
      <c r="G231" s="521"/>
      <c r="H231" s="1621"/>
      <c r="I231" s="772"/>
      <c r="J231" s="692"/>
      <c r="K231" s="1621"/>
      <c r="L231" s="335"/>
      <c r="M231" s="462"/>
      <c r="N231" s="455"/>
      <c r="O231" s="1745"/>
      <c r="P231" s="1745"/>
      <c r="AH231" s="1752">
        <v>0</v>
      </c>
    </row>
    <row s="7720" customFormat="1" customHeight="1" ht="18.75" hidden="1">
      <c r="A232" s="1901" t="s">
        <v>211</v>
      </c>
      <c r="B232" s="1901" t="s">
        <v>212</v>
      </c>
      <c r="C232" s="490"/>
      <c r="D232" s="2583"/>
      <c r="E232" s="2325"/>
      <c r="F232" s="2504" t="str">
        <f>INDEX(PT_DIFFERENTIATION_VTAR,MATCH(A232,PT_DIFFERENTIATION_VTAR_ID,0))</f>
        <v>Тарифы на услуги по передаче теплоносителя</v>
      </c>
      <c r="G232" s="2548" t="str">
        <f>INDEX(PT_DIFFERENTIATION_NTAR,MATCH(B232,PT_DIFFERENTIATION_NTAR_ID,0))</f>
        <v/>
      </c>
      <c r="H232" s="1983"/>
      <c r="I232" s="1860"/>
      <c r="J232" s="1894"/>
      <c r="K232" s="1899"/>
      <c r="L232" s="1983" t="s">
        <v>330</v>
      </c>
      <c r="M232" s="462"/>
      <c r="N232" s="455"/>
      <c r="O232" s="1745"/>
      <c r="P232" s="1745"/>
      <c r="AH232" s="1752">
        <v>0</v>
      </c>
    </row>
    <row s="7720" customFormat="1" customHeight="1" ht="18.75" hidden="1">
      <c r="A233" s="1901"/>
      <c r="B233" s="1901"/>
      <c r="C233" s="490" t="s">
        <v>1167</v>
      </c>
      <c r="D233" s="2583"/>
      <c r="E233" s="2325"/>
      <c r="F233" s="2504"/>
      <c r="G233" s="2548"/>
      <c r="H233" s="1621"/>
      <c r="I233" s="772" t="s">
        <v>1166</v>
      </c>
      <c r="J233" s="692"/>
      <c r="K233" s="1621"/>
      <c r="L233" s="335"/>
      <c r="M233" s="462"/>
      <c r="N233" s="455"/>
      <c r="O233" s="1745"/>
      <c r="P233" s="1745"/>
      <c r="AH233" s="1752">
        <v>0</v>
      </c>
    </row>
    <row s="7720" customFormat="1" customHeight="1" ht="0.75" hidden="1">
      <c r="A234" s="1901"/>
      <c r="B234" s="1901"/>
      <c r="C234" s="490" t="s">
        <v>1176</v>
      </c>
      <c r="D234" s="2583"/>
      <c r="E234" s="2325"/>
      <c r="F234" s="2504"/>
      <c r="G234" s="521"/>
      <c r="H234" s="1621"/>
      <c r="I234" s="772"/>
      <c r="J234" s="692"/>
      <c r="K234" s="1621"/>
      <c r="L234" s="335"/>
      <c r="M234" s="462"/>
      <c r="N234" s="455"/>
      <c r="O234" s="1745"/>
      <c r="P234" s="1745"/>
      <c r="AH234" s="1752">
        <v>0</v>
      </c>
    </row>
    <row s="7720" customFormat="1" customHeight="1" ht="18.75" hidden="1">
      <c r="A235" s="1901" t="s">
        <v>217</v>
      </c>
      <c r="B235" s="1901" t="s">
        <v>218</v>
      </c>
      <c r="C235" s="490"/>
      <c r="D235" s="2583"/>
      <c r="E235" s="2325"/>
      <c r="F235" s="250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8" t="str">
        <f>INDEX(PT_DIFFERENTIATION_NTAR,MATCH(B235,PT_DIFFERENTIATION_NTAR_ID,0))</f>
        <v/>
      </c>
      <c r="H235" s="1983"/>
      <c r="I235" s="1860"/>
      <c r="J235" s="1894"/>
      <c r="K235" s="1899"/>
      <c r="L235" s="1983" t="s">
        <v>330</v>
      </c>
      <c r="M235" s="462"/>
      <c r="N235" s="455"/>
      <c r="O235" s="1745"/>
      <c r="P235" s="1745"/>
      <c r="AH235" s="1752">
        <v>0</v>
      </c>
    </row>
    <row s="7720" customFormat="1" customHeight="1" ht="18.75" hidden="1">
      <c r="A236" s="1901"/>
      <c r="B236" s="1901"/>
      <c r="C236" s="490" t="s">
        <v>1167</v>
      </c>
      <c r="D236" s="2583"/>
      <c r="E236" s="2325"/>
      <c r="F236" s="2504"/>
      <c r="G236" s="2548"/>
      <c r="H236" s="1621"/>
      <c r="I236" s="772" t="s">
        <v>1166</v>
      </c>
      <c r="J236" s="692"/>
      <c r="K236" s="1621"/>
      <c r="L236" s="335"/>
      <c r="M236" s="462"/>
      <c r="N236" s="455"/>
      <c r="O236" s="1745"/>
      <c r="P236" s="1745"/>
      <c r="AH236" s="1752">
        <v>0</v>
      </c>
    </row>
    <row s="7720" customFormat="1" customHeight="1" ht="0.75" hidden="1">
      <c r="A237" s="1901"/>
      <c r="B237" s="1901"/>
      <c r="C237" s="490" t="s">
        <v>1176</v>
      </c>
      <c r="D237" s="2583"/>
      <c r="E237" s="2325"/>
      <c r="F237" s="2504"/>
      <c r="G237" s="521"/>
      <c r="H237" s="1621"/>
      <c r="I237" s="772"/>
      <c r="J237" s="692"/>
      <c r="K237" s="1621"/>
      <c r="L237" s="335"/>
      <c r="M237" s="462"/>
      <c r="N237" s="455"/>
      <c r="O237" s="1745"/>
      <c r="P237" s="1745"/>
      <c r="AH237" s="1752">
        <v>0</v>
      </c>
    </row>
    <row s="7720" customFormat="1" customHeight="1" ht="18.75" hidden="1">
      <c r="A238" s="1901" t="s">
        <v>223</v>
      </c>
      <c r="B238" s="1901" t="s">
        <v>224</v>
      </c>
      <c r="C238" s="490"/>
      <c r="D238" s="2583"/>
      <c r="E238" s="2325"/>
      <c r="F238" s="2504" t="str">
        <f>INDEX(PT_DIFFERENTIATION_VTAR,MATCH(A238,PT_DIFFERENTIATION_VTAR_ID,0))</f>
        <v>Плата за подключение (технологическое присоединение) к системе теплоснабжения</v>
      </c>
      <c r="G238" s="2548" t="str">
        <f>INDEX(PT_DIFFERENTIATION_NTAR,MATCH(B238,PT_DIFFERENTIATION_NTAR_ID,0))</f>
        <v/>
      </c>
      <c r="H238" s="1983"/>
      <c r="I238" s="1860"/>
      <c r="J238" s="1894"/>
      <c r="K238" s="1899"/>
      <c r="L238" s="1983" t="s">
        <v>330</v>
      </c>
      <c r="M238" s="462"/>
      <c r="N238" s="455"/>
      <c r="O238" s="1745"/>
      <c r="P238" s="1745"/>
      <c r="AH238" s="1752">
        <v>0</v>
      </c>
    </row>
    <row s="7720" customFormat="1" customHeight="1" ht="18.75" hidden="1">
      <c r="A239" s="1901"/>
      <c r="B239" s="1901"/>
      <c r="C239" s="490" t="s">
        <v>1167</v>
      </c>
      <c r="D239" s="2583"/>
      <c r="E239" s="2325"/>
      <c r="F239" s="2504"/>
      <c r="G239" s="2548"/>
      <c r="H239" s="1621"/>
      <c r="I239" s="772" t="s">
        <v>1166</v>
      </c>
      <c r="J239" s="692"/>
      <c r="K239" s="1621"/>
      <c r="L239" s="335"/>
      <c r="M239" s="462"/>
      <c r="N239" s="455"/>
      <c r="O239" s="1745"/>
      <c r="P239" s="1745"/>
      <c r="AH239" s="1752">
        <v>0</v>
      </c>
    </row>
    <row s="7720" customFormat="1" customHeight="1" ht="0.75" hidden="1">
      <c r="A240" s="1901"/>
      <c r="B240" s="1901"/>
      <c r="C240" s="490" t="s">
        <v>1176</v>
      </c>
      <c r="D240" s="2583"/>
      <c r="E240" s="2325"/>
      <c r="F240" s="2504"/>
      <c r="G240" s="521"/>
      <c r="H240" s="1621"/>
      <c r="I240" s="772"/>
      <c r="J240" s="692"/>
      <c r="K240" s="1621"/>
      <c r="L240" s="335"/>
      <c r="M240" s="462"/>
      <c r="N240" s="455"/>
      <c r="O240" s="1745"/>
      <c r="P240" s="1745"/>
      <c r="AH240" s="1752">
        <v>0</v>
      </c>
    </row>
    <row s="7720" customFormat="1" customHeight="1" ht="18.75" hidden="1">
      <c r="A241" s="1901" t="s">
        <v>229</v>
      </c>
      <c r="B241" s="1901" t="s">
        <v>230</v>
      </c>
      <c r="C241" s="490"/>
      <c r="D241" s="2583"/>
      <c r="E241" s="2325"/>
      <c r="F241" s="2504" t="str">
        <f>INDEX(PT_DIFFERENTIATION_VTAR,MATCH(A241,PT_DIFFERENTIATION_VTAR_ID,0))</f>
        <v>Плата за подключение (технологическое присоединение) к системе теплоснабжения (индивидуальная)</v>
      </c>
      <c r="G241" s="2548" t="str">
        <f>INDEX(PT_DIFFERENTIATION_NTAR,MATCH(B241,PT_DIFFERENTIATION_NTAR_ID,0))</f>
        <v/>
      </c>
      <c r="H241" s="2110"/>
      <c r="I241" s="1860"/>
      <c r="J241" s="1894"/>
      <c r="K241" s="1899"/>
      <c r="L241" s="2110" t="s">
        <v>330</v>
      </c>
      <c r="M241" s="462"/>
      <c r="N241" s="455"/>
      <c r="O241" s="1745"/>
      <c r="P241" s="1745"/>
      <c r="AH241" s="1752">
        <v>0</v>
      </c>
    </row>
    <row s="7720" customFormat="1" customHeight="1" ht="18.75" hidden="1">
      <c r="A242" s="1901"/>
      <c r="B242" s="1901"/>
      <c r="C242" s="490" t="s">
        <v>1167</v>
      </c>
      <c r="D242" s="2583"/>
      <c r="E242" s="2325"/>
      <c r="F242" s="2504"/>
      <c r="G242" s="2548"/>
      <c r="H242" s="1621"/>
      <c r="I242" s="772" t="s">
        <v>1166</v>
      </c>
      <c r="J242" s="692"/>
      <c r="K242" s="1621"/>
      <c r="L242" s="335"/>
      <c r="M242" s="462"/>
      <c r="N242" s="455"/>
      <c r="O242" s="1745"/>
      <c r="P242" s="1745"/>
      <c r="AH242" s="1752">
        <v>0</v>
      </c>
    </row>
    <row s="7720" customFormat="1" customHeight="1" ht="0.75" hidden="1">
      <c r="A243" s="1901"/>
      <c r="B243" s="1901"/>
      <c r="C243" s="490" t="s">
        <v>1176</v>
      </c>
      <c r="D243" s="2583"/>
      <c r="E243" s="2325"/>
      <c r="F243" s="2504"/>
      <c r="G243" s="521"/>
      <c r="H243" s="1621"/>
      <c r="I243" s="772"/>
      <c r="J243" s="692"/>
      <c r="K243" s="1621"/>
      <c r="L243" s="335"/>
      <c r="M243" s="462"/>
      <c r="N243" s="455"/>
      <c r="O243" s="1745"/>
      <c r="P243" s="1745"/>
      <c r="AH243" s="1752">
        <v>0</v>
      </c>
    </row>
    <row s="7720" customFormat="1" customHeight="1" ht="18.75" hidden="1">
      <c r="A244" s="1901" t="s">
        <v>249</v>
      </c>
      <c r="B244" s="1901" t="s">
        <v>250</v>
      </c>
      <c r="C244" s="490"/>
      <c r="D244" s="2583"/>
      <c r="E244" s="2325"/>
      <c r="F244" s="2504" t="str">
        <f>INDEX(PT_DIFFERENTIATION_VTAR,MATCH(A244,PT_DIFFERENTIATION_VTAR_ID,0))</f>
        <v>Тариф на питьевую воду (питьевое водоснабжение)</v>
      </c>
      <c r="G244" s="2548" t="str">
        <f>INDEX(PT_DIFFERENTIATION_NTAR,MATCH(B244,PT_DIFFERENTIATION_NTAR_ID,0))</f>
        <v/>
      </c>
      <c r="H244" s="1983"/>
      <c r="I244" s="1860"/>
      <c r="J244" s="1894"/>
      <c r="K244" s="1899"/>
      <c r="L244" s="1983" t="s">
        <v>330</v>
      </c>
      <c r="M244" s="462"/>
      <c r="N244" s="455"/>
      <c r="O244" s="1745"/>
      <c r="P244" s="1745"/>
      <c r="AH244" s="1752">
        <v>0</v>
      </c>
    </row>
    <row s="7720" customFormat="1" customHeight="1" ht="18.75" hidden="1">
      <c r="A245" s="1901"/>
      <c r="B245" s="1901"/>
      <c r="C245" s="490" t="s">
        <v>1167</v>
      </c>
      <c r="D245" s="2583"/>
      <c r="E245" s="2325"/>
      <c r="F245" s="2504"/>
      <c r="G245" s="2548"/>
      <c r="H245" s="1621"/>
      <c r="I245" s="772" t="s">
        <v>1166</v>
      </c>
      <c r="J245" s="692"/>
      <c r="K245" s="1621"/>
      <c r="L245" s="335"/>
      <c r="M245" s="462"/>
      <c r="N245" s="455"/>
      <c r="O245" s="1745"/>
      <c r="P245" s="1745"/>
      <c r="AH245" s="1752">
        <v>0</v>
      </c>
    </row>
    <row s="7720" customFormat="1" customHeight="1" ht="0.75" hidden="1">
      <c r="A246" s="1901"/>
      <c r="B246" s="1901"/>
      <c r="C246" s="490" t="s">
        <v>1176</v>
      </c>
      <c r="D246" s="2583"/>
      <c r="E246" s="2325"/>
      <c r="F246" s="2504"/>
      <c r="G246" s="521"/>
      <c r="H246" s="1621"/>
      <c r="I246" s="772"/>
      <c r="J246" s="692"/>
      <c r="K246" s="1621"/>
      <c r="L246" s="335"/>
      <c r="M246" s="462"/>
      <c r="N246" s="455"/>
      <c r="O246" s="1745"/>
      <c r="P246" s="1745"/>
      <c r="AH246" s="1752">
        <v>0</v>
      </c>
    </row>
    <row s="7720" customFormat="1" customHeight="1" ht="18.75" hidden="1">
      <c r="A247" s="1901" t="s">
        <v>254</v>
      </c>
      <c r="B247" s="1901" t="s">
        <v>255</v>
      </c>
      <c r="C247" s="490"/>
      <c r="D247" s="2583"/>
      <c r="E247" s="2325"/>
      <c r="F247" s="2504" t="str">
        <f>INDEX(PT_DIFFERENTIATION_VTAR,MATCH(A247,PT_DIFFERENTIATION_VTAR_ID,0))</f>
        <v>Тариф на техническую воду</v>
      </c>
      <c r="G247" s="2548" t="str">
        <f>INDEX(PT_DIFFERENTIATION_NTAR,MATCH(B247,PT_DIFFERENTIATION_NTAR_ID,0))</f>
        <v/>
      </c>
      <c r="H247" s="1983"/>
      <c r="I247" s="1860"/>
      <c r="J247" s="1894"/>
      <c r="K247" s="1899"/>
      <c r="L247" s="1983" t="s">
        <v>330</v>
      </c>
      <c r="M247" s="462"/>
      <c r="N247" s="455"/>
      <c r="O247" s="1745"/>
      <c r="P247" s="1745"/>
      <c r="AH247" s="1752">
        <v>0</v>
      </c>
    </row>
    <row s="7720" customFormat="1" customHeight="1" ht="18.75" hidden="1">
      <c r="A248" s="1901"/>
      <c r="B248" s="1901"/>
      <c r="C248" s="490" t="s">
        <v>1167</v>
      </c>
      <c r="D248" s="2583"/>
      <c r="E248" s="2325"/>
      <c r="F248" s="2504"/>
      <c r="G248" s="2548"/>
      <c r="H248" s="1621"/>
      <c r="I248" s="772" t="s">
        <v>1166</v>
      </c>
      <c r="J248" s="692"/>
      <c r="K248" s="1621"/>
      <c r="L248" s="335"/>
      <c r="M248" s="462"/>
      <c r="N248" s="455"/>
      <c r="O248" s="1745"/>
      <c r="P248" s="1745"/>
      <c r="AH248" s="1752">
        <v>0</v>
      </c>
    </row>
    <row s="7720" customFormat="1" customHeight="1" ht="0.75" hidden="1">
      <c r="A249" s="1901"/>
      <c r="B249" s="1901"/>
      <c r="C249" s="490" t="s">
        <v>1176</v>
      </c>
      <c r="D249" s="2583"/>
      <c r="E249" s="2325"/>
      <c r="F249" s="2504"/>
      <c r="G249" s="521"/>
      <c r="H249" s="1621"/>
      <c r="I249" s="772"/>
      <c r="J249" s="692"/>
      <c r="K249" s="1621"/>
      <c r="L249" s="335"/>
      <c r="M249" s="462"/>
      <c r="N249" s="455"/>
      <c r="O249" s="1745"/>
      <c r="P249" s="1745"/>
      <c r="AH249" s="1752">
        <v>0</v>
      </c>
    </row>
    <row s="7720" customFormat="1" customHeight="1" ht="18.75" hidden="1">
      <c r="A250" s="1901" t="s">
        <v>259</v>
      </c>
      <c r="B250" s="1901" t="s">
        <v>260</v>
      </c>
      <c r="C250" s="490"/>
      <c r="D250" s="2583"/>
      <c r="E250" s="2325"/>
      <c r="F250" s="2504" t="str">
        <f>INDEX(PT_DIFFERENTIATION_VTAR,MATCH(A250,PT_DIFFERENTIATION_VTAR_ID,0))</f>
        <v>Тариф на транспортировку воды</v>
      </c>
      <c r="G250" s="2548" t="str">
        <f>INDEX(PT_DIFFERENTIATION_NTAR,MATCH(B250,PT_DIFFERENTIATION_NTAR_ID,0))</f>
        <v/>
      </c>
      <c r="H250" s="1983"/>
      <c r="I250" s="1860"/>
      <c r="J250" s="1894"/>
      <c r="K250" s="1899"/>
      <c r="L250" s="1983" t="s">
        <v>330</v>
      </c>
      <c r="M250" s="462"/>
      <c r="N250" s="455"/>
      <c r="O250" s="1745"/>
      <c r="P250" s="1745"/>
      <c r="AH250" s="1752">
        <v>0</v>
      </c>
    </row>
    <row s="7720" customFormat="1" customHeight="1" ht="18.75" hidden="1">
      <c r="A251" s="1901"/>
      <c r="B251" s="1901"/>
      <c r="C251" s="490" t="s">
        <v>1167</v>
      </c>
      <c r="D251" s="2583"/>
      <c r="E251" s="2325"/>
      <c r="F251" s="2504"/>
      <c r="G251" s="2548"/>
      <c r="H251" s="1621"/>
      <c r="I251" s="772" t="s">
        <v>1166</v>
      </c>
      <c r="J251" s="692"/>
      <c r="K251" s="1621"/>
      <c r="L251" s="335"/>
      <c r="M251" s="462"/>
      <c r="N251" s="455"/>
      <c r="O251" s="1745"/>
      <c r="P251" s="1745"/>
      <c r="AH251" s="1752">
        <v>0</v>
      </c>
    </row>
    <row s="7720" customFormat="1" customHeight="1" ht="0.75" hidden="1">
      <c r="A252" s="1901"/>
      <c r="B252" s="1901"/>
      <c r="C252" s="490" t="s">
        <v>1176</v>
      </c>
      <c r="D252" s="2583"/>
      <c r="E252" s="2325"/>
      <c r="F252" s="2504"/>
      <c r="G252" s="521"/>
      <c r="H252" s="1621"/>
      <c r="I252" s="772"/>
      <c r="J252" s="692"/>
      <c r="K252" s="1621"/>
      <c r="L252" s="335"/>
      <c r="M252" s="462"/>
      <c r="N252" s="455"/>
      <c r="O252" s="1745"/>
      <c r="P252" s="1745"/>
      <c r="AH252" s="1752">
        <v>0</v>
      </c>
    </row>
    <row s="7720" customFormat="1" customHeight="1" ht="18.75" hidden="1">
      <c r="A253" s="1901" t="s">
        <v>264</v>
      </c>
      <c r="B253" s="1901" t="s">
        <v>265</v>
      </c>
      <c r="C253" s="490"/>
      <c r="D253" s="2583"/>
      <c r="E253" s="2325"/>
      <c r="F253" s="2504" t="str">
        <f>INDEX(PT_DIFFERENTIATION_VTAR,MATCH(A253,PT_DIFFERENTIATION_VTAR_ID,0))</f>
        <v>Тариф на подвоз воды</v>
      </c>
      <c r="G253" s="2548" t="str">
        <f>INDEX(PT_DIFFERENTIATION_NTAR,MATCH(B253,PT_DIFFERENTIATION_NTAR_ID,0))</f>
        <v/>
      </c>
      <c r="H253" s="1983"/>
      <c r="I253" s="1860"/>
      <c r="J253" s="1894"/>
      <c r="K253" s="1899"/>
      <c r="L253" s="1983" t="s">
        <v>330</v>
      </c>
      <c r="M253" s="462"/>
      <c r="N253" s="455"/>
      <c r="O253" s="1745"/>
      <c r="P253" s="1745"/>
      <c r="AH253" s="1752">
        <v>0</v>
      </c>
    </row>
    <row s="7720" customFormat="1" customHeight="1" ht="18.75" hidden="1">
      <c r="A254" s="1901"/>
      <c r="B254" s="1901"/>
      <c r="C254" s="490" t="s">
        <v>1167</v>
      </c>
      <c r="D254" s="2583"/>
      <c r="E254" s="2325"/>
      <c r="F254" s="2504"/>
      <c r="G254" s="2548"/>
      <c r="H254" s="1621"/>
      <c r="I254" s="772" t="s">
        <v>1166</v>
      </c>
      <c r="J254" s="692"/>
      <c r="K254" s="1621"/>
      <c r="L254" s="335"/>
      <c r="M254" s="462"/>
      <c r="N254" s="455"/>
      <c r="O254" s="1745"/>
      <c r="P254" s="1745"/>
      <c r="AH254" s="1752">
        <v>0</v>
      </c>
    </row>
    <row s="7720" customFormat="1" customHeight="1" ht="0.75" hidden="1">
      <c r="A255" s="1901"/>
      <c r="B255" s="1901"/>
      <c r="C255" s="490" t="s">
        <v>1176</v>
      </c>
      <c r="D255" s="2583"/>
      <c r="E255" s="2325"/>
      <c r="F255" s="2504"/>
      <c r="G255" s="521"/>
      <c r="H255" s="1621"/>
      <c r="I255" s="772"/>
      <c r="J255" s="692"/>
      <c r="K255" s="1621"/>
      <c r="L255" s="335"/>
      <c r="M255" s="462"/>
      <c r="N255" s="455"/>
      <c r="O255" s="1745"/>
      <c r="P255" s="1745"/>
      <c r="AH255" s="1752">
        <v>0</v>
      </c>
    </row>
    <row s="7720" customFormat="1" customHeight="1" ht="18.75" hidden="1">
      <c r="A256" s="1901" t="s">
        <v>269</v>
      </c>
      <c r="B256" s="1901" t="s">
        <v>270</v>
      </c>
      <c r="C256" s="490"/>
      <c r="D256" s="2583"/>
      <c r="E256" s="2325"/>
      <c r="F256" s="250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8" t="str">
        <f>INDEX(PT_DIFFERENTIATION_NTAR,MATCH(B256,PT_DIFFERENTIATION_NTAR_ID,0))</f>
        <v/>
      </c>
      <c r="H256" s="1983"/>
      <c r="I256" s="1860"/>
      <c r="J256" s="1894"/>
      <c r="K256" s="1899"/>
      <c r="L256" s="1983" t="s">
        <v>330</v>
      </c>
      <c r="M256" s="462"/>
      <c r="N256" s="455"/>
      <c r="O256" s="1745"/>
      <c r="P256" s="1745"/>
      <c r="AH256" s="1752">
        <v>0</v>
      </c>
    </row>
    <row s="7720" customFormat="1" customHeight="1" ht="18.75" hidden="1">
      <c r="A257" s="1901"/>
      <c r="B257" s="1901"/>
      <c r="C257" s="490" t="s">
        <v>1167</v>
      </c>
      <c r="D257" s="2583"/>
      <c r="E257" s="2325"/>
      <c r="F257" s="2504"/>
      <c r="G257" s="2548"/>
      <c r="H257" s="1621"/>
      <c r="I257" s="772" t="s">
        <v>1166</v>
      </c>
      <c r="J257" s="692"/>
      <c r="K257" s="1621"/>
      <c r="L257" s="335"/>
      <c r="M257" s="462"/>
      <c r="N257" s="455"/>
      <c r="O257" s="1745"/>
      <c r="P257" s="1745"/>
      <c r="AH257" s="1752">
        <v>0</v>
      </c>
    </row>
    <row s="7720" customFormat="1" customHeight="1" ht="0.75" hidden="1">
      <c r="A258" s="1901"/>
      <c r="B258" s="1901"/>
      <c r="C258" s="490" t="s">
        <v>1176</v>
      </c>
      <c r="D258" s="2583"/>
      <c r="E258" s="2325"/>
      <c r="F258" s="2504"/>
      <c r="G258" s="521"/>
      <c r="H258" s="1621"/>
      <c r="I258" s="772"/>
      <c r="J258" s="692"/>
      <c r="K258" s="1621"/>
      <c r="L258" s="335"/>
      <c r="M258" s="462"/>
      <c r="N258" s="455"/>
      <c r="O258" s="1745"/>
      <c r="P258" s="1745"/>
      <c r="AH258" s="1752">
        <v>0</v>
      </c>
    </row>
    <row s="7720" customFormat="1" customHeight="1" ht="18.75" hidden="1">
      <c r="A259" s="1901" t="s">
        <v>274</v>
      </c>
      <c r="B259" s="1901" t="s">
        <v>275</v>
      </c>
      <c r="C259" s="490"/>
      <c r="D259" s="2583"/>
      <c r="E259" s="2325"/>
      <c r="F259" s="2504" t="str">
        <f>INDEX(PT_DIFFERENTIATION_VTAR,MATCH(A259,PT_DIFFERENTIATION_VTAR_ID,0))</f>
        <v>Тариф на горячую воду (горячее водоснабжение)</v>
      </c>
      <c r="G259" s="2548" t="str">
        <f>INDEX(PT_DIFFERENTIATION_NTAR,MATCH(B259,PT_DIFFERENTIATION_NTAR_ID,0))</f>
        <v/>
      </c>
      <c r="H259" s="1983"/>
      <c r="I259" s="1860"/>
      <c r="J259" s="1894"/>
      <c r="K259" s="1899"/>
      <c r="L259" s="1983" t="s">
        <v>330</v>
      </c>
      <c r="M259" s="462"/>
      <c r="N259" s="455"/>
      <c r="O259" s="1745"/>
      <c r="P259" s="1745"/>
      <c r="AH259" s="1752">
        <v>0</v>
      </c>
    </row>
    <row s="7720" customFormat="1" customHeight="1" ht="18.75" hidden="1">
      <c r="A260" s="1901"/>
      <c r="B260" s="1901"/>
      <c r="C260" s="490" t="s">
        <v>1167</v>
      </c>
      <c r="D260" s="2583"/>
      <c r="E260" s="2325"/>
      <c r="F260" s="2504"/>
      <c r="G260" s="2548"/>
      <c r="H260" s="1621"/>
      <c r="I260" s="772" t="s">
        <v>1166</v>
      </c>
      <c r="J260" s="692"/>
      <c r="K260" s="1621"/>
      <c r="L260" s="335"/>
      <c r="M260" s="462"/>
      <c r="N260" s="455"/>
      <c r="O260" s="1745"/>
      <c r="P260" s="1745"/>
      <c r="AH260" s="1752">
        <v>0</v>
      </c>
    </row>
    <row s="7720" customFormat="1" customHeight="1" ht="0.75" hidden="1">
      <c r="A261" s="1901"/>
      <c r="B261" s="1901"/>
      <c r="C261" s="490" t="s">
        <v>1176</v>
      </c>
      <c r="D261" s="2583"/>
      <c r="E261" s="2325"/>
      <c r="F261" s="2504"/>
      <c r="G261" s="521"/>
      <c r="H261" s="1621"/>
      <c r="I261" s="772"/>
      <c r="J261" s="692"/>
      <c r="K261" s="1621"/>
      <c r="L261" s="335"/>
      <c r="M261" s="462"/>
      <c r="N261" s="455"/>
      <c r="O261" s="1745"/>
      <c r="P261" s="1745"/>
      <c r="AH261" s="1752">
        <v>0</v>
      </c>
    </row>
    <row s="7720" customFormat="1" customHeight="1" ht="18.75" hidden="1">
      <c r="A262" s="1901" t="s">
        <v>279</v>
      </c>
      <c r="B262" s="1901" t="s">
        <v>280</v>
      </c>
      <c r="C262" s="490"/>
      <c r="D262" s="2583"/>
      <c r="E262" s="2325"/>
      <c r="F262" s="2504" t="str">
        <f>INDEX(PT_DIFFERENTIATION_VTAR,MATCH(A262,PT_DIFFERENTIATION_VTAR_ID,0))</f>
        <v>Тариф на транспортировку горячей воды</v>
      </c>
      <c r="G262" s="2548" t="str">
        <f>INDEX(PT_DIFFERENTIATION_NTAR,MATCH(B262,PT_DIFFERENTIATION_NTAR_ID,0))</f>
        <v/>
      </c>
      <c r="H262" s="1983"/>
      <c r="I262" s="1860"/>
      <c r="J262" s="1894"/>
      <c r="K262" s="1899"/>
      <c r="L262" s="1983" t="s">
        <v>330</v>
      </c>
      <c r="M262" s="462"/>
      <c r="N262" s="455"/>
      <c r="O262" s="1745"/>
      <c r="P262" s="1745"/>
      <c r="AH262" s="1752">
        <v>0</v>
      </c>
    </row>
    <row s="7720" customFormat="1" customHeight="1" ht="18.75" hidden="1">
      <c r="A263" s="1901"/>
      <c r="B263" s="1901"/>
      <c r="C263" s="490" t="s">
        <v>1167</v>
      </c>
      <c r="D263" s="2583"/>
      <c r="E263" s="2325"/>
      <c r="F263" s="2504"/>
      <c r="G263" s="2548"/>
      <c r="H263" s="1621"/>
      <c r="I263" s="772" t="s">
        <v>1166</v>
      </c>
      <c r="J263" s="692"/>
      <c r="K263" s="1621"/>
      <c r="L263" s="335"/>
      <c r="M263" s="462"/>
      <c r="N263" s="455"/>
      <c r="O263" s="1745"/>
      <c r="P263" s="1745"/>
      <c r="AH263" s="1752">
        <v>0</v>
      </c>
    </row>
    <row s="7720" customFormat="1" customHeight="1" ht="0.75" hidden="1">
      <c r="A264" s="1901"/>
      <c r="B264" s="1901"/>
      <c r="C264" s="490" t="s">
        <v>1176</v>
      </c>
      <c r="D264" s="2583"/>
      <c r="E264" s="2325"/>
      <c r="F264" s="2504"/>
      <c r="G264" s="521"/>
      <c r="H264" s="1621"/>
      <c r="I264" s="772"/>
      <c r="J264" s="692"/>
      <c r="K264" s="1621"/>
      <c r="L264" s="335"/>
      <c r="M264" s="462"/>
      <c r="N264" s="455"/>
      <c r="O264" s="1745"/>
      <c r="P264" s="1745"/>
      <c r="AH264" s="1752">
        <v>0</v>
      </c>
    </row>
    <row s="7720" customFormat="1" customHeight="1" ht="18.75" hidden="1">
      <c r="A265" s="1901" t="s">
        <v>284</v>
      </c>
      <c r="B265" s="1901" t="s">
        <v>285</v>
      </c>
      <c r="C265" s="490"/>
      <c r="D265" s="2583"/>
      <c r="E265" s="2325"/>
      <c r="F265" s="250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8" t="str">
        <f>INDEX(PT_DIFFERENTIATION_NTAR,MATCH(B265,PT_DIFFERENTIATION_NTAR_ID,0))</f>
        <v/>
      </c>
      <c r="H265" s="1983"/>
      <c r="I265" s="1860"/>
      <c r="J265" s="1894"/>
      <c r="K265" s="1899"/>
      <c r="L265" s="1983" t="s">
        <v>330</v>
      </c>
      <c r="M265" s="462"/>
      <c r="N265" s="455"/>
      <c r="O265" s="1745"/>
      <c r="P265" s="1745"/>
      <c r="AH265" s="1752">
        <v>0</v>
      </c>
    </row>
    <row s="7720" customFormat="1" customHeight="1" ht="18.75" hidden="1">
      <c r="A266" s="1901"/>
      <c r="B266" s="1901"/>
      <c r="C266" s="490" t="s">
        <v>1167</v>
      </c>
      <c r="D266" s="2583"/>
      <c r="E266" s="2325"/>
      <c r="F266" s="2504"/>
      <c r="G266" s="2548"/>
      <c r="H266" s="1621"/>
      <c r="I266" s="772" t="s">
        <v>1166</v>
      </c>
      <c r="J266" s="692"/>
      <c r="K266" s="1621"/>
      <c r="L266" s="335"/>
      <c r="M266" s="462"/>
      <c r="N266" s="455"/>
      <c r="O266" s="1745"/>
      <c r="P266" s="1745"/>
      <c r="AH266" s="1752">
        <v>0</v>
      </c>
    </row>
    <row s="7720" customFormat="1" customHeight="1" ht="0.75" hidden="1">
      <c r="A267" s="1901"/>
      <c r="B267" s="1901"/>
      <c r="C267" s="490" t="s">
        <v>1176</v>
      </c>
      <c r="D267" s="2583"/>
      <c r="E267" s="2325"/>
      <c r="F267" s="2504"/>
      <c r="G267" s="521"/>
      <c r="H267" s="1621"/>
      <c r="I267" s="772"/>
      <c r="J267" s="692"/>
      <c r="K267" s="1621"/>
      <c r="L267" s="335"/>
      <c r="M267" s="462"/>
      <c r="N267" s="455"/>
      <c r="O267" s="1745"/>
      <c r="P267" s="1745"/>
      <c r="AH267" s="1752">
        <v>0</v>
      </c>
    </row>
    <row s="7720" customFormat="1" customHeight="1" ht="18.75" hidden="1">
      <c r="A268" s="1901" t="s">
        <v>289</v>
      </c>
      <c r="B268" s="1901" t="s">
        <v>290</v>
      </c>
      <c r="C268" s="490"/>
      <c r="D268" s="2583"/>
      <c r="E268" s="2325"/>
      <c r="F268" s="2504" t="str">
        <f>INDEX(PT_DIFFERENTIATION_VTAR,MATCH(A268,PT_DIFFERENTIATION_VTAR_ID,0))</f>
        <v>Тариф на водоотведение</v>
      </c>
      <c r="G268" s="2548" t="str">
        <f>INDEX(PT_DIFFERENTIATION_NTAR,MATCH(B268,PT_DIFFERENTIATION_NTAR_ID,0))</f>
        <v/>
      </c>
      <c r="H268" s="1983"/>
      <c r="I268" s="1860"/>
      <c r="J268" s="1894"/>
      <c r="K268" s="1899"/>
      <c r="L268" s="1983" t="s">
        <v>330</v>
      </c>
      <c r="M268" s="462"/>
      <c r="N268" s="455"/>
      <c r="O268" s="1745"/>
      <c r="P268" s="1745"/>
      <c r="AH268" s="1752">
        <v>0</v>
      </c>
    </row>
    <row s="7720" customFormat="1" customHeight="1" ht="18.75" hidden="1">
      <c r="A269" s="1901"/>
      <c r="B269" s="1901"/>
      <c r="C269" s="490" t="s">
        <v>1167</v>
      </c>
      <c r="D269" s="2583"/>
      <c r="E269" s="2325"/>
      <c r="F269" s="2504"/>
      <c r="G269" s="2548"/>
      <c r="H269" s="1621"/>
      <c r="I269" s="772" t="s">
        <v>1166</v>
      </c>
      <c r="J269" s="692"/>
      <c r="K269" s="1621"/>
      <c r="L269" s="335"/>
      <c r="M269" s="462"/>
      <c r="N269" s="455"/>
      <c r="O269" s="1745"/>
      <c r="P269" s="1745"/>
      <c r="AH269" s="1752">
        <v>0</v>
      </c>
    </row>
    <row s="7720" customFormat="1" customHeight="1" ht="0.75" hidden="1">
      <c r="A270" s="1901"/>
      <c r="B270" s="1901"/>
      <c r="C270" s="490" t="s">
        <v>1176</v>
      </c>
      <c r="D270" s="2583"/>
      <c r="E270" s="2325"/>
      <c r="F270" s="2504"/>
      <c r="G270" s="521"/>
      <c r="H270" s="1621"/>
      <c r="I270" s="772"/>
      <c r="J270" s="692"/>
      <c r="K270" s="1621"/>
      <c r="L270" s="335"/>
      <c r="M270" s="462"/>
      <c r="N270" s="455"/>
      <c r="O270" s="1745"/>
      <c r="P270" s="1745"/>
      <c r="AH270" s="1752">
        <v>0</v>
      </c>
    </row>
    <row s="7720" customFormat="1" customHeight="1" ht="18.75" hidden="1">
      <c r="A271" s="1901" t="s">
        <v>294</v>
      </c>
      <c r="B271" s="1901" t="s">
        <v>295</v>
      </c>
      <c r="C271" s="490"/>
      <c r="D271" s="2583"/>
      <c r="E271" s="2325"/>
      <c r="F271" s="2504" t="str">
        <f>INDEX(PT_DIFFERENTIATION_VTAR,MATCH(A271,PT_DIFFERENTIATION_VTAR_ID,0))</f>
        <v>Тариф на транспортировку сточных вод</v>
      </c>
      <c r="G271" s="2548" t="str">
        <f>INDEX(PT_DIFFERENTIATION_NTAR,MATCH(B271,PT_DIFFERENTIATION_NTAR_ID,0))</f>
        <v/>
      </c>
      <c r="H271" s="1983"/>
      <c r="I271" s="1860"/>
      <c r="J271" s="1894"/>
      <c r="K271" s="1899"/>
      <c r="L271" s="1983" t="s">
        <v>330</v>
      </c>
      <c r="M271" s="462"/>
      <c r="N271" s="455"/>
      <c r="O271" s="1745"/>
      <c r="P271" s="1745"/>
      <c r="AH271" s="1752">
        <v>0</v>
      </c>
    </row>
    <row s="7720" customFormat="1" customHeight="1" ht="18.75" hidden="1">
      <c r="A272" s="1901"/>
      <c r="B272" s="1901"/>
      <c r="C272" s="490" t="s">
        <v>1167</v>
      </c>
      <c r="D272" s="2583"/>
      <c r="E272" s="2325"/>
      <c r="F272" s="2504"/>
      <c r="G272" s="2548"/>
      <c r="H272" s="1621"/>
      <c r="I272" s="772" t="s">
        <v>1166</v>
      </c>
      <c r="J272" s="692"/>
      <c r="K272" s="1621"/>
      <c r="L272" s="335"/>
      <c r="M272" s="462"/>
      <c r="N272" s="455"/>
      <c r="O272" s="1745"/>
      <c r="P272" s="1745"/>
      <c r="AH272" s="1752">
        <v>0</v>
      </c>
    </row>
    <row s="7720" customFormat="1" customHeight="1" ht="0.75" hidden="1">
      <c r="A273" s="1901"/>
      <c r="B273" s="1901"/>
      <c r="C273" s="490" t="s">
        <v>1176</v>
      </c>
      <c r="D273" s="2583"/>
      <c r="E273" s="2325"/>
      <c r="F273" s="2504"/>
      <c r="G273" s="521"/>
      <c r="H273" s="1621"/>
      <c r="I273" s="772"/>
      <c r="J273" s="692"/>
      <c r="K273" s="1621"/>
      <c r="L273" s="335"/>
      <c r="M273" s="462"/>
      <c r="N273" s="455"/>
      <c r="O273" s="1745"/>
      <c r="P273" s="1745"/>
      <c r="AH273" s="1752">
        <v>0</v>
      </c>
    </row>
    <row s="7720" customFormat="1" customHeight="1" ht="18.75" hidden="1">
      <c r="A274" s="1901" t="s">
        <v>299</v>
      </c>
      <c r="B274" s="1901" t="s">
        <v>300</v>
      </c>
      <c r="C274" s="490"/>
      <c r="D274" s="2583"/>
      <c r="E274" s="2325"/>
      <c r="F274" s="2504" t="str">
        <f>INDEX(PT_DIFFERENTIATION_VTAR,MATCH(A274,PT_DIFFERENTIATION_VTAR_ID,0))</f>
        <v>Тариф на подключение (технологическое присоединение) к централизованной системе водоотведения</v>
      </c>
      <c r="G274" s="2548" t="str">
        <f>INDEX(PT_DIFFERENTIATION_NTAR,MATCH(B274,PT_DIFFERENTIATION_NTAR_ID,0))</f>
        <v/>
      </c>
      <c r="H274" s="1983"/>
      <c r="I274" s="1860"/>
      <c r="J274" s="1894"/>
      <c r="K274" s="1899"/>
      <c r="L274" s="1983" t="s">
        <v>330</v>
      </c>
      <c r="M274" s="462"/>
      <c r="N274" s="455"/>
      <c r="O274" s="1745"/>
      <c r="P274" s="1745"/>
      <c r="AH274" s="1752">
        <v>0</v>
      </c>
    </row>
    <row s="7720" customFormat="1" customHeight="1" ht="18.75" hidden="1">
      <c r="A275" s="1901"/>
      <c r="B275" s="1901"/>
      <c r="C275" s="490" t="s">
        <v>1167</v>
      </c>
      <c r="D275" s="2583"/>
      <c r="E275" s="2325"/>
      <c r="F275" s="2504"/>
      <c r="G275" s="2548"/>
      <c r="H275" s="1621"/>
      <c r="I275" s="772" t="s">
        <v>1166</v>
      </c>
      <c r="J275" s="692"/>
      <c r="K275" s="1621"/>
      <c r="L275" s="335"/>
      <c r="M275" s="462"/>
      <c r="N275" s="455"/>
      <c r="O275" s="1745"/>
      <c r="P275" s="1745"/>
      <c r="AH275" s="1752">
        <v>0</v>
      </c>
    </row>
    <row s="7720" customFormat="1" customHeight="1" ht="1.05">
      <c r="A276" s="1901"/>
      <c r="B276" s="1901"/>
      <c r="C276" s="490" t="s">
        <v>1176</v>
      </c>
      <c r="D276" s="2583"/>
      <c r="E276" s="2325"/>
      <c r="F276" s="2504"/>
      <c r="G276" s="521"/>
      <c r="H276" s="1621"/>
      <c r="I276" s="772"/>
      <c r="J276" s="692"/>
      <c r="K276" s="1621"/>
      <c r="L276" s="335"/>
      <c r="M276" s="462"/>
      <c r="N276" s="455"/>
      <c r="O276" s="1745"/>
      <c r="P276" s="1745"/>
      <c r="AH276" s="1752">
        <v>1</v>
      </c>
    </row>
    <row customHeight="1" ht="27.299999999999997">
      <c r="A277" s="1901"/>
      <c r="B277" s="1901"/>
      <c r="D277" s="497"/>
      <c r="E277" s="268" t="s">
        <v>92</v>
      </c>
      <c r="F277"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81"/>
      <c r="H277" s="2581"/>
      <c r="I277" s="2581"/>
      <c r="J277" s="2581"/>
      <c r="K277" s="2581"/>
      <c r="L277" s="2581"/>
      <c r="M277" s="418"/>
      <c r="N277" s="455"/>
      <c r="AH277" s="495">
        <v>26</v>
      </c>
    </row>
    <row s="7720" customFormat="1" customHeight="1" ht="60.75">
      <c r="A278" s="1901" t="s">
        <v>170</v>
      </c>
      <c r="B278" s="1901" t="s">
        <v>171</v>
      </c>
      <c r="C278" s="490"/>
      <c r="D278" s="2583"/>
      <c r="E278" s="2325"/>
      <c r="F278" s="250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8" t="str">
        <f>INDEX(PT_DIFFERENTIATION_NTAR,MATCH(B278,PT_DIFFERENTIATION_NTAR_ID,0))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78" s="1983"/>
      <c r="I278" s="7735">
        <v>46023</v>
      </c>
      <c r="J278" s="7736">
        <v>46387</v>
      </c>
      <c r="K278" s="1899">
        <v>18000</v>
      </c>
      <c r="L278" s="1983" t="s">
        <v>330</v>
      </c>
      <c r="M27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55"/>
      <c r="O278" s="1745"/>
      <c r="P278" s="1745"/>
      <c r="AH278" s="1752">
        <v>0</v>
      </c>
    </row>
    <row s="7720" customFormat="1" customHeight="1" ht="18.75">
      <c r="A279" s="1901"/>
      <c r="B279" s="1901"/>
      <c r="C279" s="490" t="s">
        <v>1167</v>
      </c>
      <c r="D279" s="2583"/>
      <c r="E279" s="2325"/>
      <c r="F279" s="2504"/>
      <c r="G279" s="2548"/>
      <c r="H279" s="1621"/>
      <c r="I279" s="772" t="s">
        <v>1166</v>
      </c>
      <c r="J279" s="692"/>
      <c r="K279" s="1621"/>
      <c r="L279" s="335"/>
      <c r="M279" s="2291"/>
      <c r="N279" s="455"/>
      <c r="O279" s="1745"/>
      <c r="P279" s="1745"/>
      <c r="AH279" s="1752">
        <v>0</v>
      </c>
    </row>
    <row s="7720" customFormat="1" customHeight="1" ht="18.75">
      <c r="A280" s="3785" t="s">
        <v>170</v>
      </c>
      <c r="B280" s="3785" t="s">
        <v>179</v>
      </c>
      <c r="C280" s="4861"/>
      <c r="D280" s="4862"/>
      <c r="E280" s="4863"/>
      <c r="F280" s="4863"/>
      <c r="G280" s="4864" t="str">
        <f>INDEX(PT_DIFFERENTIATION_NTAR,MATCH(B280,PT_DIFFERENTIATION_NTAR_ID,0))</f>
        <v>Тариф на тепловую энергию (мощность), 
поставляемую потребителям узла теплоснабжения ТЭЦ-5 ПАО "ТГК-1"</v>
      </c>
      <c r="H280" s="4865"/>
      <c r="I280" s="7735">
        <v>46023</v>
      </c>
      <c r="J280" s="7736">
        <v>46387</v>
      </c>
      <c r="K280" s="4882">
        <v>14925.94</v>
      </c>
      <c r="L280" s="4865" t="s">
        <v>330</v>
      </c>
      <c r="M280" s="4867"/>
      <c r="N280" s="4868"/>
      <c r="O280" s="3795"/>
      <c r="P280" s="3795"/>
      <c r="Q280" s="3796"/>
      <c r="R280" s="3796"/>
      <c r="S280" s="3796"/>
      <c r="T280" s="3796"/>
      <c r="U280" s="3796"/>
      <c r="V280" s="3796"/>
      <c r="W280" s="3796"/>
      <c r="X280" s="3796"/>
      <c r="Y280" s="3796"/>
      <c r="Z280" s="3796"/>
      <c r="AA280" s="3796"/>
      <c r="AB280" s="3796"/>
      <c r="AC280" s="3796"/>
      <c r="AD280" s="3796"/>
      <c r="AE280" s="3796"/>
      <c r="AF280" s="3796"/>
      <c r="AG280" s="3796"/>
      <c r="AH280" s="3796">
        <v>0</v>
      </c>
    </row>
    <row s="7720" customFormat="1" customHeight="1" ht="18.75">
      <c r="A281" s="3785"/>
      <c r="B281" s="3785"/>
      <c r="C281" s="4861" t="s">
        <v>1167</v>
      </c>
      <c r="D281" s="4862"/>
      <c r="E281" s="4863"/>
      <c r="F281" s="4863"/>
      <c r="G281" s="4864"/>
      <c r="H281" s="4899"/>
      <c r="I281" s="4900" t="s">
        <v>1166</v>
      </c>
      <c r="J281" s="4901"/>
      <c r="K281" s="4902"/>
      <c r="L281" s="4903"/>
      <c r="M281" s="4867"/>
      <c r="N281" s="4868"/>
      <c r="O281" s="3795"/>
      <c r="P281" s="3795"/>
      <c r="Q281" s="3796"/>
      <c r="R281" s="3796"/>
      <c r="S281" s="3796"/>
      <c r="T281" s="3796"/>
      <c r="U281" s="3796"/>
      <c r="V281" s="3796"/>
      <c r="W281" s="3796"/>
      <c r="X281" s="3796"/>
      <c r="Y281" s="3796"/>
      <c r="Z281" s="3796"/>
      <c r="AA281" s="3796"/>
      <c r="AB281" s="3796"/>
      <c r="AC281" s="3796"/>
      <c r="AD281" s="3796"/>
      <c r="AE281" s="3796"/>
      <c r="AF281" s="3796"/>
      <c r="AG281" s="3796"/>
      <c r="AH281" s="3796">
        <v>0</v>
      </c>
    </row>
    <row s="7720" customFormat="1" customHeight="1" ht="0.75">
      <c r="A282" s="1901"/>
      <c r="B282" s="1901"/>
      <c r="C282" s="490" t="s">
        <v>1176</v>
      </c>
      <c r="D282" s="2583"/>
      <c r="E282" s="2325"/>
      <c r="F282" s="2504"/>
      <c r="G282" s="521"/>
      <c r="H282" s="1621"/>
      <c r="I282" s="772"/>
      <c r="J282" s="692"/>
      <c r="K282" s="1621"/>
      <c r="L282" s="335"/>
      <c r="M282" s="2291"/>
      <c r="N282" s="455"/>
      <c r="O282" s="1745"/>
      <c r="P282" s="1745"/>
      <c r="AH282" s="1752">
        <v>0</v>
      </c>
    </row>
    <row s="7720" customFormat="1" customHeight="1" ht="45" hidden="1">
      <c r="A283" s="1901" t="s">
        <v>185</v>
      </c>
      <c r="B283" s="1901" t="s">
        <v>186</v>
      </c>
      <c r="C283" s="490"/>
      <c r="D283" s="2583"/>
      <c r="E283" s="2325"/>
      <c r="F283" s="2504"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548" t="str">
        <f>INDEX(PT_DIFFERENTIATION_NTAR,MATCH(B283,PT_DIFFERENTIATION_NTAR_ID,0))</f>
        <v/>
      </c>
      <c r="H283" s="1983"/>
      <c r="I283" s="1860"/>
      <c r="J283" s="1894"/>
      <c r="K283" s="1899"/>
      <c r="L283" s="1983" t="s">
        <v>330</v>
      </c>
      <c r="M283" s="2292"/>
      <c r="N283" s="455"/>
      <c r="O283" s="1745"/>
      <c r="P283" s="1745"/>
      <c r="AH283" s="1752">
        <v>0</v>
      </c>
    </row>
    <row s="7720" customFormat="1" customHeight="1" ht="18.75" hidden="1">
      <c r="A284" s="1901"/>
      <c r="B284" s="1901"/>
      <c r="C284" s="490" t="s">
        <v>1167</v>
      </c>
      <c r="D284" s="2583"/>
      <c r="E284" s="2325"/>
      <c r="F284" s="2504"/>
      <c r="G284" s="2548"/>
      <c r="H284" s="1621"/>
      <c r="I284" s="772" t="s">
        <v>1166</v>
      </c>
      <c r="J284" s="692"/>
      <c r="K284" s="1621"/>
      <c r="L284" s="335"/>
      <c r="M284" s="1982"/>
      <c r="N284" s="455"/>
      <c r="O284" s="1745"/>
      <c r="P284" s="1745"/>
      <c r="AH284" s="1752">
        <v>0</v>
      </c>
    </row>
    <row s="7720" customFormat="1" customHeight="1" ht="0.75" hidden="1">
      <c r="A285" s="1901"/>
      <c r="B285" s="1901"/>
      <c r="C285" s="490" t="s">
        <v>1176</v>
      </c>
      <c r="D285" s="2583"/>
      <c r="E285" s="2325"/>
      <c r="F285" s="2504"/>
      <c r="G285" s="521"/>
      <c r="H285" s="1621"/>
      <c r="I285" s="772"/>
      <c r="J285" s="692"/>
      <c r="K285" s="1621"/>
      <c r="L285" s="335"/>
      <c r="M285" s="462"/>
      <c r="N285" s="455"/>
      <c r="O285" s="1745"/>
      <c r="P285" s="1745"/>
      <c r="AH285" s="1752">
        <v>0</v>
      </c>
    </row>
    <row s="7720" customFormat="1" customHeight="1" ht="45">
      <c r="A286" s="1901" t="s">
        <v>193</v>
      </c>
      <c r="B286" s="1901" t="s">
        <v>194</v>
      </c>
      <c r="C286" s="490"/>
      <c r="D286" s="2583"/>
      <c r="E286" s="2325"/>
      <c r="F286" s="2504"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548" t="str">
        <f>INDEX(PT_DIFFERENTIATION_NTAR,MATCH(B286,PT_DIFFERENTIATION_NTAR_ID,0))</f>
        <v>Тариф на теплоноситель, поставляемый потребителям узла теплоснабжения ТЭЦ-21 ПАО "ТГК-1"</v>
      </c>
      <c r="H286" s="1983"/>
      <c r="I286" s="7735">
        <v>46023</v>
      </c>
      <c r="J286" s="7736">
        <v>46387</v>
      </c>
      <c r="K286" s="1899">
        <v>0</v>
      </c>
      <c r="L286" s="1983" t="s">
        <v>330</v>
      </c>
      <c r="M286" s="462"/>
      <c r="N286" s="455"/>
      <c r="O286" s="1745"/>
      <c r="P286" s="1745"/>
      <c r="AH286" s="1752">
        <v>0</v>
      </c>
    </row>
    <row s="7720" customFormat="1" customHeight="1" ht="18.75">
      <c r="A287" s="1901"/>
      <c r="B287" s="1901"/>
      <c r="C287" s="490" t="s">
        <v>1167</v>
      </c>
      <c r="D287" s="2583"/>
      <c r="E287" s="2325"/>
      <c r="F287" s="2504"/>
      <c r="G287" s="2548"/>
      <c r="H287" s="1621"/>
      <c r="I287" s="772" t="s">
        <v>1166</v>
      </c>
      <c r="J287" s="692"/>
      <c r="K287" s="1621"/>
      <c r="L287" s="335"/>
      <c r="M287" s="462"/>
      <c r="N287" s="455"/>
      <c r="O287" s="1745"/>
      <c r="P287" s="1745"/>
      <c r="AH287" s="1752">
        <v>0</v>
      </c>
    </row>
    <row s="7720" customFormat="1" customHeight="1" ht="0.75">
      <c r="A288" s="1901"/>
      <c r="B288" s="1901"/>
      <c r="C288" s="490" t="s">
        <v>1176</v>
      </c>
      <c r="D288" s="2583"/>
      <c r="E288" s="2325"/>
      <c r="F288" s="2504"/>
      <c r="G288" s="521"/>
      <c r="H288" s="1621"/>
      <c r="I288" s="772"/>
      <c r="J288" s="692"/>
      <c r="K288" s="1621"/>
      <c r="L288" s="335"/>
      <c r="M288" s="462"/>
      <c r="N288" s="455"/>
      <c r="O288" s="1745"/>
      <c r="P288" s="1745"/>
      <c r="AH288" s="1752">
        <v>0</v>
      </c>
    </row>
    <row s="7720" customFormat="1" customHeight="1" ht="45" hidden="1">
      <c r="A289" s="1901" t="s">
        <v>199</v>
      </c>
      <c r="B289" s="1901" t="s">
        <v>200</v>
      </c>
      <c r="C289" s="490"/>
      <c r="D289" s="2583"/>
      <c r="E289" s="2325"/>
      <c r="F289" s="2504"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548" t="str">
        <f>INDEX(PT_DIFFERENTIATION_NTAR,MATCH(B289,PT_DIFFERENTIATION_NTAR_ID,0))</f>
        <v/>
      </c>
      <c r="H289" s="1983"/>
      <c r="I289" s="1860"/>
      <c r="J289" s="1894"/>
      <c r="K289" s="1899"/>
      <c r="L289" s="1983" t="s">
        <v>330</v>
      </c>
      <c r="M289" s="462"/>
      <c r="N289" s="455"/>
      <c r="O289" s="1745"/>
      <c r="P289" s="1745"/>
      <c r="AH289" s="1752">
        <v>0</v>
      </c>
    </row>
    <row s="7720" customFormat="1" customHeight="1" ht="18.75" hidden="1">
      <c r="A290" s="1901"/>
      <c r="B290" s="1901"/>
      <c r="C290" s="490" t="s">
        <v>1167</v>
      </c>
      <c r="D290" s="2583"/>
      <c r="E290" s="2325"/>
      <c r="F290" s="2504"/>
      <c r="G290" s="2548"/>
      <c r="H290" s="1621"/>
      <c r="I290" s="772" t="s">
        <v>1166</v>
      </c>
      <c r="J290" s="692"/>
      <c r="K290" s="1621"/>
      <c r="L290" s="335"/>
      <c r="M290" s="462"/>
      <c r="N290" s="455"/>
      <c r="O290" s="1745"/>
      <c r="P290" s="1745"/>
      <c r="AH290" s="1752">
        <v>0</v>
      </c>
    </row>
    <row s="7720" customFormat="1" customHeight="1" ht="0.75" hidden="1">
      <c r="A291" s="1901"/>
      <c r="B291" s="1901"/>
      <c r="C291" s="490" t="s">
        <v>1176</v>
      </c>
      <c r="D291" s="2583"/>
      <c r="E291" s="2325"/>
      <c r="F291" s="2504"/>
      <c r="G291" s="521"/>
      <c r="H291" s="1621"/>
      <c r="I291" s="772"/>
      <c r="J291" s="692"/>
      <c r="K291" s="1621"/>
      <c r="L291" s="335"/>
      <c r="M291" s="462"/>
      <c r="N291" s="455"/>
      <c r="O291" s="1745"/>
      <c r="P291" s="1745"/>
      <c r="AH291" s="1752">
        <v>0</v>
      </c>
    </row>
    <row s="7720" customFormat="1" customHeight="1" ht="18.75" hidden="1">
      <c r="A292" s="1901" t="s">
        <v>205</v>
      </c>
      <c r="B292" s="1901" t="s">
        <v>206</v>
      </c>
      <c r="C292" s="490"/>
      <c r="D292" s="2583"/>
      <c r="E292" s="2325"/>
      <c r="F292" s="2504" t="str">
        <f>INDEX(PT_DIFFERENTIATION_VTAR,MATCH(A292,PT_DIFFERENTIATION_VTAR_ID,0))</f>
        <v>Тарифы на услуги по передаче тепловой энергии</v>
      </c>
      <c r="G292" s="2548" t="str">
        <f>INDEX(PT_DIFFERENTIATION_NTAR,MATCH(B292,PT_DIFFERENTIATION_NTAR_ID,0))</f>
        <v/>
      </c>
      <c r="H292" s="1983"/>
      <c r="I292" s="1860"/>
      <c r="J292" s="1894"/>
      <c r="K292" s="1899"/>
      <c r="L292" s="1983" t="s">
        <v>330</v>
      </c>
      <c r="M292" s="462"/>
      <c r="N292" s="455"/>
      <c r="O292" s="1745"/>
      <c r="P292" s="1745"/>
      <c r="AH292" s="1752">
        <v>0</v>
      </c>
    </row>
    <row s="7720" customFormat="1" customHeight="1" ht="18.75" hidden="1">
      <c r="A293" s="1901"/>
      <c r="B293" s="1901"/>
      <c r="C293" s="490" t="s">
        <v>1167</v>
      </c>
      <c r="D293" s="2583"/>
      <c r="E293" s="2325"/>
      <c r="F293" s="2504"/>
      <c r="G293" s="2548"/>
      <c r="H293" s="1621"/>
      <c r="I293" s="772" t="s">
        <v>1166</v>
      </c>
      <c r="J293" s="692"/>
      <c r="K293" s="1621"/>
      <c r="L293" s="335"/>
      <c r="M293" s="462"/>
      <c r="N293" s="455"/>
      <c r="O293" s="1745"/>
      <c r="P293" s="1745"/>
      <c r="AH293" s="1752">
        <v>0</v>
      </c>
    </row>
    <row s="7720" customFormat="1" customHeight="1" ht="0.75" hidden="1">
      <c r="A294" s="1901"/>
      <c r="B294" s="1901"/>
      <c r="C294" s="490" t="s">
        <v>1176</v>
      </c>
      <c r="D294" s="2583"/>
      <c r="E294" s="2325"/>
      <c r="F294" s="2504"/>
      <c r="G294" s="521"/>
      <c r="H294" s="1621"/>
      <c r="I294" s="772"/>
      <c r="J294" s="692"/>
      <c r="K294" s="1621"/>
      <c r="L294" s="335"/>
      <c r="M294" s="462"/>
      <c r="N294" s="455"/>
      <c r="O294" s="1745"/>
      <c r="P294" s="1745"/>
      <c r="AH294" s="1752">
        <v>0</v>
      </c>
    </row>
    <row s="7720" customFormat="1" customHeight="1" ht="18.75" hidden="1">
      <c r="A295" s="1901" t="s">
        <v>211</v>
      </c>
      <c r="B295" s="1901" t="s">
        <v>212</v>
      </c>
      <c r="C295" s="490"/>
      <c r="D295" s="2583"/>
      <c r="E295" s="2325"/>
      <c r="F295" s="2504" t="str">
        <f>INDEX(PT_DIFFERENTIATION_VTAR,MATCH(A295,PT_DIFFERENTIATION_VTAR_ID,0))</f>
        <v>Тарифы на услуги по передаче теплоносителя</v>
      </c>
      <c r="G295" s="2548" t="str">
        <f>INDEX(PT_DIFFERENTIATION_NTAR,MATCH(B295,PT_DIFFERENTIATION_NTAR_ID,0))</f>
        <v/>
      </c>
      <c r="H295" s="1983"/>
      <c r="I295" s="1860"/>
      <c r="J295" s="1894"/>
      <c r="K295" s="1899"/>
      <c r="L295" s="1983" t="s">
        <v>330</v>
      </c>
      <c r="M295" s="462"/>
      <c r="N295" s="455"/>
      <c r="O295" s="1745"/>
      <c r="P295" s="1745"/>
      <c r="AH295" s="1752">
        <v>0</v>
      </c>
    </row>
    <row s="7720" customFormat="1" customHeight="1" ht="18.75" hidden="1">
      <c r="A296" s="1901"/>
      <c r="B296" s="1901"/>
      <c r="C296" s="490" t="s">
        <v>1167</v>
      </c>
      <c r="D296" s="2583"/>
      <c r="E296" s="2325"/>
      <c r="F296" s="2504"/>
      <c r="G296" s="2548"/>
      <c r="H296" s="1621"/>
      <c r="I296" s="772" t="s">
        <v>1166</v>
      </c>
      <c r="J296" s="692"/>
      <c r="K296" s="1621"/>
      <c r="L296" s="335"/>
      <c r="M296" s="462"/>
      <c r="N296" s="455"/>
      <c r="O296" s="1745"/>
      <c r="P296" s="1745"/>
      <c r="AH296" s="1752">
        <v>0</v>
      </c>
    </row>
    <row s="7720" customFormat="1" customHeight="1" ht="0.75" hidden="1">
      <c r="A297" s="1901"/>
      <c r="B297" s="1901"/>
      <c r="C297" s="490" t="s">
        <v>1176</v>
      </c>
      <c r="D297" s="2583"/>
      <c r="E297" s="2325"/>
      <c r="F297" s="2504"/>
      <c r="G297" s="521"/>
      <c r="H297" s="1621"/>
      <c r="I297" s="772"/>
      <c r="J297" s="692"/>
      <c r="K297" s="1621"/>
      <c r="L297" s="335"/>
      <c r="M297" s="462"/>
      <c r="N297" s="455"/>
      <c r="O297" s="1745"/>
      <c r="P297" s="1745"/>
      <c r="AH297" s="1752">
        <v>0</v>
      </c>
    </row>
    <row s="7720" customFormat="1" customHeight="1" ht="18.75" hidden="1">
      <c r="A298" s="1901" t="s">
        <v>217</v>
      </c>
      <c r="B298" s="1901" t="s">
        <v>218</v>
      </c>
      <c r="C298" s="490"/>
      <c r="D298" s="2583"/>
      <c r="E298" s="2325"/>
      <c r="F298" s="2504"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548" t="str">
        <f>INDEX(PT_DIFFERENTIATION_NTAR,MATCH(B298,PT_DIFFERENTIATION_NTAR_ID,0))</f>
        <v/>
      </c>
      <c r="H298" s="1983"/>
      <c r="I298" s="1860"/>
      <c r="J298" s="1894"/>
      <c r="K298" s="1899"/>
      <c r="L298" s="1983" t="s">
        <v>330</v>
      </c>
      <c r="M298" s="462"/>
      <c r="N298" s="455"/>
      <c r="O298" s="1745"/>
      <c r="P298" s="1745"/>
      <c r="AH298" s="1752">
        <v>0</v>
      </c>
    </row>
    <row s="7720" customFormat="1" customHeight="1" ht="18.75" hidden="1">
      <c r="A299" s="1901"/>
      <c r="B299" s="1901"/>
      <c r="C299" s="490" t="s">
        <v>1167</v>
      </c>
      <c r="D299" s="2583"/>
      <c r="E299" s="2325"/>
      <c r="F299" s="2504"/>
      <c r="G299" s="2548"/>
      <c r="H299" s="1621"/>
      <c r="I299" s="772" t="s">
        <v>1166</v>
      </c>
      <c r="J299" s="692"/>
      <c r="K299" s="1621"/>
      <c r="L299" s="335"/>
      <c r="M299" s="462"/>
      <c r="N299" s="455"/>
      <c r="O299" s="1745"/>
      <c r="P299" s="1745"/>
      <c r="AH299" s="1752">
        <v>0</v>
      </c>
    </row>
    <row s="7720" customFormat="1" customHeight="1" ht="0.75" hidden="1">
      <c r="A300" s="1901"/>
      <c r="B300" s="1901"/>
      <c r="C300" s="490" t="s">
        <v>1176</v>
      </c>
      <c r="D300" s="2583"/>
      <c r="E300" s="2325"/>
      <c r="F300" s="2504"/>
      <c r="G300" s="521"/>
      <c r="H300" s="1621"/>
      <c r="I300" s="772"/>
      <c r="J300" s="692"/>
      <c r="K300" s="1621"/>
      <c r="L300" s="335"/>
      <c r="M300" s="462"/>
      <c r="N300" s="455"/>
      <c r="O300" s="1745"/>
      <c r="P300" s="1745"/>
      <c r="AH300" s="1752">
        <v>0</v>
      </c>
    </row>
    <row s="7720" customFormat="1" customHeight="1" ht="18.75" hidden="1">
      <c r="A301" s="1901" t="s">
        <v>223</v>
      </c>
      <c r="B301" s="1901" t="s">
        <v>224</v>
      </c>
      <c r="C301" s="490"/>
      <c r="D301" s="2583"/>
      <c r="E301" s="2325"/>
      <c r="F301" s="2504" t="str">
        <f>INDEX(PT_DIFFERENTIATION_VTAR,MATCH(A301,PT_DIFFERENTIATION_VTAR_ID,0))</f>
        <v>Плата за подключение (технологическое присоединение) к системе теплоснабжения</v>
      </c>
      <c r="G301" s="2548" t="str">
        <f>INDEX(PT_DIFFERENTIATION_NTAR,MATCH(B301,PT_DIFFERENTIATION_NTAR_ID,0))</f>
        <v/>
      </c>
      <c r="H301" s="1983"/>
      <c r="I301" s="1860"/>
      <c r="J301" s="1894"/>
      <c r="K301" s="1899"/>
      <c r="L301" s="1983" t="s">
        <v>330</v>
      </c>
      <c r="M301" s="462"/>
      <c r="N301" s="455"/>
      <c r="O301" s="1745"/>
      <c r="P301" s="1745"/>
      <c r="AH301" s="1752">
        <v>0</v>
      </c>
    </row>
    <row s="7720" customFormat="1" customHeight="1" ht="18.75" hidden="1">
      <c r="A302" s="1901"/>
      <c r="B302" s="1901"/>
      <c r="C302" s="490" t="s">
        <v>1167</v>
      </c>
      <c r="D302" s="2583"/>
      <c r="E302" s="2325"/>
      <c r="F302" s="2504"/>
      <c r="G302" s="2548"/>
      <c r="H302" s="1621"/>
      <c r="I302" s="772" t="s">
        <v>1166</v>
      </c>
      <c r="J302" s="692"/>
      <c r="K302" s="1621"/>
      <c r="L302" s="335"/>
      <c r="M302" s="462"/>
      <c r="N302" s="455"/>
      <c r="O302" s="1745"/>
      <c r="P302" s="1745"/>
      <c r="AH302" s="1752">
        <v>0</v>
      </c>
    </row>
    <row s="7720" customFormat="1" customHeight="1" ht="0.75" hidden="1">
      <c r="A303" s="1901"/>
      <c r="B303" s="1901"/>
      <c r="C303" s="490" t="s">
        <v>1176</v>
      </c>
      <c r="D303" s="2583"/>
      <c r="E303" s="2325"/>
      <c r="F303" s="2504"/>
      <c r="G303" s="521"/>
      <c r="H303" s="1621"/>
      <c r="I303" s="772"/>
      <c r="J303" s="692"/>
      <c r="K303" s="1621"/>
      <c r="L303" s="335"/>
      <c r="M303" s="462"/>
      <c r="N303" s="455"/>
      <c r="O303" s="1745"/>
      <c r="P303" s="1745"/>
      <c r="AH303" s="1752">
        <v>0</v>
      </c>
    </row>
    <row s="7720" customFormat="1" customHeight="1" ht="18.75" hidden="1">
      <c r="A304" s="1901" t="s">
        <v>229</v>
      </c>
      <c r="B304" s="1901" t="s">
        <v>230</v>
      </c>
      <c r="C304" s="490"/>
      <c r="D304" s="2583"/>
      <c r="E304" s="2325"/>
      <c r="F304" s="2504" t="str">
        <f>INDEX(PT_DIFFERENTIATION_VTAR,MATCH(A304,PT_DIFFERENTIATION_VTAR_ID,0))</f>
        <v>Плата за подключение (технологическое присоединение) к системе теплоснабжения (индивидуальная)</v>
      </c>
      <c r="G304" s="2548" t="str">
        <f>INDEX(PT_DIFFERENTIATION_NTAR,MATCH(B304,PT_DIFFERENTIATION_NTAR_ID,0))</f>
        <v/>
      </c>
      <c r="H304" s="2110"/>
      <c r="I304" s="1860"/>
      <c r="J304" s="1894"/>
      <c r="K304" s="1899"/>
      <c r="L304" s="2110" t="s">
        <v>330</v>
      </c>
      <c r="M304" s="462"/>
      <c r="N304" s="455"/>
      <c r="O304" s="1745"/>
      <c r="P304" s="1745"/>
      <c r="AH304" s="1752">
        <v>0</v>
      </c>
    </row>
    <row s="7720" customFormat="1" customHeight="1" ht="18.75" hidden="1">
      <c r="A305" s="1901"/>
      <c r="B305" s="1901"/>
      <c r="C305" s="490" t="s">
        <v>1167</v>
      </c>
      <c r="D305" s="2583"/>
      <c r="E305" s="2325"/>
      <c r="F305" s="2504"/>
      <c r="G305" s="2548"/>
      <c r="H305" s="1621"/>
      <c r="I305" s="772" t="s">
        <v>1166</v>
      </c>
      <c r="J305" s="692"/>
      <c r="K305" s="1621"/>
      <c r="L305" s="335"/>
      <c r="M305" s="462"/>
      <c r="N305" s="455"/>
      <c r="O305" s="1745"/>
      <c r="P305" s="1745"/>
      <c r="AH305" s="1752">
        <v>0</v>
      </c>
    </row>
    <row s="7720" customFormat="1" customHeight="1" ht="0.75" hidden="1">
      <c r="A306" s="1901"/>
      <c r="B306" s="1901"/>
      <c r="C306" s="490" t="s">
        <v>1176</v>
      </c>
      <c r="D306" s="2583"/>
      <c r="E306" s="2325"/>
      <c r="F306" s="2504"/>
      <c r="G306" s="521"/>
      <c r="H306" s="1621"/>
      <c r="I306" s="772"/>
      <c r="J306" s="692"/>
      <c r="K306" s="1621"/>
      <c r="L306" s="335"/>
      <c r="M306" s="462"/>
      <c r="N306" s="455"/>
      <c r="O306" s="1745"/>
      <c r="P306" s="1745"/>
      <c r="AH306" s="1752">
        <v>0</v>
      </c>
    </row>
    <row s="7720" customFormat="1" customHeight="1" ht="18.75" hidden="1">
      <c r="A307" s="1901" t="s">
        <v>249</v>
      </c>
      <c r="B307" s="1901" t="s">
        <v>250</v>
      </c>
      <c r="C307" s="490"/>
      <c r="D307" s="2583"/>
      <c r="E307" s="2325"/>
      <c r="F307" s="2504" t="str">
        <f>INDEX(PT_DIFFERENTIATION_VTAR,MATCH(A307,PT_DIFFERENTIATION_VTAR_ID,0))</f>
        <v>Тариф на питьевую воду (питьевое водоснабжение)</v>
      </c>
      <c r="G307" s="2548" t="str">
        <f>INDEX(PT_DIFFERENTIATION_NTAR,MATCH(B307,PT_DIFFERENTIATION_NTAR_ID,0))</f>
        <v/>
      </c>
      <c r="H307" s="1983"/>
      <c r="I307" s="1860"/>
      <c r="J307" s="1894"/>
      <c r="K307" s="1899"/>
      <c r="L307" s="1983" t="s">
        <v>330</v>
      </c>
      <c r="M307" s="462"/>
      <c r="N307" s="455"/>
      <c r="O307" s="1745"/>
      <c r="P307" s="1745"/>
      <c r="AH307" s="1752">
        <v>0</v>
      </c>
    </row>
    <row s="7720" customFormat="1" customHeight="1" ht="18.75" hidden="1">
      <c r="A308" s="1901"/>
      <c r="B308" s="1901"/>
      <c r="C308" s="490" t="s">
        <v>1167</v>
      </c>
      <c r="D308" s="2583"/>
      <c r="E308" s="2325"/>
      <c r="F308" s="2504"/>
      <c r="G308" s="2548"/>
      <c r="H308" s="1621"/>
      <c r="I308" s="772" t="s">
        <v>1166</v>
      </c>
      <c r="J308" s="692"/>
      <c r="K308" s="1621"/>
      <c r="L308" s="335"/>
      <c r="M308" s="462"/>
      <c r="N308" s="455"/>
      <c r="O308" s="1745"/>
      <c r="P308" s="1745"/>
      <c r="AH308" s="1752">
        <v>0</v>
      </c>
    </row>
    <row s="7720" customFormat="1" customHeight="1" ht="0.75" hidden="1">
      <c r="A309" s="1901"/>
      <c r="B309" s="1901"/>
      <c r="C309" s="490" t="s">
        <v>1176</v>
      </c>
      <c r="D309" s="2583"/>
      <c r="E309" s="2325"/>
      <c r="F309" s="2504"/>
      <c r="G309" s="521"/>
      <c r="H309" s="1621"/>
      <c r="I309" s="772"/>
      <c r="J309" s="692"/>
      <c r="K309" s="1621"/>
      <c r="L309" s="335"/>
      <c r="M309" s="462"/>
      <c r="N309" s="455"/>
      <c r="O309" s="1745"/>
      <c r="P309" s="1745"/>
      <c r="AH309" s="1752">
        <v>0</v>
      </c>
    </row>
    <row s="7720" customFormat="1" customHeight="1" ht="18.75" hidden="1">
      <c r="A310" s="1901" t="s">
        <v>254</v>
      </c>
      <c r="B310" s="1901" t="s">
        <v>255</v>
      </c>
      <c r="C310" s="490"/>
      <c r="D310" s="2583"/>
      <c r="E310" s="2325"/>
      <c r="F310" s="2504" t="str">
        <f>INDEX(PT_DIFFERENTIATION_VTAR,MATCH(A310,PT_DIFFERENTIATION_VTAR_ID,0))</f>
        <v>Тариф на техническую воду</v>
      </c>
      <c r="G310" s="2548" t="str">
        <f>INDEX(PT_DIFFERENTIATION_NTAR,MATCH(B310,PT_DIFFERENTIATION_NTAR_ID,0))</f>
        <v/>
      </c>
      <c r="H310" s="1983"/>
      <c r="I310" s="1860"/>
      <c r="J310" s="1894"/>
      <c r="K310" s="1899"/>
      <c r="L310" s="1983" t="s">
        <v>330</v>
      </c>
      <c r="M310" s="462"/>
      <c r="N310" s="455"/>
      <c r="O310" s="1745"/>
      <c r="P310" s="1745"/>
      <c r="AH310" s="1752">
        <v>0</v>
      </c>
    </row>
    <row s="7720" customFormat="1" customHeight="1" ht="18.75" hidden="1">
      <c r="A311" s="1901"/>
      <c r="B311" s="1901"/>
      <c r="C311" s="490" t="s">
        <v>1167</v>
      </c>
      <c r="D311" s="2583"/>
      <c r="E311" s="2325"/>
      <c r="F311" s="2504"/>
      <c r="G311" s="2548"/>
      <c r="H311" s="1621"/>
      <c r="I311" s="772" t="s">
        <v>1166</v>
      </c>
      <c r="J311" s="692"/>
      <c r="K311" s="1621"/>
      <c r="L311" s="335"/>
      <c r="M311" s="462"/>
      <c r="N311" s="455"/>
      <c r="O311" s="1745"/>
      <c r="P311" s="1745"/>
      <c r="AH311" s="1752">
        <v>0</v>
      </c>
    </row>
    <row s="7720" customFormat="1" customHeight="1" ht="0.75" hidden="1">
      <c r="A312" s="1901"/>
      <c r="B312" s="1901"/>
      <c r="C312" s="490" t="s">
        <v>1176</v>
      </c>
      <c r="D312" s="2583"/>
      <c r="E312" s="2325"/>
      <c r="F312" s="2504"/>
      <c r="G312" s="521"/>
      <c r="H312" s="1621"/>
      <c r="I312" s="772"/>
      <c r="J312" s="692"/>
      <c r="K312" s="1621"/>
      <c r="L312" s="335"/>
      <c r="M312" s="462"/>
      <c r="N312" s="455"/>
      <c r="O312" s="1745"/>
      <c r="P312" s="1745"/>
      <c r="AH312" s="1752">
        <v>0</v>
      </c>
    </row>
    <row s="7720" customFormat="1" customHeight="1" ht="18.75" hidden="1">
      <c r="A313" s="1901" t="s">
        <v>259</v>
      </c>
      <c r="B313" s="1901" t="s">
        <v>260</v>
      </c>
      <c r="C313" s="490"/>
      <c r="D313" s="2583"/>
      <c r="E313" s="2325"/>
      <c r="F313" s="2504" t="str">
        <f>INDEX(PT_DIFFERENTIATION_VTAR,MATCH(A313,PT_DIFFERENTIATION_VTAR_ID,0))</f>
        <v>Тариф на транспортировку воды</v>
      </c>
      <c r="G313" s="2548" t="str">
        <f>INDEX(PT_DIFFERENTIATION_NTAR,MATCH(B313,PT_DIFFERENTIATION_NTAR_ID,0))</f>
        <v/>
      </c>
      <c r="H313" s="1983"/>
      <c r="I313" s="1860"/>
      <c r="J313" s="1894"/>
      <c r="K313" s="1899"/>
      <c r="L313" s="1983" t="s">
        <v>330</v>
      </c>
      <c r="M313" s="462"/>
      <c r="N313" s="455"/>
      <c r="O313" s="1745"/>
      <c r="P313" s="1745"/>
      <c r="AH313" s="1752">
        <v>0</v>
      </c>
    </row>
    <row s="7720" customFormat="1" customHeight="1" ht="18.75" hidden="1">
      <c r="A314" s="1901"/>
      <c r="B314" s="1901"/>
      <c r="C314" s="490" t="s">
        <v>1167</v>
      </c>
      <c r="D314" s="2583"/>
      <c r="E314" s="2325"/>
      <c r="F314" s="2504"/>
      <c r="G314" s="2548"/>
      <c r="H314" s="1621"/>
      <c r="I314" s="772" t="s">
        <v>1166</v>
      </c>
      <c r="J314" s="692"/>
      <c r="K314" s="1621"/>
      <c r="L314" s="335"/>
      <c r="M314" s="462"/>
      <c r="N314" s="455"/>
      <c r="O314" s="1745"/>
      <c r="P314" s="1745"/>
      <c r="AH314" s="1752">
        <v>0</v>
      </c>
    </row>
    <row s="7720" customFormat="1" customHeight="1" ht="0.75" hidden="1">
      <c r="A315" s="1901"/>
      <c r="B315" s="1901"/>
      <c r="C315" s="490" t="s">
        <v>1176</v>
      </c>
      <c r="D315" s="2583"/>
      <c r="E315" s="2325"/>
      <c r="F315" s="2504"/>
      <c r="G315" s="521"/>
      <c r="H315" s="1621"/>
      <c r="I315" s="772"/>
      <c r="J315" s="692"/>
      <c r="K315" s="1621"/>
      <c r="L315" s="335"/>
      <c r="M315" s="462"/>
      <c r="N315" s="455"/>
      <c r="O315" s="1745"/>
      <c r="P315" s="1745"/>
      <c r="AH315" s="1752">
        <v>0</v>
      </c>
    </row>
    <row s="7720" customFormat="1" customHeight="1" ht="18.75" hidden="1">
      <c r="A316" s="1901" t="s">
        <v>264</v>
      </c>
      <c r="B316" s="1901" t="s">
        <v>265</v>
      </c>
      <c r="C316" s="490"/>
      <c r="D316" s="2583"/>
      <c r="E316" s="2325"/>
      <c r="F316" s="2504" t="str">
        <f>INDEX(PT_DIFFERENTIATION_VTAR,MATCH(A316,PT_DIFFERENTIATION_VTAR_ID,0))</f>
        <v>Тариф на подвоз воды</v>
      </c>
      <c r="G316" s="2548" t="str">
        <f>INDEX(PT_DIFFERENTIATION_NTAR,MATCH(B316,PT_DIFFERENTIATION_NTAR_ID,0))</f>
        <v/>
      </c>
      <c r="H316" s="1983"/>
      <c r="I316" s="1860"/>
      <c r="J316" s="1894"/>
      <c r="K316" s="1899"/>
      <c r="L316" s="1983" t="s">
        <v>330</v>
      </c>
      <c r="M316" s="462"/>
      <c r="N316" s="455"/>
      <c r="O316" s="1745"/>
      <c r="P316" s="1745"/>
      <c r="AH316" s="1752">
        <v>0</v>
      </c>
    </row>
    <row s="7720" customFormat="1" customHeight="1" ht="18.75" hidden="1">
      <c r="A317" s="1901"/>
      <c r="B317" s="1901"/>
      <c r="C317" s="490" t="s">
        <v>1167</v>
      </c>
      <c r="D317" s="2583"/>
      <c r="E317" s="2325"/>
      <c r="F317" s="2504"/>
      <c r="G317" s="2548"/>
      <c r="H317" s="1621"/>
      <c r="I317" s="772" t="s">
        <v>1166</v>
      </c>
      <c r="J317" s="692"/>
      <c r="K317" s="1621"/>
      <c r="L317" s="335"/>
      <c r="M317" s="462"/>
      <c r="N317" s="455"/>
      <c r="O317" s="1745"/>
      <c r="P317" s="1745"/>
      <c r="AH317" s="1752">
        <v>0</v>
      </c>
    </row>
    <row s="7720" customFormat="1" customHeight="1" ht="0.75" hidden="1">
      <c r="A318" s="1901"/>
      <c r="B318" s="1901"/>
      <c r="C318" s="490" t="s">
        <v>1176</v>
      </c>
      <c r="D318" s="2583"/>
      <c r="E318" s="2325"/>
      <c r="F318" s="2504"/>
      <c r="G318" s="521"/>
      <c r="H318" s="1621"/>
      <c r="I318" s="772"/>
      <c r="J318" s="692"/>
      <c r="K318" s="1621"/>
      <c r="L318" s="335"/>
      <c r="M318" s="462"/>
      <c r="N318" s="455"/>
      <c r="O318" s="1745"/>
      <c r="P318" s="1745"/>
      <c r="AH318" s="1752">
        <v>0</v>
      </c>
    </row>
    <row s="7720" customFormat="1" customHeight="1" ht="18.75" hidden="1">
      <c r="A319" s="1901" t="s">
        <v>269</v>
      </c>
      <c r="B319" s="1901" t="s">
        <v>270</v>
      </c>
      <c r="C319" s="490"/>
      <c r="D319" s="2583"/>
      <c r="E319" s="2325"/>
      <c r="F319" s="250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548" t="str">
        <f>INDEX(PT_DIFFERENTIATION_NTAR,MATCH(B319,PT_DIFFERENTIATION_NTAR_ID,0))</f>
        <v/>
      </c>
      <c r="H319" s="1983"/>
      <c r="I319" s="1860"/>
      <c r="J319" s="1894"/>
      <c r="K319" s="1899"/>
      <c r="L319" s="1983" t="s">
        <v>330</v>
      </c>
      <c r="M319" s="462"/>
      <c r="N319" s="455"/>
      <c r="O319" s="1745"/>
      <c r="P319" s="1745"/>
      <c r="AH319" s="1752">
        <v>0</v>
      </c>
    </row>
    <row s="7720" customFormat="1" customHeight="1" ht="18.75" hidden="1">
      <c r="A320" s="1901"/>
      <c r="B320" s="1901"/>
      <c r="C320" s="490" t="s">
        <v>1167</v>
      </c>
      <c r="D320" s="2583"/>
      <c r="E320" s="2325"/>
      <c r="F320" s="2504"/>
      <c r="G320" s="2548"/>
      <c r="H320" s="1621"/>
      <c r="I320" s="772" t="s">
        <v>1166</v>
      </c>
      <c r="J320" s="692"/>
      <c r="K320" s="1621"/>
      <c r="L320" s="335"/>
      <c r="M320" s="462"/>
      <c r="N320" s="455"/>
      <c r="O320" s="1745"/>
      <c r="P320" s="1745"/>
      <c r="AH320" s="1752">
        <v>0</v>
      </c>
    </row>
    <row s="7720" customFormat="1" customHeight="1" ht="0.75" hidden="1">
      <c r="A321" s="1901"/>
      <c r="B321" s="1901"/>
      <c r="C321" s="490" t="s">
        <v>1176</v>
      </c>
      <c r="D321" s="2583"/>
      <c r="E321" s="2325"/>
      <c r="F321" s="2504"/>
      <c r="G321" s="521"/>
      <c r="H321" s="1621"/>
      <c r="I321" s="772"/>
      <c r="J321" s="692"/>
      <c r="K321" s="1621"/>
      <c r="L321" s="335"/>
      <c r="M321" s="462"/>
      <c r="N321" s="455"/>
      <c r="O321" s="1745"/>
      <c r="P321" s="1745"/>
      <c r="AH321" s="1752">
        <v>0</v>
      </c>
    </row>
    <row s="7720" customFormat="1" customHeight="1" ht="18.75" hidden="1">
      <c r="A322" s="1901" t="s">
        <v>274</v>
      </c>
      <c r="B322" s="1901" t="s">
        <v>275</v>
      </c>
      <c r="C322" s="490"/>
      <c r="D322" s="2583"/>
      <c r="E322" s="2325"/>
      <c r="F322" s="2504" t="str">
        <f>INDEX(PT_DIFFERENTIATION_VTAR,MATCH(A322,PT_DIFFERENTIATION_VTAR_ID,0))</f>
        <v>Тариф на горячую воду (горячее водоснабжение)</v>
      </c>
      <c r="G322" s="2548" t="str">
        <f>INDEX(PT_DIFFERENTIATION_NTAR,MATCH(B322,PT_DIFFERENTIATION_NTAR_ID,0))</f>
        <v/>
      </c>
      <c r="H322" s="1983"/>
      <c r="I322" s="1860"/>
      <c r="J322" s="1894"/>
      <c r="K322" s="1899"/>
      <c r="L322" s="1983" t="s">
        <v>330</v>
      </c>
      <c r="M322" s="462"/>
      <c r="N322" s="455"/>
      <c r="O322" s="1745"/>
      <c r="P322" s="1745"/>
      <c r="AH322" s="1752">
        <v>0</v>
      </c>
    </row>
    <row s="7720" customFormat="1" customHeight="1" ht="18.75" hidden="1">
      <c r="A323" s="1901"/>
      <c r="B323" s="1901"/>
      <c r="C323" s="490" t="s">
        <v>1167</v>
      </c>
      <c r="D323" s="2583"/>
      <c r="E323" s="2325"/>
      <c r="F323" s="2504"/>
      <c r="G323" s="2548"/>
      <c r="H323" s="1621"/>
      <c r="I323" s="772" t="s">
        <v>1166</v>
      </c>
      <c r="J323" s="692"/>
      <c r="K323" s="1621"/>
      <c r="L323" s="335"/>
      <c r="M323" s="462"/>
      <c r="N323" s="455"/>
      <c r="O323" s="1745"/>
      <c r="P323" s="1745"/>
      <c r="AH323" s="1752">
        <v>0</v>
      </c>
    </row>
    <row s="7720" customFormat="1" customHeight="1" ht="0.75" hidden="1">
      <c r="A324" s="1901"/>
      <c r="B324" s="1901"/>
      <c r="C324" s="490" t="s">
        <v>1176</v>
      </c>
      <c r="D324" s="2583"/>
      <c r="E324" s="2325"/>
      <c r="F324" s="2504"/>
      <c r="G324" s="521"/>
      <c r="H324" s="1621"/>
      <c r="I324" s="772"/>
      <c r="J324" s="692"/>
      <c r="K324" s="1621"/>
      <c r="L324" s="335"/>
      <c r="M324" s="462"/>
      <c r="N324" s="455"/>
      <c r="O324" s="1745"/>
      <c r="P324" s="1745"/>
      <c r="AH324" s="1752">
        <v>0</v>
      </c>
    </row>
    <row s="7720" customFormat="1" customHeight="1" ht="18.75" hidden="1">
      <c r="A325" s="1901" t="s">
        <v>279</v>
      </c>
      <c r="B325" s="1901" t="s">
        <v>280</v>
      </c>
      <c r="C325" s="490"/>
      <c r="D325" s="2583"/>
      <c r="E325" s="2325"/>
      <c r="F325" s="2504" t="str">
        <f>INDEX(PT_DIFFERENTIATION_VTAR,MATCH(A325,PT_DIFFERENTIATION_VTAR_ID,0))</f>
        <v>Тариф на транспортировку горячей воды</v>
      </c>
      <c r="G325" s="2548" t="str">
        <f>INDEX(PT_DIFFERENTIATION_NTAR,MATCH(B325,PT_DIFFERENTIATION_NTAR_ID,0))</f>
        <v/>
      </c>
      <c r="H325" s="1983"/>
      <c r="I325" s="1860"/>
      <c r="J325" s="1894"/>
      <c r="K325" s="1899"/>
      <c r="L325" s="1983" t="s">
        <v>330</v>
      </c>
      <c r="M325" s="462"/>
      <c r="N325" s="455"/>
      <c r="O325" s="1745"/>
      <c r="P325" s="1745"/>
      <c r="AH325" s="1752">
        <v>0</v>
      </c>
    </row>
    <row s="7720" customFormat="1" customHeight="1" ht="18.75" hidden="1">
      <c r="A326" s="1901"/>
      <c r="B326" s="1901"/>
      <c r="C326" s="490" t="s">
        <v>1167</v>
      </c>
      <c r="D326" s="2583"/>
      <c r="E326" s="2325"/>
      <c r="F326" s="2504"/>
      <c r="G326" s="2548"/>
      <c r="H326" s="1621"/>
      <c r="I326" s="772" t="s">
        <v>1166</v>
      </c>
      <c r="J326" s="692"/>
      <c r="K326" s="1621"/>
      <c r="L326" s="335"/>
      <c r="M326" s="462"/>
      <c r="N326" s="455"/>
      <c r="O326" s="1745"/>
      <c r="P326" s="1745"/>
      <c r="AH326" s="1752">
        <v>0</v>
      </c>
    </row>
    <row s="7720" customFormat="1" customHeight="1" ht="0.75" hidden="1">
      <c r="A327" s="1901"/>
      <c r="B327" s="1901"/>
      <c r="C327" s="490" t="s">
        <v>1176</v>
      </c>
      <c r="D327" s="2583"/>
      <c r="E327" s="2325"/>
      <c r="F327" s="2504"/>
      <c r="G327" s="521"/>
      <c r="H327" s="1621"/>
      <c r="I327" s="772"/>
      <c r="J327" s="692"/>
      <c r="K327" s="1621"/>
      <c r="L327" s="335"/>
      <c r="M327" s="462"/>
      <c r="N327" s="455"/>
      <c r="O327" s="1745"/>
      <c r="P327" s="1745"/>
      <c r="AH327" s="1752">
        <v>0</v>
      </c>
    </row>
    <row s="7720" customFormat="1" customHeight="1" ht="18.75" hidden="1">
      <c r="A328" s="1901" t="s">
        <v>284</v>
      </c>
      <c r="B328" s="1901" t="s">
        <v>285</v>
      </c>
      <c r="C328" s="490"/>
      <c r="D328" s="2583"/>
      <c r="E328" s="2325"/>
      <c r="F328" s="250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48" t="str">
        <f>INDEX(PT_DIFFERENTIATION_NTAR,MATCH(B328,PT_DIFFERENTIATION_NTAR_ID,0))</f>
        <v/>
      </c>
      <c r="H328" s="1983"/>
      <c r="I328" s="1860"/>
      <c r="J328" s="1894"/>
      <c r="K328" s="1899"/>
      <c r="L328" s="1983" t="s">
        <v>330</v>
      </c>
      <c r="M328" s="462"/>
      <c r="N328" s="455"/>
      <c r="O328" s="1745"/>
      <c r="P328" s="1745"/>
      <c r="AH328" s="1752">
        <v>0</v>
      </c>
    </row>
    <row s="7720" customFormat="1" customHeight="1" ht="18.75" hidden="1">
      <c r="A329" s="1901"/>
      <c r="B329" s="1901"/>
      <c r="C329" s="490" t="s">
        <v>1167</v>
      </c>
      <c r="D329" s="2583"/>
      <c r="E329" s="2325"/>
      <c r="F329" s="2504"/>
      <c r="G329" s="2548"/>
      <c r="H329" s="1621"/>
      <c r="I329" s="772" t="s">
        <v>1166</v>
      </c>
      <c r="J329" s="692"/>
      <c r="K329" s="1621"/>
      <c r="L329" s="335"/>
      <c r="M329" s="462"/>
      <c r="N329" s="455"/>
      <c r="O329" s="1745"/>
      <c r="P329" s="1745"/>
      <c r="AH329" s="1752">
        <v>0</v>
      </c>
    </row>
    <row s="7720" customFormat="1" customHeight="1" ht="0.75" hidden="1">
      <c r="A330" s="1901"/>
      <c r="B330" s="1901"/>
      <c r="C330" s="490" t="s">
        <v>1176</v>
      </c>
      <c r="D330" s="2583"/>
      <c r="E330" s="2325"/>
      <c r="F330" s="2504"/>
      <c r="G330" s="521"/>
      <c r="H330" s="1621"/>
      <c r="I330" s="772"/>
      <c r="J330" s="692"/>
      <c r="K330" s="1621"/>
      <c r="L330" s="335"/>
      <c r="M330" s="462"/>
      <c r="N330" s="455"/>
      <c r="O330" s="1745"/>
      <c r="P330" s="1745"/>
      <c r="AH330" s="1752">
        <v>0</v>
      </c>
    </row>
    <row s="7720" customFormat="1" customHeight="1" ht="18.75" hidden="1">
      <c r="A331" s="1901" t="s">
        <v>289</v>
      </c>
      <c r="B331" s="1901" t="s">
        <v>290</v>
      </c>
      <c r="C331" s="490"/>
      <c r="D331" s="2583"/>
      <c r="E331" s="2325"/>
      <c r="F331" s="2504" t="str">
        <f>INDEX(PT_DIFFERENTIATION_VTAR,MATCH(A331,PT_DIFFERENTIATION_VTAR_ID,0))</f>
        <v>Тариф на водоотведение</v>
      </c>
      <c r="G331" s="2548" t="str">
        <f>INDEX(PT_DIFFERENTIATION_NTAR,MATCH(B331,PT_DIFFERENTIATION_NTAR_ID,0))</f>
        <v/>
      </c>
      <c r="H331" s="1983"/>
      <c r="I331" s="1860"/>
      <c r="J331" s="1894"/>
      <c r="K331" s="1899"/>
      <c r="L331" s="1983" t="s">
        <v>330</v>
      </c>
      <c r="M331" s="462"/>
      <c r="N331" s="455"/>
      <c r="O331" s="1745"/>
      <c r="P331" s="1745"/>
      <c r="AH331" s="1752">
        <v>0</v>
      </c>
    </row>
    <row s="7720" customFormat="1" customHeight="1" ht="18.75" hidden="1">
      <c r="A332" s="1901"/>
      <c r="B332" s="1901"/>
      <c r="C332" s="490" t="s">
        <v>1167</v>
      </c>
      <c r="D332" s="2583"/>
      <c r="E332" s="2325"/>
      <c r="F332" s="2504"/>
      <c r="G332" s="2548"/>
      <c r="H332" s="1621"/>
      <c r="I332" s="772" t="s">
        <v>1166</v>
      </c>
      <c r="J332" s="692"/>
      <c r="K332" s="1621"/>
      <c r="L332" s="335"/>
      <c r="M332" s="462"/>
      <c r="N332" s="455"/>
      <c r="O332" s="1745"/>
      <c r="P332" s="1745"/>
      <c r="AH332" s="1752">
        <v>0</v>
      </c>
    </row>
    <row s="7720" customFormat="1" customHeight="1" ht="0.75" hidden="1">
      <c r="A333" s="1901"/>
      <c r="B333" s="1901"/>
      <c r="C333" s="490" t="s">
        <v>1176</v>
      </c>
      <c r="D333" s="2583"/>
      <c r="E333" s="2325"/>
      <c r="F333" s="2504"/>
      <c r="G333" s="521"/>
      <c r="H333" s="1621"/>
      <c r="I333" s="772"/>
      <c r="J333" s="692"/>
      <c r="K333" s="1621"/>
      <c r="L333" s="335"/>
      <c r="M333" s="462"/>
      <c r="N333" s="455"/>
      <c r="O333" s="1745"/>
      <c r="P333" s="1745"/>
      <c r="AH333" s="1752">
        <v>0</v>
      </c>
    </row>
    <row s="7720" customFormat="1" customHeight="1" ht="18.75" hidden="1">
      <c r="A334" s="1901" t="s">
        <v>294</v>
      </c>
      <c r="B334" s="1901" t="s">
        <v>295</v>
      </c>
      <c r="C334" s="490"/>
      <c r="D334" s="2583"/>
      <c r="E334" s="2325"/>
      <c r="F334" s="2504" t="str">
        <f>INDEX(PT_DIFFERENTIATION_VTAR,MATCH(A334,PT_DIFFERENTIATION_VTAR_ID,0))</f>
        <v>Тариф на транспортировку сточных вод</v>
      </c>
      <c r="G334" s="2548" t="str">
        <f>INDEX(PT_DIFFERENTIATION_NTAR,MATCH(B334,PT_DIFFERENTIATION_NTAR_ID,0))</f>
        <v/>
      </c>
      <c r="H334" s="1983"/>
      <c r="I334" s="1860"/>
      <c r="J334" s="1894"/>
      <c r="K334" s="1899"/>
      <c r="L334" s="1983" t="s">
        <v>330</v>
      </c>
      <c r="M334" s="462"/>
      <c r="N334" s="455"/>
      <c r="O334" s="1745"/>
      <c r="P334" s="1745"/>
      <c r="AH334" s="1752">
        <v>0</v>
      </c>
    </row>
    <row s="7720" customFormat="1" customHeight="1" ht="18.75" hidden="1">
      <c r="A335" s="1901"/>
      <c r="B335" s="1901"/>
      <c r="C335" s="490" t="s">
        <v>1167</v>
      </c>
      <c r="D335" s="2583"/>
      <c r="E335" s="2325"/>
      <c r="F335" s="2504"/>
      <c r="G335" s="2548"/>
      <c r="H335" s="1621"/>
      <c r="I335" s="772" t="s">
        <v>1166</v>
      </c>
      <c r="J335" s="692"/>
      <c r="K335" s="1621"/>
      <c r="L335" s="335"/>
      <c r="M335" s="462"/>
      <c r="N335" s="455"/>
      <c r="O335" s="1745"/>
      <c r="P335" s="1745"/>
      <c r="AH335" s="1752">
        <v>0</v>
      </c>
    </row>
    <row s="7720" customFormat="1" customHeight="1" ht="0.75" hidden="1">
      <c r="A336" s="1901"/>
      <c r="B336" s="1901"/>
      <c r="C336" s="490" t="s">
        <v>1176</v>
      </c>
      <c r="D336" s="2583"/>
      <c r="E336" s="2325"/>
      <c r="F336" s="2504"/>
      <c r="G336" s="521"/>
      <c r="H336" s="1621"/>
      <c r="I336" s="772"/>
      <c r="J336" s="692"/>
      <c r="K336" s="1621"/>
      <c r="L336" s="335"/>
      <c r="M336" s="462"/>
      <c r="N336" s="455"/>
      <c r="O336" s="1745"/>
      <c r="P336" s="1745"/>
      <c r="AH336" s="1752">
        <v>0</v>
      </c>
    </row>
    <row s="7720" customFormat="1" customHeight="1" ht="18.75" hidden="1">
      <c r="A337" s="1901" t="s">
        <v>299</v>
      </c>
      <c r="B337" s="1901" t="s">
        <v>300</v>
      </c>
      <c r="C337" s="490"/>
      <c r="D337" s="2583"/>
      <c r="E337" s="2325"/>
      <c r="F337" s="2504" t="str">
        <f>INDEX(PT_DIFFERENTIATION_VTAR,MATCH(A337,PT_DIFFERENTIATION_VTAR_ID,0))</f>
        <v>Тариф на подключение (технологическое присоединение) к централизованной системе водоотведения</v>
      </c>
      <c r="G337" s="2548" t="str">
        <f>INDEX(PT_DIFFERENTIATION_NTAR,MATCH(B337,PT_DIFFERENTIATION_NTAR_ID,0))</f>
        <v/>
      </c>
      <c r="H337" s="1983"/>
      <c r="I337" s="1860"/>
      <c r="J337" s="1894"/>
      <c r="K337" s="1899"/>
      <c r="L337" s="1983" t="s">
        <v>330</v>
      </c>
      <c r="M337" s="462"/>
      <c r="N337" s="455"/>
      <c r="O337" s="1745"/>
      <c r="P337" s="1745"/>
      <c r="AH337" s="1752">
        <v>0</v>
      </c>
    </row>
    <row s="7720" customFormat="1" customHeight="1" ht="18.75" hidden="1">
      <c r="A338" s="1901"/>
      <c r="B338" s="1901"/>
      <c r="C338" s="490" t="s">
        <v>1167</v>
      </c>
      <c r="D338" s="2583"/>
      <c r="E338" s="2325"/>
      <c r="F338" s="2504"/>
      <c r="G338" s="2548"/>
      <c r="H338" s="1621"/>
      <c r="I338" s="772" t="s">
        <v>1166</v>
      </c>
      <c r="J338" s="692"/>
      <c r="K338" s="1621"/>
      <c r="L338" s="335"/>
      <c r="M338" s="462"/>
      <c r="N338" s="455"/>
      <c r="O338" s="1745"/>
      <c r="P338" s="1745"/>
      <c r="AH338" s="1752">
        <v>0</v>
      </c>
    </row>
    <row s="7720" customFormat="1" customHeight="1" ht="1.05">
      <c r="A339" s="1901"/>
      <c r="B339" s="1901"/>
      <c r="C339" s="490" t="s">
        <v>1176</v>
      </c>
      <c r="D339" s="2583"/>
      <c r="E339" s="2325"/>
      <c r="F339" s="2504"/>
      <c r="G339" s="521"/>
      <c r="H339" s="1621"/>
      <c r="I339" s="772"/>
      <c r="J339" s="692"/>
      <c r="K339" s="1621"/>
      <c r="L339" s="335"/>
      <c r="M339" s="462"/>
      <c r="N339" s="455"/>
      <c r="O339" s="1745"/>
      <c r="P339" s="1745"/>
      <c r="AH339" s="1752">
        <v>1</v>
      </c>
    </row>
    <row s="8221" customFormat="1" customHeight="1" ht="3">
      <c r="A340" s="1901"/>
      <c r="B340" s="1901"/>
      <c r="C340" s="1902"/>
      <c r="E340" s="523"/>
      <c r="F340" s="523"/>
      <c r="G340" s="523"/>
      <c r="H340" s="523"/>
      <c r="I340" s="523"/>
      <c r="J340" s="523"/>
      <c r="K340" s="523"/>
      <c r="L340" s="523"/>
      <c r="M340" s="523"/>
      <c r="O340" s="317"/>
      <c r="P340" s="317"/>
      <c r="AH340" s="261">
        <v>3</v>
      </c>
    </row>
    <row customHeight="1" ht="26.25">
      <c r="E341" s="323"/>
      <c r="F341" s="2406"/>
      <c r="G341" s="2406"/>
      <c r="H341" s="2406"/>
      <c r="I341" s="2406"/>
      <c r="J341" s="2406"/>
      <c r="K341" s="2406"/>
      <c r="L341" s="2406"/>
      <c r="M341" s="2406"/>
      <c r="AH341" s="495">
        <v>25</v>
      </c>
    </row>
    <row customHeight="1" ht="14.25" hidden="1">
      <c r="A342" s="1900" t="s">
        <v>82</v>
      </c>
      <c r="B342" s="1900">
        <v>0</v>
      </c>
      <c r="C342" s="490">
        <v>0</v>
      </c>
      <c r="D342" s="465">
        <v>3</v>
      </c>
      <c r="E342" s="495">
        <v>6</v>
      </c>
      <c r="F342" s="495">
        <v>46</v>
      </c>
      <c r="G342" s="495">
        <v>35</v>
      </c>
      <c r="H342" s="495">
        <v>3</v>
      </c>
      <c r="I342" s="495">
        <v>11</v>
      </c>
      <c r="J342" s="495">
        <v>11</v>
      </c>
      <c r="K342" s="495">
        <v>35</v>
      </c>
      <c r="L342" s="495">
        <v>35</v>
      </c>
      <c r="M342" s="495">
        <v>84</v>
      </c>
      <c r="N342" s="495">
        <v>10</v>
      </c>
      <c r="O342" s="471">
        <v>10</v>
      </c>
      <c r="P342" s="471">
        <v>10</v>
      </c>
      <c r="Q342" s="495">
        <v>10</v>
      </c>
      <c r="R342" s="495">
        <v>10</v>
      </c>
      <c r="S342" s="495">
        <v>10</v>
      </c>
      <c r="T342" s="495">
        <v>10</v>
      </c>
      <c r="U342" s="495">
        <v>10</v>
      </c>
      <c r="V342" s="495">
        <v>10</v>
      </c>
      <c r="W342" s="495">
        <v>10</v>
      </c>
      <c r="X342" s="495">
        <v>10</v>
      </c>
      <c r="Y342" s="495">
        <v>10</v>
      </c>
      <c r="Z342" s="495">
        <v>10</v>
      </c>
      <c r="AA342" s="495">
        <v>10</v>
      </c>
      <c r="AB342" s="495">
        <v>10</v>
      </c>
      <c r="AC342" s="495">
        <v>10</v>
      </c>
      <c r="AD342" s="495">
        <v>10</v>
      </c>
      <c r="AE342" s="495">
        <v>10</v>
      </c>
      <c r="AF342" s="495">
        <v>10</v>
      </c>
      <c r="AG342" s="495">
        <v>10</v>
      </c>
      <c r="AH342" s="495">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6:G27"/>
    <mergeCell ref="G91:G92"/>
    <mergeCell ref="G154:G155"/>
    <mergeCell ref="G217:G218"/>
    <mergeCell ref="G280:G281"/>
  </mergeCells>
  <dataValidations count="4">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s>
  <hyperlinks>
    <hyperlink ref="L87" r:id="rId2" xr:uid="{92710688-E396-8C18-22F1-0.DB9C2E8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4D869-BBF5-357D-1904-0.54C0D58}" mc:Ignorable="x14ac xr xr2 xr3">
  <sheetPr>
    <tabColor theme="6" tint="0.4"/>
  </sheetPr>
  <dimension ref="A1:R17"/>
  <sheetViews>
    <sheetView topLeftCell="A1" showGridLines="0" zoomScale="90" workbookViewId="0">
      <selection activeCell="H12" sqref="H12:H14"/>
    </sheetView>
  </sheetViews>
  <sheetFormatPr defaultColWidth="10.57421875" customHeight="1" defaultRowHeight="14.25"/>
  <cols>
    <col min="1" max="1" style="8429" width="9.140625" hidden="1" customWidth="1"/>
    <col min="2" max="2" style="7669" width="9.140625" hidden="1" customWidth="1"/>
    <col min="3" max="3" style="7739" width="3.00390625" customWidth="1"/>
    <col min="4" max="4" style="7720" width="6.00390625" customWidth="1"/>
    <col min="5" max="5" style="7720" width="53.00390625" customWidth="1"/>
    <col min="6" max="7" style="7720" width="35.00390625" customWidth="1"/>
    <col min="8" max="8" style="7720" width="89.00390625" customWidth="1"/>
    <col min="9" max="9" style="7720" width="10.00390625" customWidth="1"/>
    <col min="10" max="11" style="7672" width="10.00390625" customWidth="1"/>
    <col min="12" max="17" style="7720" width="10.00390625" customWidth="1"/>
    <col min="18" max="18" style="7720" width="10.57421875" hidden="1"/>
  </cols>
  <sheetData>
    <row customHeight="1" ht="22.5" hidden="1">
      <c r="N1" s="376"/>
      <c r="O1" s="376"/>
      <c r="Q1" s="376"/>
      <c r="R1" s="495" t="s">
        <v>14</v>
      </c>
    </row>
    <row s="7720" customFormat="1" customHeight="1" ht="18.75" hidden="1">
      <c r="A2" s="223"/>
      <c r="B2" s="1281"/>
      <c r="C2" s="1851" t="s">
        <v>104</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6"/>
      <c r="F5" s="2576"/>
      <c r="G5" s="2577"/>
      <c r="H5" s="387"/>
      <c r="R5" s="495">
        <v>33</v>
      </c>
    </row>
    <row s="7720" customFormat="1" customHeight="1" ht="18">
      <c r="A6" s="1790"/>
      <c r="B6" s="1281"/>
      <c r="C6" s="497"/>
      <c r="D6" s="2578" t="str">
        <f>IF(org=0,"Не определено",org)</f>
        <v>ПАО "ТГК-1" филиал "Невский"</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324</v>
      </c>
      <c r="E8" s="2330"/>
      <c r="F8" s="2330"/>
      <c r="G8" s="2330"/>
      <c r="H8" s="2510" t="s">
        <v>325</v>
      </c>
      <c r="R8" s="495">
        <v>14</v>
      </c>
    </row>
    <row customHeight="1" ht="24">
      <c r="C9" s="497"/>
      <c r="D9" s="507" t="s">
        <v>88</v>
      </c>
      <c r="E9" s="229" t="s">
        <v>326</v>
      </c>
      <c r="F9" s="229" t="s">
        <v>327</v>
      </c>
      <c r="G9" s="229" t="s">
        <v>414</v>
      </c>
      <c r="H9" s="2510"/>
      <c r="R9" s="495">
        <v>23</v>
      </c>
    </row>
    <row customHeight="1" ht="67.5">
      <c r="A10" s="464"/>
      <c r="C10" s="497"/>
      <c r="D10" s="268" t="s">
        <v>123</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8" t="s">
        <v>1177</v>
      </c>
      <c r="G10" s="4909" t="s">
        <v>1178</v>
      </c>
      <c r="H10" s="2290" t="s">
        <v>1179</v>
      </c>
      <c r="R10" s="495">
        <v>14</v>
      </c>
    </row>
    <row customHeight="1" ht="67.5">
      <c r="A11" s="464"/>
      <c r="C11" s="497"/>
      <c r="D11" s="268" t="s">
        <v>103</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8" t="s">
        <v>1180</v>
      </c>
      <c r="G11" s="4909" t="s">
        <v>1178</v>
      </c>
      <c r="H11" s="2291"/>
      <c r="R11" s="495">
        <v>14</v>
      </c>
    </row>
    <row customHeight="1" ht="45.75">
      <c r="A12" s="223"/>
      <c r="C12" s="508"/>
      <c r="D12" s="268" t="s">
        <v>90</v>
      </c>
      <c r="E12" s="509" t="str">
        <f>"Сведения о планировании закупочных процедур"&amp;IF(TEMPLATE_SPHERE="TKO"," &lt;1&gt;","")</f>
        <v>Сведения о планировании закупочных процедур</v>
      </c>
      <c r="F12" s="378" t="s">
        <v>1181</v>
      </c>
      <c r="G12" s="4909" t="s">
        <v>1182</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1"/>
      <c r="K12" s="495"/>
      <c r="R12" s="495">
        <v>14</v>
      </c>
    </row>
    <row customHeight="1" ht="294.75">
      <c r="A13" s="223"/>
      <c r="C13" s="508"/>
      <c r="D13" s="268" t="s">
        <v>91</v>
      </c>
      <c r="E13" s="509" t="str">
        <f>"Сведения о результатах проведения закупочных процедур"&amp;IF(TEMPLATE_SPHERE="TKO"," &lt;1&gt;","")</f>
        <v>Сведения о результатах проведения закупочных процедур</v>
      </c>
      <c r="F13" s="378" t="s">
        <v>1183</v>
      </c>
      <c r="G13" s="4909" t="s">
        <v>1184</v>
      </c>
      <c r="H13" s="2291"/>
      <c r="I13" s="471"/>
      <c r="K13" s="495"/>
      <c r="R13" s="495">
        <v>14</v>
      </c>
    </row>
    <row customHeight="1" ht="14.699999999999998">
      <c r="A14" s="464"/>
      <c r="C14" s="497"/>
      <c r="D14" s="468"/>
      <c r="E14" s="516" t="s">
        <v>346</v>
      </c>
      <c r="F14" s="470"/>
      <c r="G14" s="322"/>
      <c r="H14" s="2292"/>
      <c r="R14" s="495">
        <v>14</v>
      </c>
    </row>
    <row s="7720"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82</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194477C-4252-64A2-A35A-0.130FF36D}"/>
    <hyperlink ref="G11" r:id="rId3" xr:uid="{F5E3233E-B044-EC86-0CEF-0.365ADC8E}"/>
    <hyperlink ref="G12" r:id="rId4" xr:uid="{.9038FFD-5E79-E921-32CA-0.9EE20AD9}"/>
    <hyperlink ref="G13" r:id="rId5" xr:uid="{0.D56BAA-053B-E484-D5FF-0.FF3C5DD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850C-96E6-64CD-A3F9-0.77F556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08" width="9.140625" hidden="1" customWidth="1"/>
    <col min="2" max="2" style="7720" width="9.140625" hidden="1" customWidth="1"/>
    <col min="3" max="3" style="7632" width="4.00390625" customWidth="1"/>
    <col min="4" max="4" style="7720" width="6.00390625" customWidth="1"/>
    <col min="5" max="5" style="7720" width="47.00390625" customWidth="1"/>
    <col min="6" max="6" style="7720" width="9.00390625" customWidth="1"/>
    <col min="7" max="7" style="7720" width="25.7109375" hidden="1" customWidth="1"/>
    <col min="8" max="8" style="7720" width="34.00390625" hidden="1" customWidth="1"/>
    <col min="9" max="9" style="7720" width="25.7109375" customWidth="1"/>
    <col min="10" max="10" style="7720" width="33.00390625" customWidth="1"/>
    <col min="11" max="11" style="7669" width="50.00390625" customWidth="1"/>
    <col min="12" max="20" style="7720" width="10.00390625" customWidth="1"/>
    <col min="21" max="21" style="7794" width="10.00390625" customWidth="1"/>
    <col min="22" max="22" style="7720" width="10.57421875" hidden="1"/>
  </cols>
  <sheetData>
    <row s="7669" customFormat="1" customHeight="1" ht="22.5" hidden="1">
      <c r="C1" s="793"/>
      <c r="G1" s="538">
        <v>4</v>
      </c>
      <c r="I1" s="538">
        <v>4</v>
      </c>
      <c r="U1" s="541"/>
      <c r="V1" s="538" t="s">
        <v>14</v>
      </c>
    </row>
    <row s="7720" customFormat="1" customHeight="1" ht="15" hidden="1">
      <c r="A2" s="483"/>
      <c r="C2" s="297"/>
      <c r="D2" s="467"/>
      <c r="E2" s="794"/>
      <c r="F2" s="643"/>
      <c r="G2" s="737"/>
      <c r="H2" s="737"/>
      <c r="I2" s="737"/>
      <c r="J2" s="737"/>
      <c r="U2" s="795"/>
      <c r="V2" s="630">
        <v>0</v>
      </c>
    </row>
    <row s="7669" customFormat="1" customHeight="1" ht="15" hidden="1">
      <c r="C3" s="793"/>
      <c r="U3" s="541"/>
      <c r="V3" s="538">
        <v>0</v>
      </c>
    </row>
    <row customHeight="1" ht="15.75">
      <c r="C4" s="297"/>
      <c r="D4" s="630"/>
      <c r="E4" s="630"/>
      <c r="F4" s="630"/>
      <c r="G4" s="630"/>
      <c r="H4" s="630"/>
      <c r="I4" s="630"/>
      <c r="J4" s="630"/>
      <c r="V4" s="626">
        <v>15</v>
      </c>
    </row>
    <row customHeight="1" ht="66">
      <c r="C5" s="297"/>
      <c r="D5" s="2358" t="s">
        <v>1185</v>
      </c>
      <c r="E5" s="2358"/>
      <c r="F5" s="2358"/>
      <c r="G5" s="2358"/>
      <c r="H5" s="2358"/>
      <c r="I5" s="2358"/>
      <c r="J5" s="2358"/>
      <c r="V5" s="626">
        <v>63</v>
      </c>
    </row>
    <row customHeight="1" ht="15.75">
      <c r="C6" s="297"/>
      <c r="D6" s="2297" t="str">
        <f>IF(org=0,"Не определено",org)</f>
        <v>ПАО "ТГК-1" филиал "Невский"</v>
      </c>
      <c r="E6" s="2297"/>
      <c r="F6" s="2297"/>
      <c r="G6" s="2297"/>
      <c r="H6" s="2297"/>
      <c r="I6" s="2297"/>
      <c r="J6" s="2297"/>
      <c r="K6" s="658"/>
      <c r="V6" s="626">
        <v>15</v>
      </c>
    </row>
    <row customHeight="1" ht="15.75">
      <c r="C7" s="297"/>
      <c r="D7" s="873"/>
      <c r="E7" s="630"/>
      <c r="F7" s="630"/>
      <c r="G7" s="658">
        <v>22</v>
      </c>
      <c r="I7" s="658">
        <v>1</v>
      </c>
      <c r="J7" s="873"/>
      <c r="V7" s="626">
        <v>15</v>
      </c>
    </row>
    <row s="7720" customFormat="1" customHeight="1" ht="1.05">
      <c r="A8" s="880"/>
      <c r="C8" s="297"/>
      <c r="D8" s="630"/>
      <c r="E8" s="630"/>
      <c r="F8" s="630"/>
      <c r="G8" s="658"/>
      <c r="H8" s="873"/>
      <c r="I8" s="658" t="s">
        <v>130</v>
      </c>
      <c r="J8" s="873"/>
      <c r="K8" s="538"/>
      <c r="U8" s="796"/>
      <c r="V8" s="879">
        <v>1</v>
      </c>
    </row>
    <row customHeight="1" ht="15.75">
      <c r="C9" s="297"/>
      <c r="D9" s="832"/>
      <c r="E9" s="2488" t="s">
        <v>119</v>
      </c>
      <c r="F9" s="2489"/>
      <c r="G9" s="2516" t="str">
        <f>IF(G8="","",INDEX(DIFFERENTIATION_UNMERGE_VD,MATCH(G8,DIFFERENTIATION_ID_DIFF,0)))</f>
        <v/>
      </c>
      <c r="H9" s="2517"/>
      <c r="I9" s="2516">
        <f>IF(I8="","",INDEX(DIFFERENTIATION_UNMERGE_VD,MATCH(I8,DIFFERENTIATION_ID_DIFF,0)))</f>
        <v>0</v>
      </c>
      <c r="J9" s="2517"/>
      <c r="K9" s="2296" t="s">
        <v>325</v>
      </c>
      <c r="V9" s="626">
        <v>15</v>
      </c>
    </row>
    <row s="7720" customFormat="1" customHeight="1" ht="15.75">
      <c r="A10" s="880"/>
      <c r="C10" s="297"/>
      <c r="D10" s="832"/>
      <c r="E10" s="2488" t="s">
        <v>586</v>
      </c>
      <c r="F10" s="2489"/>
      <c r="G10" s="2516" t="str">
        <f>IF(G8="","",INDEX(DIFFERENTIATION_UNMERGE_AREA,MATCH(G8,DIFFERENTIATION_ID_DIFF,0)))</f>
        <v/>
      </c>
      <c r="H10" s="2517"/>
      <c r="I10" s="2516" t="str">
        <f>IF(I8="","",INDEX(DIFFERENTIATION_UNMERGE_AREA,MATCH(I8,DIFFERENTIATION_ID_DIFF,0)))</f>
        <v/>
      </c>
      <c r="J10" s="2517"/>
      <c r="K10" s="2320"/>
      <c r="U10" s="796"/>
      <c r="V10" s="879">
        <v>15</v>
      </c>
    </row>
    <row s="7720" customFormat="1" customHeight="1" ht="15.75">
      <c r="A11" s="880"/>
      <c r="C11" s="297"/>
      <c r="D11" s="832"/>
      <c r="E11" s="2488" t="s">
        <v>587</v>
      </c>
      <c r="F11" s="2489"/>
      <c r="G11" s="2516" t="str">
        <f>IF(G8="","",INDEX(DIFFERENTIATION_UNMERGE_SYSTEM,MATCH(G8,DIFFERENTIATION_ID_DIFF,0)))</f>
        <v/>
      </c>
      <c r="H11" s="2517"/>
      <c r="I11" s="2516" t="str">
        <f>IF(I8="","",INDEX(DIFFERENTIATION_UNMERGE_SYSTEM,MATCH(I8,DIFFERENTIATION_ID_DIFF,0)))</f>
        <v>без дифференциации</v>
      </c>
      <c r="J11" s="2517"/>
      <c r="K11" s="2320"/>
      <c r="U11" s="796"/>
      <c r="V11" s="879">
        <v>15</v>
      </c>
    </row>
    <row s="7720" customFormat="1" customHeight="1" ht="15.75">
      <c r="A12" s="880"/>
      <c r="C12" s="297"/>
      <c r="D12" s="2490" t="s">
        <v>324</v>
      </c>
      <c r="E12" s="2491"/>
      <c r="F12" s="2491"/>
      <c r="G12" s="1008"/>
      <c r="H12" s="1008"/>
      <c r="I12" s="1008"/>
      <c r="J12" s="1008"/>
      <c r="K12" s="2320"/>
      <c r="U12" s="796"/>
      <c r="V12" s="879">
        <v>15</v>
      </c>
    </row>
    <row customHeight="1" ht="35.699999999999996">
      <c r="C13" s="297"/>
      <c r="D13" s="926" t="s">
        <v>88</v>
      </c>
      <c r="E13" s="928" t="s">
        <v>326</v>
      </c>
      <c r="F13" s="928" t="s">
        <v>588</v>
      </c>
      <c r="G13" s="929" t="s">
        <v>327</v>
      </c>
      <c r="H13" s="928" t="s">
        <v>414</v>
      </c>
      <c r="I13" s="929" t="s">
        <v>327</v>
      </c>
      <c r="J13" s="928" t="s">
        <v>414</v>
      </c>
      <c r="K13" s="2353"/>
      <c r="V13" s="626">
        <v>34</v>
      </c>
    </row>
    <row customHeight="1" ht="15" hidden="1">
      <c r="C14" s="297"/>
      <c r="D14" s="714" t="s">
        <v>123</v>
      </c>
      <c r="E14" s="714" t="s">
        <v>103</v>
      </c>
      <c r="F14" s="714" t="s">
        <v>90</v>
      </c>
      <c r="G14" s="780" t="str">
        <f>G1&amp;".1"</f>
        <v>4.1</v>
      </c>
      <c r="H14" s="780"/>
      <c r="I14" s="780" t="str">
        <f>I1&amp;".1"</f>
        <v>4.1</v>
      </c>
      <c r="J14" s="780"/>
      <c r="K14" s="410"/>
      <c r="V14" s="626">
        <v>0</v>
      </c>
    </row>
    <row customHeight="1" ht="22.5" hidden="1">
      <c r="A15" s="626"/>
      <c r="C15" s="647"/>
      <c r="D15" s="642">
        <v>1</v>
      </c>
      <c r="E15" s="798" t="s">
        <v>830</v>
      </c>
      <c r="F15" s="642" t="s">
        <v>831</v>
      </c>
      <c r="G15" s="799"/>
      <c r="H15" s="799"/>
      <c r="I15" s="799"/>
      <c r="J15" s="799"/>
      <c r="K15" s="410" t="s">
        <v>832</v>
      </c>
      <c r="V15" s="626">
        <v>0</v>
      </c>
    </row>
    <row customHeight="1" ht="22.5" hidden="1">
      <c r="A16" s="626"/>
      <c r="C16" s="647"/>
      <c r="D16" s="642">
        <v>2</v>
      </c>
      <c r="E16" s="400" t="s">
        <v>833</v>
      </c>
      <c r="F16" s="642" t="s">
        <v>834</v>
      </c>
      <c r="G16" s="799"/>
      <c r="H16" s="799"/>
      <c r="I16" s="799"/>
      <c r="J16" s="799"/>
      <c r="K16" s="410" t="s">
        <v>835</v>
      </c>
      <c r="V16" s="626">
        <v>0</v>
      </c>
    </row>
    <row customHeight="1" ht="123.75" hidden="1">
      <c r="A17" s="626"/>
      <c r="C17" s="647"/>
      <c r="D17" s="642">
        <v>3</v>
      </c>
      <c r="E17" s="400" t="s">
        <v>1186</v>
      </c>
      <c r="F17" s="642" t="s">
        <v>330</v>
      </c>
      <c r="G17" s="799"/>
      <c r="H17" s="799"/>
      <c r="I17" s="799"/>
      <c r="J17" s="799"/>
      <c r="K17" s="410" t="s">
        <v>1187</v>
      </c>
      <c r="V17" s="626">
        <v>0</v>
      </c>
    </row>
    <row customHeight="1" ht="48.29999999999999">
      <c r="A18" s="626"/>
      <c r="C18" s="647"/>
      <c r="D18" s="642">
        <v>3</v>
      </c>
      <c r="E18" s="400" t="s">
        <v>836</v>
      </c>
      <c r="F18" s="642" t="s">
        <v>330</v>
      </c>
      <c r="G18" s="930" t="s">
        <v>330</v>
      </c>
      <c r="H18" s="931" t="s">
        <v>330</v>
      </c>
      <c r="I18" s="642" t="s">
        <v>330</v>
      </c>
      <c r="J18" s="699" t="s">
        <v>330</v>
      </c>
      <c r="K18" s="410" t="s">
        <v>1188</v>
      </c>
      <c r="V18" s="626">
        <v>46</v>
      </c>
    </row>
    <row customHeight="1" ht="35.699999999999996">
      <c r="A19" s="626"/>
      <c r="C19" s="647"/>
      <c r="D19" s="660" t="s">
        <v>348</v>
      </c>
      <c r="E19" s="680" t="s">
        <v>838</v>
      </c>
      <c r="F19" s="642" t="s">
        <v>839</v>
      </c>
      <c r="G19" s="938"/>
      <c r="H19" s="227"/>
      <c r="I19" s="938"/>
      <c r="J19" s="939"/>
      <c r="K19" s="800"/>
      <c r="V19" s="626">
        <v>34</v>
      </c>
    </row>
    <row customHeight="1" ht="35.699999999999996">
      <c r="A20" s="626"/>
      <c r="C20" s="647"/>
      <c r="D20" s="2011" t="s">
        <v>356</v>
      </c>
      <c r="E20" s="680" t="s">
        <v>840</v>
      </c>
      <c r="F20" s="642" t="s">
        <v>841</v>
      </c>
      <c r="G20" s="938"/>
      <c r="H20" s="227"/>
      <c r="I20" s="938"/>
      <c r="J20" s="227"/>
      <c r="K20" s="800"/>
      <c r="V20" s="626">
        <v>34</v>
      </c>
    </row>
    <row customHeight="1" ht="48.29999999999999">
      <c r="A21" s="626"/>
      <c r="C21" s="647"/>
      <c r="D21" s="2011" t="s">
        <v>358</v>
      </c>
      <c r="E21" s="680" t="s">
        <v>842</v>
      </c>
      <c r="F21" s="642" t="s">
        <v>593</v>
      </c>
      <c r="G21" s="801"/>
      <c r="H21" s="227"/>
      <c r="I21" s="801"/>
      <c r="J21" s="227"/>
      <c r="K21" s="800"/>
      <c r="V21" s="626">
        <v>46</v>
      </c>
    </row>
    <row customHeight="1" ht="67.5" hidden="1">
      <c r="A22" s="626"/>
      <c r="C22" s="647"/>
      <c r="D22" s="642">
        <v>5</v>
      </c>
      <c r="E22" s="400" t="s">
        <v>1189</v>
      </c>
      <c r="F22" s="642" t="s">
        <v>580</v>
      </c>
      <c r="G22" s="802"/>
      <c r="H22" s="803"/>
      <c r="I22" s="802"/>
      <c r="J22" s="803"/>
      <c r="K22" s="410" t="s">
        <v>1190</v>
      </c>
      <c r="V22" s="626">
        <v>0</v>
      </c>
    </row>
    <row customHeight="1" ht="33.75" hidden="1">
      <c r="C23" s="572"/>
      <c r="D23" s="642">
        <v>6</v>
      </c>
      <c r="E23" s="400" t="s">
        <v>1191</v>
      </c>
      <c r="F23" s="642" t="s">
        <v>1192</v>
      </c>
      <c r="G23" s="802"/>
      <c r="H23" s="802"/>
      <c r="I23" s="802"/>
      <c r="J23" s="802"/>
      <c r="K23" s="410" t="s">
        <v>1193</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82</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EF9C76-5DAC-10AB-4C39-0.32A5D7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903" width="32.57421875" customWidth="1"/>
    <col min="2" max="2" style="8469" width="11.00390625" customWidth="1"/>
    <col min="3" max="3" style="8469" width="9.140625"/>
    <col min="4" max="4" style="8469" width="26.57421875" customWidth="1"/>
    <col min="5" max="5" style="8221" width="36.8515625" customWidth="1"/>
    <col min="6" max="6" style="8221" width="23.57421875" customWidth="1"/>
    <col min="7" max="7" style="8221" width="31.421875" customWidth="1"/>
    <col min="8" max="8" style="8221" width="40.8515625" customWidth="1"/>
    <col min="9" max="9" style="8221" width="14.57421875" customWidth="1"/>
    <col min="10" max="10" style="8221" width="26.8515625" customWidth="1"/>
    <col min="11" max="11" style="8221" width="50.00390625" customWidth="1"/>
    <col min="12" max="12" style="8221" width="52.421875" customWidth="1"/>
    <col min="13" max="13" style="8221" width="10.7109375" customWidth="1"/>
    <col min="14" max="14" style="8221" width="55.140625" customWidth="1"/>
    <col min="15" max="15" style="8221" width="31.8515625" customWidth="1"/>
    <col min="16" max="16" style="8221" width="23.8515625" customWidth="1"/>
    <col min="17" max="17" style="8221" width="46.57421875" customWidth="1"/>
    <col min="18" max="18" style="8221" width="24.00390625" customWidth="1"/>
    <col min="19" max="19" style="8221" width="20.57421875" customWidth="1"/>
    <col min="20" max="20" style="8221" width="22.00390625" customWidth="1"/>
    <col min="21" max="22" style="8221" width="26.421875" customWidth="1"/>
    <col min="23" max="23" style="8221" width="8.28125" hidden="1" customWidth="1"/>
    <col min="24" max="24" style="8221" width="59.7109375" customWidth="1"/>
    <col min="25" max="25" style="8221" width="49.140625" customWidth="1"/>
    <col min="26" max="26" style="8221" width="11.140625" customWidth="1"/>
    <col min="27" max="30" style="8221" width="29.00390625" customWidth="1"/>
    <col min="31" max="31" style="8221" width="9.140625"/>
    <col min="32" max="32" style="8221" width="34.7109375" customWidth="1"/>
    <col min="33" max="33" style="8221" width="9.140625"/>
    <col min="34" max="35" style="8221" width="34.421875" customWidth="1"/>
    <col min="36" max="36" style="8221" width="9.140625"/>
    <col min="37" max="37" style="8221" width="24.57421875" customWidth="1"/>
    <col min="38" max="38" style="8221" width="9.140625"/>
    <col min="39" max="39" style="8221" width="26.140625" customWidth="1"/>
    <col min="40" max="40" style="8221" width="1.7109375" customWidth="1"/>
    <col min="41" max="41" style="8221" width="9.140625"/>
    <col min="42" max="43" style="8221" width="47.8515625" customWidth="1"/>
    <col min="44" max="44" style="8221" width="1.7109375" customWidth="1"/>
    <col min="45" max="45" style="8221" width="21.421875" customWidth="1"/>
    <col min="46" max="46" style="8221" width="1.7109375" customWidth="1"/>
    <col min="47" max="47" style="8221" width="31.28125" customWidth="1"/>
    <col min="48" max="48" style="8221" width="1.7109375" customWidth="1"/>
    <col min="49" max="50" style="8221" width="9.140625"/>
    <col min="51" max="51" style="8221" width="3.7109375" customWidth="1"/>
    <col min="52" max="52" style="8221" width="60.8515625" customWidth="1"/>
    <col min="53" max="53" style="8221" width="49.28125" customWidth="1"/>
    <col min="54" max="54" style="8221" width="35.140625" customWidth="1"/>
    <col min="55" max="55" style="8221" width="9.140625"/>
    <col min="56" max="56" style="8221" width="1.7109375" customWidth="1"/>
    <col min="57" max="57" style="7904" width="12.57421875" customWidth="1"/>
    <col min="58" max="58" style="7904" width="14.28125" customWidth="1"/>
    <col min="59" max="59" style="8221" width="30.7109375" customWidth="1"/>
    <col min="60" max="60" style="7905" width="40.7109375" customWidth="1"/>
    <col min="61" max="61" style="7905" width="15.00390625" customWidth="1"/>
    <col min="62" max="62" style="7905" width="40.7109375" customWidth="1"/>
    <col min="63" max="63" style="7905" width="2.7109375" customWidth="1"/>
    <col min="64" max="64" style="7905" width="44.7109375" customWidth="1"/>
    <col min="65" max="65" style="7905" width="2.7109375" customWidth="1"/>
    <col min="66" max="66" style="7905" width="40.7109375" customWidth="1"/>
    <col min="67" max="68" style="8221" width="9.140625"/>
    <col min="69" max="69" style="8221" width="18.140625" customWidth="1"/>
    <col min="70" max="70" style="8221" width="57.8515625" customWidth="1"/>
    <col min="71" max="71" style="8221" width="1.7109375" customWidth="1"/>
    <col min="72" max="72" style="8221" width="22.57421875" customWidth="1"/>
    <col min="73" max="73" style="8221" width="57.8515625" customWidth="1"/>
    <col min="74" max="74" style="8221" width="1.7109375" customWidth="1"/>
    <col min="75" max="75" style="8221" width="22.57421875" customWidth="1"/>
    <col min="76" max="76" style="8221" width="57.8515625" customWidth="1"/>
    <col min="77" max="77" style="8221" width="1.7109375" customWidth="1"/>
    <col min="78" max="78" style="8221" width="22.57421875" customWidth="1"/>
    <col min="79" max="79" style="8221" width="57.8515625" customWidth="1"/>
    <col min="80" max="81" style="8221" width="9.140625"/>
    <col min="82" max="82" style="8221" width="49.57421875" customWidth="1"/>
  </cols>
  <sheetData>
    <row s="7815" customFormat="1" customHeight="1" ht="11.25">
      <c r="A1" s="1188" t="s">
        <v>1194</v>
      </c>
      <c r="B1" s="1188" t="s">
        <v>1195</v>
      </c>
      <c r="C1" s="1188" t="s">
        <v>1196</v>
      </c>
      <c r="D1" s="1188" t="s">
        <v>1197</v>
      </c>
      <c r="E1" s="1188" t="s">
        <v>1198</v>
      </c>
      <c r="F1" s="1188" t="s">
        <v>1199</v>
      </c>
      <c r="G1" s="1188" t="s">
        <v>1200</v>
      </c>
      <c r="H1" s="1188" t="s">
        <v>1201</v>
      </c>
      <c r="I1" s="1188" t="s">
        <v>1202</v>
      </c>
      <c r="J1" s="1188" t="s">
        <v>1203</v>
      </c>
      <c r="K1" s="1188" t="s">
        <v>1204</v>
      </c>
      <c r="L1" s="1188" t="s">
        <v>1205</v>
      </c>
      <c r="M1" s="1188"/>
      <c r="N1" s="1188" t="s">
        <v>1206</v>
      </c>
      <c r="O1" s="1188" t="s">
        <v>1207</v>
      </c>
      <c r="P1" s="1188" t="s">
        <v>1208</v>
      </c>
      <c r="Q1" s="1188" t="s">
        <v>1209</v>
      </c>
      <c r="R1" s="1188" t="s">
        <v>1210</v>
      </c>
      <c r="S1" s="1188" t="s">
        <v>1211</v>
      </c>
      <c r="T1" s="1188" t="s">
        <v>1212</v>
      </c>
      <c r="U1" s="1188" t="s">
        <v>1213</v>
      </c>
      <c r="V1" s="1188"/>
      <c r="W1" s="918" t="s">
        <v>1214</v>
      </c>
      <c r="X1" s="1188" t="s">
        <v>1215</v>
      </c>
      <c r="Y1" s="1188" t="s">
        <v>1216</v>
      </c>
      <c r="Z1" s="1188"/>
      <c r="AA1" s="1188" t="s">
        <v>1217</v>
      </c>
      <c r="AB1" s="1188"/>
      <c r="AC1" s="1188" t="s">
        <v>1218</v>
      </c>
      <c r="AD1" s="1188"/>
      <c r="AF1" s="1188" t="s">
        <v>1219</v>
      </c>
      <c r="AH1" s="1188" t="s">
        <v>1220</v>
      </c>
      <c r="AI1" s="1188" t="s">
        <v>1221</v>
      </c>
      <c r="AK1" s="1188" t="s">
        <v>1222</v>
      </c>
      <c r="AM1" s="1188" t="s">
        <v>1223</v>
      </c>
      <c r="AP1" s="1188" t="s">
        <v>1224</v>
      </c>
      <c r="AQ1" s="1188" t="s">
        <v>1225</v>
      </c>
      <c r="AS1" s="1188" t="s">
        <v>1226</v>
      </c>
      <c r="AU1" s="1188" t="s">
        <v>1227</v>
      </c>
      <c r="AW1" s="1188" t="s">
        <v>1228</v>
      </c>
      <c r="AX1" s="1188" t="s">
        <v>1229</v>
      </c>
      <c r="AZ1" s="1273" t="s">
        <v>1230</v>
      </c>
      <c r="BB1" s="1188" t="s">
        <v>1231</v>
      </c>
      <c r="BC1" s="1188"/>
      <c r="BE1" s="1188" t="s">
        <v>1232</v>
      </c>
      <c r="BF1" s="1188" t="s">
        <v>1233</v>
      </c>
      <c r="BH1" s="1190" t="s">
        <v>829</v>
      </c>
      <c r="BI1" s="1191"/>
      <c r="BJ1" s="1192" t="s">
        <v>1234</v>
      </c>
      <c r="BK1" s="1191"/>
      <c r="BL1" s="1193" t="s">
        <v>928</v>
      </c>
      <c r="BM1" s="1191"/>
      <c r="BN1" s="1194" t="s">
        <v>1235</v>
      </c>
      <c r="BS1" s="1548"/>
    </row>
    <row customHeight="1" ht="11.25">
      <c r="A2" s="1195" t="s">
        <v>1236</v>
      </c>
      <c r="B2" s="1196">
        <v>2000</v>
      </c>
      <c r="C2" s="1196">
        <v>2022</v>
      </c>
      <c r="D2" s="1196" t="s">
        <v>66</v>
      </c>
      <c r="E2" s="1197" t="s">
        <v>1237</v>
      </c>
      <c r="F2" s="1197" t="s">
        <v>1238</v>
      </c>
      <c r="G2" s="1197" t="s">
        <v>1239</v>
      </c>
      <c r="H2" s="1198" t="s">
        <v>55</v>
      </c>
      <c r="I2" s="1197" t="s">
        <v>123</v>
      </c>
      <c r="J2" s="1197" t="s">
        <v>1240</v>
      </c>
      <c r="K2" s="1199" t="s">
        <v>1241</v>
      </c>
      <c r="L2" s="1200"/>
      <c r="M2" s="1199">
        <v>1</v>
      </c>
      <c r="N2" s="1283" t="s">
        <v>1242</v>
      </c>
      <c r="O2" s="1198" t="s">
        <v>470</v>
      </c>
      <c r="P2" s="1201" t="s">
        <v>37</v>
      </c>
      <c r="Q2" s="1202" t="s">
        <v>469</v>
      </c>
      <c r="R2" s="264" t="s">
        <v>1243</v>
      </c>
      <c r="S2" s="264" t="s">
        <v>1244</v>
      </c>
      <c r="T2" s="1203" t="s">
        <v>1245</v>
      </c>
      <c r="U2" s="1200" t="s">
        <v>1246</v>
      </c>
      <c r="V2" s="1204">
        <v>1</v>
      </c>
      <c r="W2" s="1205"/>
      <c r="X2" s="1205" t="s">
        <v>1247</v>
      </c>
      <c r="Y2" s="1196" t="s">
        <v>1248</v>
      </c>
      <c r="Z2" s="1206"/>
      <c r="AA2" s="1196" t="s">
        <v>1249</v>
      </c>
      <c r="AB2" s="1207" t="s">
        <v>1249</v>
      </c>
      <c r="AC2" s="1196" t="s">
        <v>1250</v>
      </c>
      <c r="AD2" s="1207" t="s">
        <v>1250</v>
      </c>
      <c r="AF2" s="1198" t="s">
        <v>1246</v>
      </c>
      <c r="AH2" s="1197" t="s">
        <v>1251</v>
      </c>
      <c r="AI2" s="1197" t="s">
        <v>1251</v>
      </c>
      <c r="AK2" s="1197" t="s">
        <v>1252</v>
      </c>
      <c r="AM2" s="1197" t="s">
        <v>1253</v>
      </c>
      <c r="AP2" s="1208" t="s">
        <v>1247</v>
      </c>
      <c r="AQ2" s="1209" t="s">
        <v>1247</v>
      </c>
      <c r="AS2" s="1196" t="s">
        <v>1254</v>
      </c>
      <c r="AU2" s="1241" t="s">
        <v>1255</v>
      </c>
      <c r="AW2" s="1241" t="s">
        <v>1256</v>
      </c>
      <c r="AX2" s="1241" t="s">
        <v>1256</v>
      </c>
      <c r="AZ2" s="1241" t="s">
        <v>53</v>
      </c>
      <c r="BB2" s="1241" t="s">
        <v>1257</v>
      </c>
      <c r="BC2" s="1241" t="s">
        <v>1258</v>
      </c>
      <c r="BE2" s="1241">
        <v>2000</v>
      </c>
      <c r="BF2" s="1241" t="s">
        <v>1259</v>
      </c>
    </row>
    <row customHeight="1" ht="11.25">
      <c r="A3" s="1195" t="s">
        <v>1260</v>
      </c>
      <c r="B3" s="1196">
        <v>2001</v>
      </c>
      <c r="C3" s="1196">
        <v>2023</v>
      </c>
      <c r="D3" s="1196" t="s">
        <v>19</v>
      </c>
      <c r="E3" s="1197" t="s">
        <v>1261</v>
      </c>
      <c r="F3" s="1197" t="s">
        <v>1262</v>
      </c>
      <c r="G3" s="1197" t="s">
        <v>1263</v>
      </c>
      <c r="H3" s="1198" t="s">
        <v>1264</v>
      </c>
      <c r="I3" s="1197" t="s">
        <v>103</v>
      </c>
      <c r="J3" s="1197" t="s">
        <v>578</v>
      </c>
      <c r="K3" s="1199" t="s">
        <v>1171</v>
      </c>
      <c r="L3" s="1200">
        <f>_xlfn.IFERROR(MATCH(K3,OFFER_METHOD,0),0)</f>
        <v>1</v>
      </c>
      <c r="M3" s="1199">
        <v>2</v>
      </c>
      <c r="N3" s="1283" t="s">
        <v>1265</v>
      </c>
      <c r="O3" s="1198" t="s">
        <v>1266</v>
      </c>
      <c r="P3" s="1201" t="s">
        <v>1267</v>
      </c>
      <c r="Q3" s="1202" t="s">
        <v>1268</v>
      </c>
      <c r="R3" s="264" t="s">
        <v>1269</v>
      </c>
      <c r="S3" s="264" t="s">
        <v>1270</v>
      </c>
      <c r="T3" s="1203" t="s">
        <v>1271</v>
      </c>
      <c r="U3" s="1200" t="s">
        <v>1272</v>
      </c>
      <c r="V3" s="1204">
        <v>2</v>
      </c>
      <c r="W3" s="1205"/>
      <c r="X3" s="1205" t="s">
        <v>1273</v>
      </c>
      <c r="Y3" s="1196" t="s">
        <v>1248</v>
      </c>
      <c r="Z3" s="1206"/>
      <c r="AA3" s="1196" t="s">
        <v>1274</v>
      </c>
      <c r="AB3" s="1207" t="s">
        <v>1274</v>
      </c>
      <c r="AC3" s="1196" t="s">
        <v>1275</v>
      </c>
      <c r="AD3" s="1207" t="s">
        <v>1275</v>
      </c>
      <c r="AF3" s="1198" t="s">
        <v>1272</v>
      </c>
      <c r="AH3" s="1197" t="s">
        <v>1276</v>
      </c>
      <c r="AI3" s="1197" t="s">
        <v>1277</v>
      </c>
      <c r="AK3" s="1197" t="s">
        <v>1278</v>
      </c>
      <c r="AM3" s="1197" t="s">
        <v>1279</v>
      </c>
      <c r="AP3" s="1208" t="s">
        <v>1280</v>
      </c>
      <c r="AQ3" s="1209" t="s">
        <v>1280</v>
      </c>
      <c r="AS3" s="1196" t="s">
        <v>1281</v>
      </c>
      <c r="AU3" s="1241" t="s">
        <v>1282</v>
      </c>
      <c r="AW3" s="1241" t="s">
        <v>1283</v>
      </c>
      <c r="AX3" s="1241" t="s">
        <v>1283</v>
      </c>
      <c r="AZ3" s="1241" t="s">
        <v>1284</v>
      </c>
      <c r="BB3" s="1241" t="s">
        <v>1285</v>
      </c>
      <c r="BC3" s="1241" t="s">
        <v>1258</v>
      </c>
      <c r="BE3" s="1241">
        <v>2001</v>
      </c>
      <c r="BF3" s="1241" t="s">
        <v>1286</v>
      </c>
      <c r="BH3" s="1188" t="s">
        <v>1287</v>
      </c>
      <c r="BJ3" s="1188" t="s">
        <v>1288</v>
      </c>
      <c r="BL3" s="1188" t="s">
        <v>1289</v>
      </c>
      <c r="BN3" s="1188" t="s">
        <v>1290</v>
      </c>
      <c r="BR3" s="1188" t="s">
        <v>1291</v>
      </c>
      <c r="BS3" s="1549"/>
      <c r="BT3" s="1191"/>
      <c r="BU3" s="1188" t="s">
        <v>1292</v>
      </c>
      <c r="BV3" s="1191"/>
      <c r="BW3" s="1811"/>
      <c r="BX3" s="1813" t="s">
        <v>1293</v>
      </c>
      <c r="CA3" s="1188" t="s">
        <v>1294</v>
      </c>
    </row>
    <row customHeight="1" ht="11.25">
      <c r="A4" s="1195" t="s">
        <v>1295</v>
      </c>
      <c r="B4" s="1196">
        <v>2002</v>
      </c>
      <c r="C4" s="1196">
        <v>2024</v>
      </c>
      <c r="E4" s="1197" t="s">
        <v>1296</v>
      </c>
      <c r="F4" s="1197" t="s">
        <v>1297</v>
      </c>
      <c r="H4" s="1198" t="s">
        <v>1298</v>
      </c>
      <c r="I4" s="1197" t="s">
        <v>90</v>
      </c>
      <c r="J4" s="1197" t="s">
        <v>1299</v>
      </c>
      <c r="K4" s="1199" t="s">
        <v>1300</v>
      </c>
      <c r="L4" s="1200">
        <f>_xlfn.IFERROR(MATCH(K4,OFFER_METHOD,0),0)</f>
        <v>0</v>
      </c>
      <c r="M4" s="1199">
        <v>3</v>
      </c>
      <c r="N4" s="1283" t="s">
        <v>1301</v>
      </c>
      <c r="O4" s="1197" t="s">
        <v>1302</v>
      </c>
      <c r="Q4" s="1202" t="s">
        <v>1303</v>
      </c>
      <c r="R4" s="264" t="s">
        <v>1304</v>
      </c>
      <c r="S4" s="264" t="s">
        <v>1305</v>
      </c>
      <c r="T4" s="1203" t="s">
        <v>1306</v>
      </c>
      <c r="U4" s="1200" t="s">
        <v>1307</v>
      </c>
      <c r="V4" s="1204">
        <v>3</v>
      </c>
      <c r="W4" s="1205"/>
      <c r="X4" s="1205" t="s">
        <v>1308</v>
      </c>
      <c r="Y4" s="1196" t="s">
        <v>1248</v>
      </c>
      <c r="Z4" s="1212"/>
      <c r="AC4" s="1196" t="s">
        <v>1309</v>
      </c>
      <c r="AD4" s="1207" t="s">
        <v>1309</v>
      </c>
      <c r="AF4" s="1198" t="s">
        <v>1307</v>
      </c>
      <c r="AH4" s="1198" t="s">
        <v>1310</v>
      </c>
      <c r="AK4" s="1197" t="s">
        <v>1311</v>
      </c>
      <c r="AM4" s="1197" t="s">
        <v>1312</v>
      </c>
      <c r="AP4" s="1208" t="s">
        <v>1273</v>
      </c>
      <c r="AQ4" s="1209" t="s">
        <v>1273</v>
      </c>
      <c r="AS4" s="1196" t="s">
        <v>1313</v>
      </c>
      <c r="AU4" s="1241" t="s">
        <v>1314</v>
      </c>
      <c r="AW4" s="1241" t="s">
        <v>1315</v>
      </c>
      <c r="AX4" s="1241" t="s">
        <v>1315</v>
      </c>
      <c r="AZ4" s="1241" t="s">
        <v>1316</v>
      </c>
      <c r="BB4" s="1241" t="s">
        <v>1317</v>
      </c>
      <c r="BC4" s="1241" t="s">
        <v>1318</v>
      </c>
      <c r="BE4" s="1241">
        <v>2002</v>
      </c>
      <c r="BF4" s="1241" t="s">
        <v>1319</v>
      </c>
      <c r="BH4" s="1189" t="s">
        <v>1320</v>
      </c>
      <c r="BJ4" s="1189" t="s">
        <v>1320</v>
      </c>
      <c r="BL4" s="1189" t="s">
        <v>1320</v>
      </c>
      <c r="BN4" s="1189" t="s">
        <v>1320</v>
      </c>
      <c r="BQ4" s="1553" t="s">
        <v>1321</v>
      </c>
      <c r="BR4" s="1280" t="s">
        <v>1322</v>
      </c>
      <c r="BS4" s="395"/>
      <c r="BT4" s="1553" t="s">
        <v>1323</v>
      </c>
      <c r="BU4" s="1280" t="s">
        <v>1324</v>
      </c>
      <c r="BV4" s="1191"/>
      <c r="BW4" s="1818" t="s">
        <v>1325</v>
      </c>
      <c r="BX4" s="1812" t="s">
        <v>1326</v>
      </c>
      <c r="BZ4" s="1553" t="s">
        <v>1327</v>
      </c>
      <c r="CA4" s="1280" t="s">
        <v>1328</v>
      </c>
    </row>
    <row customHeight="1" ht="11.25">
      <c r="A5" s="1195" t="s">
        <v>1329</v>
      </c>
      <c r="B5" s="1196">
        <v>2003</v>
      </c>
      <c r="C5" s="1196">
        <v>2025</v>
      </c>
      <c r="E5" s="1197" t="s">
        <v>1330</v>
      </c>
      <c r="F5" s="1197" t="s">
        <v>1331</v>
      </c>
      <c r="H5" s="1198" t="s">
        <v>1332</v>
      </c>
      <c r="I5" s="1197" t="s">
        <v>91</v>
      </c>
      <c r="K5" s="1199" t="s">
        <v>1333</v>
      </c>
      <c r="L5" s="1200">
        <f>_xlfn.IFERROR(MATCH(K5,OFFER_METHOD,0),0)</f>
        <v>0</v>
      </c>
      <c r="M5" s="1199">
        <v>4</v>
      </c>
      <c r="N5" s="1213" t="s">
        <v>1334</v>
      </c>
      <c r="O5" s="1197" t="s">
        <v>1335</v>
      </c>
      <c r="Q5" s="1202" t="s">
        <v>1336</v>
      </c>
      <c r="R5" s="264" t="s">
        <v>1337</v>
      </c>
      <c r="T5" s="1198" t="s">
        <v>1338</v>
      </c>
      <c r="U5" s="1200" t="s">
        <v>1339</v>
      </c>
      <c r="V5" s="1204">
        <v>4</v>
      </c>
      <c r="W5" s="1205"/>
      <c r="X5" s="1205" t="s">
        <v>190</v>
      </c>
      <c r="Y5" s="1196" t="s">
        <v>1340</v>
      </c>
      <c r="Z5" s="1212">
        <v>1</v>
      </c>
      <c r="AF5" s="1198" t="s">
        <v>1341</v>
      </c>
      <c r="AH5" s="1197" t="s">
        <v>1342</v>
      </c>
      <c r="AK5" s="1197" t="s">
        <v>1343</v>
      </c>
      <c r="AM5" s="1197" t="s">
        <v>1344</v>
      </c>
      <c r="AP5" s="1208" t="s">
        <v>190</v>
      </c>
      <c r="AQ5" s="1209" t="s">
        <v>190</v>
      </c>
      <c r="AU5" s="1241" t="s">
        <v>1345</v>
      </c>
      <c r="AW5" s="1241" t="s">
        <v>1346</v>
      </c>
      <c r="AX5" s="1241" t="s">
        <v>1346</v>
      </c>
      <c r="AZ5" s="1241" t="s">
        <v>1347</v>
      </c>
      <c r="BB5" s="1241" t="s">
        <v>1348</v>
      </c>
      <c r="BC5" s="1241" t="s">
        <v>1349</v>
      </c>
      <c r="BE5" s="1241">
        <v>2003</v>
      </c>
      <c r="BF5" s="1241" t="s">
        <v>1350</v>
      </c>
      <c r="BH5" s="1189" t="s">
        <v>1351</v>
      </c>
      <c r="BJ5" s="1189" t="s">
        <v>1351</v>
      </c>
      <c r="BL5" s="1189" t="s">
        <v>1351</v>
      </c>
      <c r="BN5" s="1189" t="s">
        <v>1352</v>
      </c>
      <c r="BQ5" s="1402">
        <v>4213775</v>
      </c>
      <c r="BR5" s="1189" t="s">
        <v>1247</v>
      </c>
      <c r="BS5" s="1550"/>
      <c r="BT5" s="1402">
        <v>64236871</v>
      </c>
      <c r="BU5" s="1189" t="s">
        <v>253</v>
      </c>
      <c r="BV5" s="1191"/>
      <c r="BW5" s="1816">
        <v>4213767</v>
      </c>
      <c r="BX5" s="1814" t="s">
        <v>1353</v>
      </c>
      <c r="BZ5" s="1402">
        <v>64237509</v>
      </c>
      <c r="CA5" s="1416" t="s">
        <v>1354</v>
      </c>
    </row>
    <row customHeight="1" ht="11.25">
      <c r="A6" s="1195" t="s">
        <v>1355</v>
      </c>
      <c r="B6" s="1196">
        <v>2004</v>
      </c>
      <c r="C6" s="1196">
        <v>2026</v>
      </c>
      <c r="E6" s="1197" t="s">
        <v>1356</v>
      </c>
      <c r="F6" s="1214"/>
      <c r="H6" s="1198" t="s">
        <v>1357</v>
      </c>
      <c r="I6" s="1197" t="s">
        <v>124</v>
      </c>
      <c r="J6" s="1188" t="s">
        <v>1358</v>
      </c>
      <c r="L6" s="1200">
        <f>SUM(kind_of_control_method_filter)</f>
        <v>1</v>
      </c>
      <c r="N6" s="1213" t="s">
        <v>1359</v>
      </c>
      <c r="O6" s="1197" t="s">
        <v>1360</v>
      </c>
      <c r="R6" s="264" t="s">
        <v>469</v>
      </c>
      <c r="T6" s="1198" t="s">
        <v>1361</v>
      </c>
      <c r="U6" s="1200" t="s">
        <v>1341</v>
      </c>
      <c r="V6" s="1204">
        <v>5</v>
      </c>
      <c r="W6" s="1205"/>
      <c r="X6" s="1196" t="s">
        <v>198</v>
      </c>
      <c r="Y6" s="1196" t="s">
        <v>1362</v>
      </c>
      <c r="Z6" s="1212"/>
      <c r="AA6" s="1215"/>
      <c r="AH6" s="1197" t="s">
        <v>1363</v>
      </c>
      <c r="AK6" s="1197" t="s">
        <v>1364</v>
      </c>
      <c r="AM6" s="1197" t="s">
        <v>1365</v>
      </c>
      <c r="AP6" s="1208" t="s">
        <v>198</v>
      </c>
      <c r="AQ6" s="1209" t="s">
        <v>198</v>
      </c>
      <c r="AU6" s="1241" t="s">
        <v>1366</v>
      </c>
      <c r="AW6" s="1241" t="s">
        <v>1367</v>
      </c>
      <c r="AX6" s="1241" t="s">
        <v>1367</v>
      </c>
      <c r="BB6" s="1241" t="s">
        <v>1368</v>
      </c>
      <c r="BC6" s="1241" t="s">
        <v>1349</v>
      </c>
      <c r="BE6" s="1241">
        <v>2004</v>
      </c>
      <c r="BF6" s="1241" t="s">
        <v>1369</v>
      </c>
      <c r="BH6" s="1189" t="s">
        <v>1370</v>
      </c>
      <c r="BJ6" s="1189" t="s">
        <v>1371</v>
      </c>
      <c r="BL6" s="1189" t="s">
        <v>1371</v>
      </c>
      <c r="BN6" s="1189" t="s">
        <v>1372</v>
      </c>
      <c r="BQ6" s="1402">
        <v>4213784</v>
      </c>
      <c r="BR6" s="1416" t="s">
        <v>1280</v>
      </c>
      <c r="BS6" s="1551"/>
      <c r="BT6" s="1402">
        <v>64236872</v>
      </c>
      <c r="BU6" s="1189" t="s">
        <v>258</v>
      </c>
      <c r="BV6" s="1191"/>
      <c r="BW6" s="1816">
        <v>4213768</v>
      </c>
      <c r="BX6" s="1814" t="s">
        <v>278</v>
      </c>
      <c r="BZ6" s="1402">
        <v>64237510</v>
      </c>
      <c r="CA6" s="1189" t="s">
        <v>1373</v>
      </c>
    </row>
    <row customHeight="1" ht="11.25">
      <c r="A7" s="1195" t="s">
        <v>1374</v>
      </c>
      <c r="B7" s="1196">
        <v>2005</v>
      </c>
      <c r="E7" s="1197" t="s">
        <v>1375</v>
      </c>
      <c r="F7" s="1214"/>
      <c r="H7" s="1198" t="s">
        <v>1376</v>
      </c>
      <c r="I7" s="1197" t="s">
        <v>92</v>
      </c>
      <c r="J7" s="1197" t="s">
        <v>1377</v>
      </c>
      <c r="N7" s="1217" t="s">
        <v>1378</v>
      </c>
      <c r="O7" s="1197" t="s">
        <v>1379</v>
      </c>
      <c r="U7" s="1200" t="s">
        <v>19</v>
      </c>
      <c r="V7" s="491" t="s">
        <v>92</v>
      </c>
      <c r="W7" s="1205"/>
      <c r="X7" s="1196" t="s">
        <v>204</v>
      </c>
      <c r="Y7" s="1196" t="s">
        <v>1340</v>
      </c>
      <c r="Z7" s="1212"/>
      <c r="AA7" s="1215"/>
      <c r="AH7" s="1197" t="s">
        <v>1380</v>
      </c>
      <c r="AK7" s="1197" t="s">
        <v>1381</v>
      </c>
      <c r="AM7" s="1197" t="s">
        <v>1382</v>
      </c>
      <c r="AP7" s="1208" t="s">
        <v>204</v>
      </c>
      <c r="AQ7" s="1209" t="s">
        <v>204</v>
      </c>
      <c r="AU7" s="1241" t="s">
        <v>1383</v>
      </c>
      <c r="AW7" s="1241" t="s">
        <v>1384</v>
      </c>
      <c r="AX7" s="1241" t="s">
        <v>1384</v>
      </c>
      <c r="AZ7" s="1188" t="s">
        <v>1385</v>
      </c>
      <c r="BB7" s="1241" t="s">
        <v>1386</v>
      </c>
      <c r="BC7" s="1241" t="s">
        <v>1349</v>
      </c>
      <c r="BE7" s="1241">
        <v>2005</v>
      </c>
      <c r="BF7" s="1241" t="s">
        <v>1387</v>
      </c>
      <c r="BH7" s="1189" t="s">
        <v>1388</v>
      </c>
      <c r="BJ7" s="1189" t="s">
        <v>1370</v>
      </c>
      <c r="BL7" s="1189" t="s">
        <v>1370</v>
      </c>
      <c r="BN7" s="1189" t="s">
        <v>1389</v>
      </c>
      <c r="BQ7" s="1402">
        <v>4213781</v>
      </c>
      <c r="BR7" s="1189" t="s">
        <v>1273</v>
      </c>
      <c r="BS7" s="1550"/>
      <c r="BT7" s="1402">
        <v>64236873</v>
      </c>
      <c r="BU7" s="1189" t="s">
        <v>263</v>
      </c>
      <c r="BV7" s="1191"/>
      <c r="BW7" s="1816">
        <v>4213769</v>
      </c>
      <c r="BX7" s="1814" t="s">
        <v>1390</v>
      </c>
      <c r="BZ7" s="1402">
        <v>64237511</v>
      </c>
      <c r="CA7" s="1189" t="s">
        <v>293</v>
      </c>
    </row>
    <row customHeight="1" ht="11.25">
      <c r="A8" s="1195" t="s">
        <v>1391</v>
      </c>
      <c r="B8" s="1196">
        <v>2006</v>
      </c>
      <c r="E8" s="1197" t="s">
        <v>1392</v>
      </c>
      <c r="F8" s="1214"/>
      <c r="H8" s="1198" t="s">
        <v>1393</v>
      </c>
      <c r="I8" s="1197" t="s">
        <v>93</v>
      </c>
      <c r="J8" s="1197" t="s">
        <v>1394</v>
      </c>
      <c r="N8" s="1284" t="s">
        <v>1395</v>
      </c>
      <c r="O8" s="1197" t="s">
        <v>1396</v>
      </c>
      <c r="V8" s="491" t="s">
        <v>93</v>
      </c>
      <c r="W8" s="1205"/>
      <c r="X8" s="1196" t="s">
        <v>210</v>
      </c>
      <c r="Y8" s="1196" t="s">
        <v>1340</v>
      </c>
      <c r="Z8" s="1212"/>
      <c r="AA8" s="1215"/>
      <c r="AK8" s="1197" t="s">
        <v>1397</v>
      </c>
      <c r="AP8" s="1208" t="s">
        <v>210</v>
      </c>
      <c r="AQ8" s="1209" t="s">
        <v>210</v>
      </c>
      <c r="AU8" s="1241" t="s">
        <v>1398</v>
      </c>
      <c r="AW8" s="1241" t="s">
        <v>1399</v>
      </c>
      <c r="AX8" s="1241" t="s">
        <v>1399</v>
      </c>
      <c r="AZ8" s="1241" t="s">
        <v>1400</v>
      </c>
      <c r="BB8" s="1241" t="s">
        <v>1401</v>
      </c>
      <c r="BC8" s="1241" t="s">
        <v>1349</v>
      </c>
      <c r="BE8" s="1241">
        <v>2006</v>
      </c>
      <c r="BF8" s="1241" t="s">
        <v>1402</v>
      </c>
      <c r="BH8" s="1189" t="s">
        <v>1403</v>
      </c>
      <c r="BJ8" s="1189" t="s">
        <v>1404</v>
      </c>
      <c r="BL8" s="1189" t="s">
        <v>1404</v>
      </c>
      <c r="BN8" s="1189" t="s">
        <v>1405</v>
      </c>
      <c r="BQ8" s="1402">
        <v>4213776</v>
      </c>
      <c r="BR8" s="1189" t="s">
        <v>190</v>
      </c>
      <c r="BS8" s="1550"/>
      <c r="BT8" s="1402">
        <v>64236874</v>
      </c>
      <c r="BU8" s="1416" t="s">
        <v>1406</v>
      </c>
      <c r="BV8" s="1191"/>
      <c r="BW8" s="1816">
        <v>4213770</v>
      </c>
      <c r="BX8" s="1817" t="s">
        <v>1407</v>
      </c>
      <c r="BZ8" s="1402">
        <v>64237512</v>
      </c>
      <c r="CA8" s="1189" t="s">
        <v>288</v>
      </c>
    </row>
    <row customHeight="1" ht="11.25">
      <c r="A9" s="1195" t="s">
        <v>1408</v>
      </c>
      <c r="B9" s="1196">
        <v>2007</v>
      </c>
      <c r="E9" s="1197" t="s">
        <v>1409</v>
      </c>
      <c r="F9" s="1214"/>
      <c r="G9" s="1188" t="s">
        <v>1410</v>
      </c>
      <c r="H9" s="1188" t="s">
        <v>1411</v>
      </c>
      <c r="I9" s="1197" t="s">
        <v>125</v>
      </c>
      <c r="O9" s="1197" t="s">
        <v>1412</v>
      </c>
      <c r="V9" s="491" t="s">
        <v>125</v>
      </c>
      <c r="W9" s="1205"/>
      <c r="X9" s="1196" t="s">
        <v>216</v>
      </c>
      <c r="Y9" s="1196" t="s">
        <v>1248</v>
      </c>
      <c r="Z9" s="1212">
        <v>1</v>
      </c>
      <c r="AA9" s="1215"/>
      <c r="AK9" s="1197" t="s">
        <v>1413</v>
      </c>
      <c r="AP9" s="1208" t="s">
        <v>1414</v>
      </c>
      <c r="AQ9" s="1209" t="s">
        <v>1414</v>
      </c>
      <c r="AW9" s="1241" t="s">
        <v>1415</v>
      </c>
      <c r="AX9" s="1241" t="s">
        <v>1415</v>
      </c>
      <c r="AZ9" s="1241" t="s">
        <v>1416</v>
      </c>
      <c r="BB9" s="1241" t="s">
        <v>1417</v>
      </c>
      <c r="BC9" s="1241" t="s">
        <v>1349</v>
      </c>
      <c r="BE9" s="1241">
        <v>2007</v>
      </c>
      <c r="BF9" s="1241" t="s">
        <v>1418</v>
      </c>
      <c r="BH9" s="1189" t="s">
        <v>1419</v>
      </c>
      <c r="BJ9" s="1189" t="s">
        <v>1420</v>
      </c>
      <c r="BL9" s="1189" t="s">
        <v>1420</v>
      </c>
      <c r="BN9" s="1189" t="s">
        <v>1421</v>
      </c>
      <c r="BQ9" s="1402">
        <v>4213777</v>
      </c>
      <c r="BR9" s="1189" t="s">
        <v>198</v>
      </c>
      <c r="BS9" s="1550"/>
      <c r="BT9" s="1402">
        <v>64236875</v>
      </c>
      <c r="BU9" s="1189" t="s">
        <v>268</v>
      </c>
      <c r="BV9" s="1191"/>
      <c r="BW9" s="1811"/>
      <c r="BX9" s="1811"/>
    </row>
    <row customHeight="1" ht="11.25">
      <c r="A10" s="1195" t="s">
        <v>1422</v>
      </c>
      <c r="B10" s="1196">
        <v>2008</v>
      </c>
      <c r="E10" s="1197" t="s">
        <v>1423</v>
      </c>
      <c r="F10" s="1214"/>
      <c r="G10" s="1197" t="s">
        <v>1424</v>
      </c>
      <c r="H10" s="1197" t="s">
        <v>1425</v>
      </c>
      <c r="I10" s="1197" t="s">
        <v>161</v>
      </c>
      <c r="J10" s="1188" t="s">
        <v>1426</v>
      </c>
      <c r="K10" s="1188" t="s">
        <v>1427</v>
      </c>
      <c r="O10" s="1197" t="s">
        <v>1428</v>
      </c>
      <c r="V10" s="492" t="s">
        <v>161</v>
      </c>
      <c r="W10" s="1218"/>
      <c r="X10" s="1218" t="s">
        <v>1429</v>
      </c>
      <c r="Y10" s="1219" t="s">
        <v>1430</v>
      </c>
      <c r="Z10" s="1212"/>
      <c r="AP10" s="1208" t="s">
        <v>1429</v>
      </c>
      <c r="AQ10" s="1209" t="s">
        <v>1429</v>
      </c>
      <c r="AW10" s="1241" t="s">
        <v>1431</v>
      </c>
      <c r="AX10" s="1241" t="s">
        <v>1431</v>
      </c>
      <c r="AZ10" s="1241" t="s">
        <v>1432</v>
      </c>
      <c r="BB10" s="1241" t="s">
        <v>1433</v>
      </c>
      <c r="BC10" s="1241" t="s">
        <v>1349</v>
      </c>
      <c r="BE10" s="1241">
        <v>2008</v>
      </c>
      <c r="BF10" s="1241" t="s">
        <v>1434</v>
      </c>
      <c r="BH10" s="1189" t="s">
        <v>1435</v>
      </c>
      <c r="BJ10" s="1189" t="s">
        <v>1436</v>
      </c>
      <c r="BL10" s="1189" t="s">
        <v>1436</v>
      </c>
      <c r="BN10" s="1189" t="s">
        <v>1437</v>
      </c>
      <c r="BQ10" s="1402">
        <v>4213778</v>
      </c>
      <c r="BR10" s="1189" t="s">
        <v>204</v>
      </c>
      <c r="BS10" s="1550"/>
      <c r="BT10" s="1402">
        <v>64236876</v>
      </c>
      <c r="BU10" s="1189" t="s">
        <v>248</v>
      </c>
      <c r="BV10" s="1191"/>
      <c r="BW10" s="1811"/>
      <c r="BX10" s="1811"/>
    </row>
    <row customHeight="1" ht="11.25">
      <c r="A11" s="1195" t="s">
        <v>1438</v>
      </c>
      <c r="B11" s="1196">
        <v>2009</v>
      </c>
      <c r="E11" s="1197" t="s">
        <v>1439</v>
      </c>
      <c r="F11" s="1214"/>
      <c r="G11" s="1197" t="s">
        <v>1440</v>
      </c>
      <c r="H11" s="1197" t="s">
        <v>1441</v>
      </c>
      <c r="I11" s="1197" t="s">
        <v>162</v>
      </c>
      <c r="J11" s="1198" t="s">
        <v>1442</v>
      </c>
      <c r="K11" s="1220" t="s">
        <v>1443</v>
      </c>
      <c r="O11" s="1198" t="s">
        <v>1444</v>
      </c>
      <c r="V11" s="491" t="s">
        <v>162</v>
      </c>
      <c r="W11" s="396"/>
      <c r="X11" s="1205" t="s">
        <v>1414</v>
      </c>
      <c r="Y11" s="1196" t="s">
        <v>1445</v>
      </c>
      <c r="Z11" s="1212"/>
      <c r="AP11" s="1208" t="s">
        <v>216</v>
      </c>
      <c r="AQ11" s="1210" t="s">
        <v>216</v>
      </c>
      <c r="AW11" s="1241" t="s">
        <v>1446</v>
      </c>
      <c r="AX11" s="1241" t="s">
        <v>1446</v>
      </c>
      <c r="AZ11" s="1241" t="s">
        <v>1447</v>
      </c>
      <c r="BB11" s="1241" t="s">
        <v>1448</v>
      </c>
      <c r="BC11" s="1241" t="s">
        <v>1349</v>
      </c>
      <c r="BE11" s="1241">
        <v>2009</v>
      </c>
      <c r="BF11" s="1241" t="s">
        <v>1449</v>
      </c>
      <c r="BH11" s="1189" t="s">
        <v>1450</v>
      </c>
      <c r="BJ11" s="1189" t="s">
        <v>1419</v>
      </c>
      <c r="BL11" s="1189" t="s">
        <v>1419</v>
      </c>
      <c r="BN11" s="1189" t="s">
        <v>1451</v>
      </c>
      <c r="BQ11" s="1402">
        <v>4213780</v>
      </c>
      <c r="BR11" s="1189" t="s">
        <v>210</v>
      </c>
      <c r="BS11" s="1550"/>
      <c r="BW11" s="1811"/>
      <c r="BX11" s="1811"/>
    </row>
    <row customHeight="1" ht="11.25">
      <c r="A12" s="1195" t="s">
        <v>1452</v>
      </c>
      <c r="B12" s="1196">
        <v>2010</v>
      </c>
      <c r="E12" s="1197" t="s">
        <v>1453</v>
      </c>
      <c r="F12" s="1214"/>
      <c r="G12" s="1197" t="s">
        <v>1441</v>
      </c>
      <c r="I12" s="1197" t="s">
        <v>163</v>
      </c>
      <c r="J12" s="1198" t="s">
        <v>1454</v>
      </c>
      <c r="K12" s="1220" t="s">
        <v>1455</v>
      </c>
      <c r="O12" s="1198" t="s">
        <v>469</v>
      </c>
      <c r="V12" s="491" t="s">
        <v>163</v>
      </c>
      <c r="W12" s="1210"/>
      <c r="X12" s="1205" t="s">
        <v>1456</v>
      </c>
      <c r="Y12" s="1196" t="s">
        <v>1248</v>
      </c>
      <c r="AP12" s="1208"/>
      <c r="AW12" s="1241" t="s">
        <v>162</v>
      </c>
      <c r="AX12" s="1241" t="s">
        <v>162</v>
      </c>
      <c r="AZ12" s="1241" t="s">
        <v>1457</v>
      </c>
      <c r="BB12" s="1241" t="s">
        <v>1458</v>
      </c>
      <c r="BC12" s="1241" t="s">
        <v>1349</v>
      </c>
      <c r="BE12" s="1241">
        <v>2010</v>
      </c>
      <c r="BF12" s="1241" t="s">
        <v>1459</v>
      </c>
      <c r="BH12" s="1189" t="s">
        <v>1460</v>
      </c>
      <c r="BJ12" s="1189" t="s">
        <v>1461</v>
      </c>
      <c r="BL12" s="1189" t="s">
        <v>1461</v>
      </c>
      <c r="BN12" s="1189" t="s">
        <v>1462</v>
      </c>
      <c r="BQ12" s="1402">
        <v>4213779</v>
      </c>
      <c r="BR12" s="1189" t="s">
        <v>1414</v>
      </c>
      <c r="BS12" s="1550"/>
      <c r="BT12" s="1191"/>
      <c r="BU12" s="1191"/>
      <c r="BV12" s="1191"/>
      <c r="BW12" s="1811"/>
      <c r="BX12" s="1811"/>
    </row>
    <row customHeight="1" ht="11.25">
      <c r="A13" s="1195" t="s">
        <v>1463</v>
      </c>
      <c r="B13" s="1196">
        <v>2011</v>
      </c>
      <c r="E13" s="1197" t="s">
        <v>1464</v>
      </c>
      <c r="F13" s="1214"/>
      <c r="I13" s="1197" t="s">
        <v>164</v>
      </c>
      <c r="K13" s="1220" t="s">
        <v>1413</v>
      </c>
      <c r="V13" s="491" t="s">
        <v>164</v>
      </c>
      <c r="W13" s="1210"/>
      <c r="X13" s="1210"/>
      <c r="Y13" s="1210"/>
      <c r="AW13" s="1241" t="s">
        <v>163</v>
      </c>
      <c r="AX13" s="1241" t="s">
        <v>163</v>
      </c>
      <c r="BB13" s="1241" t="s">
        <v>1465</v>
      </c>
      <c r="BC13" s="1241" t="s">
        <v>1466</v>
      </c>
      <c r="BE13" s="1241">
        <v>2011</v>
      </c>
      <c r="BF13" s="1241" t="s">
        <v>1467</v>
      </c>
      <c r="BH13" s="1189" t="s">
        <v>1468</v>
      </c>
      <c r="BJ13" s="1189" t="s">
        <v>1450</v>
      </c>
      <c r="BL13" s="1189" t="s">
        <v>1450</v>
      </c>
      <c r="BN13" s="1189" t="s">
        <v>1469</v>
      </c>
      <c r="BQ13" s="1402">
        <v>4213783</v>
      </c>
      <c r="BR13" s="1189" t="s">
        <v>1429</v>
      </c>
      <c r="BS13" s="1550"/>
      <c r="BT13" s="1191"/>
      <c r="BU13" s="1191"/>
      <c r="BV13" s="1191"/>
      <c r="BW13" s="1815"/>
      <c r="BX13" s="1811"/>
    </row>
    <row customHeight="1" ht="11.25">
      <c r="A14" s="1195" t="s">
        <v>1470</v>
      </c>
      <c r="B14" s="1196">
        <v>2012</v>
      </c>
      <c r="I14" s="1197" t="s">
        <v>165</v>
      </c>
      <c r="J14" s="1188" t="s">
        <v>1471</v>
      </c>
      <c r="N14" s="1188" t="s">
        <v>1472</v>
      </c>
      <c r="V14" s="1204">
        <v>13</v>
      </c>
      <c r="W14" s="1205"/>
      <c r="X14" s="1205" t="s">
        <v>1280</v>
      </c>
      <c r="Y14" s="1196" t="s">
        <v>1248</v>
      </c>
      <c r="AW14" s="1241" t="s">
        <v>164</v>
      </c>
      <c r="AX14" s="1241" t="s">
        <v>164</v>
      </c>
      <c r="AZ14" s="1188" t="s">
        <v>1473</v>
      </c>
      <c r="BB14" s="1241" t="s">
        <v>1474</v>
      </c>
      <c r="BC14" s="1241" t="s">
        <v>1466</v>
      </c>
      <c r="BE14" s="1241">
        <v>2012</v>
      </c>
      <c r="BH14" s="1189" t="s">
        <v>1389</v>
      </c>
      <c r="BJ14" s="1338" t="s">
        <v>1475</v>
      </c>
      <c r="BL14" s="1338" t="s">
        <v>1475</v>
      </c>
      <c r="BN14" s="1189" t="s">
        <v>1476</v>
      </c>
      <c r="BQ14" s="1402">
        <v>4213782</v>
      </c>
      <c r="BR14" s="1189" t="s">
        <v>216</v>
      </c>
      <c r="BS14" s="1550"/>
      <c r="BT14" s="1191"/>
      <c r="BU14" s="1191"/>
      <c r="BV14" s="1191"/>
      <c r="BW14" s="1815"/>
      <c r="BX14" s="1811"/>
    </row>
    <row customHeight="1" ht="19.5">
      <c r="A15" s="1195" t="s">
        <v>1477</v>
      </c>
      <c r="B15" s="1196">
        <v>2013</v>
      </c>
      <c r="E15" s="1819" t="s">
        <v>1478</v>
      </c>
      <c r="G15" s="1188" t="s">
        <v>1479</v>
      </c>
      <c r="H15" s="1188" t="s">
        <v>1480</v>
      </c>
      <c r="I15" s="1199" t="s">
        <v>166</v>
      </c>
      <c r="J15" s="1210" t="s">
        <v>605</v>
      </c>
      <c r="N15" s="1279" t="s">
        <v>1481</v>
      </c>
      <c r="X15" s="1208"/>
      <c r="AW15" s="1241" t="s">
        <v>165</v>
      </c>
      <c r="AX15" s="1241" t="s">
        <v>165</v>
      </c>
      <c r="AZ15" s="1241" t="s">
        <v>1400</v>
      </c>
      <c r="BB15" s="1241" t="s">
        <v>1482</v>
      </c>
      <c r="BC15" s="1241" t="s">
        <v>1466</v>
      </c>
      <c r="BE15" s="1241">
        <v>2013</v>
      </c>
      <c r="BH15" s="1189" t="s">
        <v>1405</v>
      </c>
      <c r="BJ15" s="1338" t="s">
        <v>1483</v>
      </c>
      <c r="BL15" s="1338" t="s">
        <v>1483</v>
      </c>
      <c r="BN15" s="1189" t="s">
        <v>1484</v>
      </c>
      <c r="BR15" s="1191"/>
      <c r="BS15" s="1552"/>
      <c r="BT15" s="1191"/>
      <c r="BU15" s="1191"/>
      <c r="BV15" s="1191"/>
      <c r="BW15" s="1815"/>
      <c r="BX15" s="1811"/>
    </row>
    <row customHeight="1" ht="21">
      <c r="A16" s="1991" t="s">
        <v>1485</v>
      </c>
      <c r="B16" s="1196">
        <v>2014</v>
      </c>
      <c r="E16" s="1820" t="s">
        <v>1486</v>
      </c>
      <c r="G16" s="1197" t="s">
        <v>1487</v>
      </c>
      <c r="H16" s="1197" t="s">
        <v>1488</v>
      </c>
      <c r="I16" s="1199" t="s">
        <v>1489</v>
      </c>
      <c r="J16" s="1210" t="s">
        <v>578</v>
      </c>
      <c r="N16" s="1279" t="s">
        <v>1490</v>
      </c>
      <c r="AW16" s="1241" t="s">
        <v>166</v>
      </c>
      <c r="AX16" s="1241" t="s">
        <v>166</v>
      </c>
      <c r="AZ16" s="1241" t="s">
        <v>1416</v>
      </c>
      <c r="BB16" s="1241" t="s">
        <v>1491</v>
      </c>
      <c r="BC16" s="1241" t="s">
        <v>1466</v>
      </c>
      <c r="BE16" s="1241">
        <v>2014</v>
      </c>
      <c r="BH16" s="1189" t="s">
        <v>1421</v>
      </c>
      <c r="BJ16" s="1338" t="s">
        <v>1492</v>
      </c>
      <c r="BL16" s="1338" t="s">
        <v>1492</v>
      </c>
      <c r="BN16" s="1189" t="s">
        <v>1493</v>
      </c>
      <c r="BR16" s="1191"/>
      <c r="BS16" s="1552"/>
      <c r="BT16" s="1191"/>
      <c r="BU16" s="1191"/>
      <c r="BV16" s="1191"/>
      <c r="BW16" s="1815"/>
      <c r="BX16" s="1811"/>
    </row>
    <row customHeight="1" ht="21">
      <c r="A17" s="1195" t="s">
        <v>1494</v>
      </c>
      <c r="B17" s="1196">
        <v>2015</v>
      </c>
      <c r="G17" s="1197" t="s">
        <v>1441</v>
      </c>
      <c r="H17" s="1197" t="s">
        <v>1441</v>
      </c>
      <c r="I17" s="1197" t="s">
        <v>1495</v>
      </c>
      <c r="N17" s="1279" t="s">
        <v>1496</v>
      </c>
      <c r="X17" s="1208"/>
      <c r="AW17" s="1241" t="s">
        <v>1489</v>
      </c>
      <c r="AX17" s="1241" t="s">
        <v>1489</v>
      </c>
      <c r="AZ17" s="1241" t="s">
        <v>1497</v>
      </c>
      <c r="BB17" s="1241" t="s">
        <v>1498</v>
      </c>
      <c r="BC17" s="1241" t="s">
        <v>1349</v>
      </c>
      <c r="BE17" s="1241">
        <v>2015</v>
      </c>
      <c r="BH17" s="1189" t="s">
        <v>1437</v>
      </c>
      <c r="BJ17" s="1338" t="s">
        <v>1499</v>
      </c>
      <c r="BL17" s="1338" t="s">
        <v>1499</v>
      </c>
      <c r="BN17" s="1189" t="s">
        <v>1500</v>
      </c>
      <c r="BR17" s="1188" t="s">
        <v>1291</v>
      </c>
      <c r="BS17" s="1549"/>
      <c r="BU17" s="1188" t="s">
        <v>1501</v>
      </c>
      <c r="BV17" s="1191"/>
      <c r="BW17" s="1811"/>
      <c r="BX17" s="1813" t="s">
        <v>1502</v>
      </c>
      <c r="CA17" s="1188" t="s">
        <v>1503</v>
      </c>
      <c r="CD17" s="1188" t="s">
        <v>1504</v>
      </c>
    </row>
    <row customHeight="1" ht="21">
      <c r="A18" s="1195" t="s">
        <v>1505</v>
      </c>
      <c r="B18" s="1196">
        <v>2016</v>
      </c>
      <c r="E18" s="2126" t="s">
        <v>1506</v>
      </c>
      <c r="I18" s="1197" t="s">
        <v>1507</v>
      </c>
      <c r="N18" s="1279" t="s">
        <v>1508</v>
      </c>
      <c r="X18" s="1208"/>
      <c r="AW18" s="1241" t="s">
        <v>1495</v>
      </c>
      <c r="AX18" s="1241" t="s">
        <v>1495</v>
      </c>
      <c r="BB18" s="1241" t="s">
        <v>1509</v>
      </c>
      <c r="BC18" s="1241" t="s">
        <v>1349</v>
      </c>
      <c r="BE18" s="1241">
        <v>2016</v>
      </c>
      <c r="BH18" s="1189" t="s">
        <v>1451</v>
      </c>
      <c r="BJ18" s="1338" t="s">
        <v>1510</v>
      </c>
      <c r="BL18" s="1338" t="s">
        <v>1510</v>
      </c>
      <c r="BN18" s="1189" t="s">
        <v>1511</v>
      </c>
      <c r="BQ18" s="1553" t="s">
        <v>1321</v>
      </c>
      <c r="BR18" s="1280" t="s">
        <v>1322</v>
      </c>
      <c r="BS18" s="395"/>
      <c r="BT18" s="1553" t="s">
        <v>1512</v>
      </c>
      <c r="BU18" s="1280" t="s">
        <v>1513</v>
      </c>
      <c r="BV18" s="1191"/>
      <c r="BW18" s="1818" t="s">
        <v>1514</v>
      </c>
      <c r="BX18" s="1812" t="s">
        <v>1515</v>
      </c>
      <c r="BZ18" s="1553" t="s">
        <v>1516</v>
      </c>
      <c r="CA18" s="1280" t="s">
        <v>1517</v>
      </c>
      <c r="CC18" s="1553" t="s">
        <v>1518</v>
      </c>
      <c r="CD18" s="1280" t="s">
        <v>1519</v>
      </c>
    </row>
    <row customHeight="1" ht="21">
      <c r="A19" s="1991" t="s">
        <v>1520</v>
      </c>
      <c r="B19" s="1196">
        <v>2017</v>
      </c>
      <c r="E19" s="1195" t="s">
        <v>184</v>
      </c>
      <c r="I19" s="1197" t="s">
        <v>1521</v>
      </c>
      <c r="N19" s="1279" t="s">
        <v>1522</v>
      </c>
      <c r="X19" s="1208"/>
      <c r="AW19" s="1241" t="s">
        <v>1507</v>
      </c>
      <c r="AX19" s="1241" t="s">
        <v>1507</v>
      </c>
      <c r="AZ19" s="1188" t="s">
        <v>1523</v>
      </c>
      <c r="BB19" s="1241" t="s">
        <v>1524</v>
      </c>
      <c r="BC19" s="1241" t="s">
        <v>1349</v>
      </c>
      <c r="BE19" s="1241">
        <v>2017</v>
      </c>
      <c r="BH19" s="1189" t="s">
        <v>1525</v>
      </c>
      <c r="BJ19" s="1338" t="s">
        <v>1526</v>
      </c>
      <c r="BL19" s="1338" t="s">
        <v>1526</v>
      </c>
      <c r="BQ19" s="1402">
        <v>4190064</v>
      </c>
      <c r="BR19" s="1189" t="s">
        <v>1527</v>
      </c>
      <c r="BS19" s="1550"/>
      <c r="BT19" s="1402">
        <v>4189671</v>
      </c>
      <c r="BU19" s="1189" t="s">
        <v>1528</v>
      </c>
      <c r="BV19" s="1191"/>
      <c r="BW19" s="1816">
        <v>4189706</v>
      </c>
      <c r="BX19" s="1814" t="s">
        <v>1529</v>
      </c>
      <c r="BZ19" s="1402">
        <v>4189714</v>
      </c>
      <c r="CA19" s="1189" t="s">
        <v>1530</v>
      </c>
      <c r="CC19" s="1402">
        <v>4189708</v>
      </c>
      <c r="CD19" s="1189" t="s">
        <v>1531</v>
      </c>
    </row>
    <row customHeight="1" ht="21">
      <c r="A20" s="1195" t="s">
        <v>1532</v>
      </c>
      <c r="B20" s="1196">
        <v>2018</v>
      </c>
      <c r="E20" s="1195" t="s">
        <v>1280</v>
      </c>
      <c r="I20" s="1197" t="s">
        <v>1533</v>
      </c>
      <c r="N20" s="1279" t="s">
        <v>1534</v>
      </c>
      <c r="AW20" s="1241" t="s">
        <v>1521</v>
      </c>
      <c r="AX20" s="1241" t="s">
        <v>1521</v>
      </c>
      <c r="AZ20" s="1241" t="s">
        <v>1535</v>
      </c>
      <c r="BB20" s="1241" t="s">
        <v>1536</v>
      </c>
      <c r="BC20" s="1241" t="s">
        <v>1466</v>
      </c>
      <c r="BE20" s="1241">
        <v>2018</v>
      </c>
      <c r="BH20" s="1189" t="s">
        <v>1462</v>
      </c>
      <c r="BJ20" s="1189" t="s">
        <v>1389</v>
      </c>
      <c r="BL20" s="1189" t="s">
        <v>1389</v>
      </c>
      <c r="BQ20" s="1402">
        <v>4190065</v>
      </c>
      <c r="BR20" s="1189" t="s">
        <v>1537</v>
      </c>
      <c r="BS20" s="1550"/>
      <c r="BT20" s="1402">
        <v>4189672</v>
      </c>
      <c r="BU20" s="1189" t="s">
        <v>1538</v>
      </c>
      <c r="BV20" s="1191"/>
      <c r="BW20" s="1816">
        <v>4189705</v>
      </c>
      <c r="BX20" s="1814" t="s">
        <v>1539</v>
      </c>
      <c r="BZ20" s="1402">
        <v>4189713</v>
      </c>
      <c r="CA20" s="1189" t="s">
        <v>1539</v>
      </c>
      <c r="CC20" s="1402">
        <v>4189709</v>
      </c>
      <c r="CD20" s="1189" t="s">
        <v>1540</v>
      </c>
    </row>
    <row customHeight="1" ht="21">
      <c r="A21" s="1195" t="s">
        <v>1541</v>
      </c>
      <c r="B21" s="1196">
        <v>2019</v>
      </c>
      <c r="I21" s="1197" t="s">
        <v>1542</v>
      </c>
      <c r="N21" s="1279" t="s">
        <v>1543</v>
      </c>
      <c r="AW21" s="1241" t="s">
        <v>1533</v>
      </c>
      <c r="AX21" s="1241" t="s">
        <v>1533</v>
      </c>
      <c r="AZ21" s="1241" t="s">
        <v>1544</v>
      </c>
      <c r="BB21" s="1241" t="s">
        <v>1545</v>
      </c>
      <c r="BC21" s="1241" t="s">
        <v>1349</v>
      </c>
      <c r="BE21" s="1241">
        <v>2019</v>
      </c>
      <c r="BH21" s="1189" t="s">
        <v>1469</v>
      </c>
      <c r="BJ21" s="1189" t="s">
        <v>1405</v>
      </c>
      <c r="BL21" s="1189" t="s">
        <v>1405</v>
      </c>
      <c r="BQ21" s="1402">
        <v>4190066</v>
      </c>
      <c r="BR21" s="1189" t="s">
        <v>1546</v>
      </c>
      <c r="BS21" s="1550"/>
      <c r="BT21" s="1402">
        <v>4189673</v>
      </c>
      <c r="BU21" s="1189" t="s">
        <v>1547</v>
      </c>
      <c r="BV21" s="1191"/>
      <c r="BW21" s="1816">
        <v>4189707</v>
      </c>
      <c r="BX21" s="1814" t="s">
        <v>1548</v>
      </c>
      <c r="BZ21" s="1402">
        <v>4189712</v>
      </c>
      <c r="CA21" s="1189" t="s">
        <v>1549</v>
      </c>
      <c r="CC21" s="1402">
        <v>4189710</v>
      </c>
      <c r="CD21" s="1189" t="s">
        <v>1550</v>
      </c>
    </row>
    <row customHeight="1" ht="21">
      <c r="A22" s="1195" t="s">
        <v>1551</v>
      </c>
      <c r="B22" s="1196">
        <v>2020</v>
      </c>
      <c r="N22" s="1279" t="s">
        <v>1552</v>
      </c>
      <c r="AW22" s="1241" t="s">
        <v>1542</v>
      </c>
      <c r="AX22" s="1241" t="s">
        <v>1542</v>
      </c>
      <c r="AZ22" s="1241" t="s">
        <v>1553</v>
      </c>
      <c r="BB22" s="1241" t="s">
        <v>1554</v>
      </c>
      <c r="BC22" s="1241" t="s">
        <v>1349</v>
      </c>
      <c r="BE22" s="1241">
        <v>2020</v>
      </c>
      <c r="BH22" s="1189" t="s">
        <v>1476</v>
      </c>
      <c r="BJ22" s="1189" t="s">
        <v>1421</v>
      </c>
      <c r="BL22" s="1189" t="s">
        <v>1421</v>
      </c>
      <c r="BQ22" s="1402">
        <v>4190067</v>
      </c>
      <c r="BR22" s="1189" t="s">
        <v>1555</v>
      </c>
      <c r="BS22" s="1550"/>
      <c r="BT22" s="1402">
        <v>4189674</v>
      </c>
      <c r="BU22" s="1189" t="s">
        <v>1556</v>
      </c>
      <c r="BV22" s="1191"/>
      <c r="BW22" s="1191"/>
      <c r="CC22" s="1402">
        <v>4189711</v>
      </c>
      <c r="CD22" s="1189" t="s">
        <v>317</v>
      </c>
    </row>
    <row customHeight="1" ht="21">
      <c r="A23" s="1195" t="s">
        <v>1557</v>
      </c>
      <c r="B23" s="1196">
        <v>2021</v>
      </c>
      <c r="AW23" s="1241" t="s">
        <v>1558</v>
      </c>
      <c r="AX23" s="1241" t="s">
        <v>1558</v>
      </c>
      <c r="AZ23" s="1241" t="s">
        <v>1559</v>
      </c>
      <c r="BB23" s="1241" t="s">
        <v>1560</v>
      </c>
      <c r="BC23" s="1241" t="s">
        <v>1258</v>
      </c>
      <c r="BE23" s="1241">
        <v>2021</v>
      </c>
      <c r="BH23" s="1189" t="s">
        <v>1484</v>
      </c>
      <c r="BJ23" s="1189" t="s">
        <v>1437</v>
      </c>
      <c r="BL23" s="1189" t="s">
        <v>1437</v>
      </c>
      <c r="BQ23" s="1402">
        <v>4190068</v>
      </c>
      <c r="BR23" s="1189" t="s">
        <v>1561</v>
      </c>
      <c r="BS23" s="1550"/>
      <c r="BT23" s="1402">
        <v>4189675</v>
      </c>
      <c r="BU23" s="1189" t="s">
        <v>1562</v>
      </c>
      <c r="BV23" s="1191"/>
      <c r="BW23" s="1191"/>
      <c r="CC23" s="1402">
        <v>5110778</v>
      </c>
      <c r="CD23" s="1189" t="s">
        <v>1563</v>
      </c>
    </row>
    <row customHeight="1" ht="21">
      <c r="A24" s="1195" t="s">
        <v>1564</v>
      </c>
      <c r="B24" s="1196">
        <v>2022</v>
      </c>
      <c r="AW24" s="1241" t="s">
        <v>1565</v>
      </c>
      <c r="AX24" s="1241" t="s">
        <v>1565</v>
      </c>
      <c r="AZ24" s="1241" t="s">
        <v>1566</v>
      </c>
      <c r="BB24" s="1241" t="s">
        <v>1567</v>
      </c>
      <c r="BC24" s="1241" t="s">
        <v>1568</v>
      </c>
      <c r="BE24" s="1241">
        <v>2022</v>
      </c>
      <c r="BH24" s="1189" t="s">
        <v>1493</v>
      </c>
      <c r="BJ24" s="1189" t="s">
        <v>1451</v>
      </c>
      <c r="BL24" s="1189" t="s">
        <v>1451</v>
      </c>
      <c r="BQ24" s="1402">
        <v>4190069</v>
      </c>
      <c r="BR24" s="1189" t="s">
        <v>1569</v>
      </c>
      <c r="BS24" s="1550"/>
      <c r="BT24" s="1402">
        <v>4189676</v>
      </c>
      <c r="BU24" s="1189" t="s">
        <v>1570</v>
      </c>
      <c r="BV24" s="1191"/>
      <c r="BW24" s="1191"/>
      <c r="CC24" s="1402">
        <v>25575374</v>
      </c>
      <c r="CD24" s="1189" t="s">
        <v>1571</v>
      </c>
    </row>
    <row customHeight="1" ht="11.25">
      <c r="A25" s="1195" t="s">
        <v>1572</v>
      </c>
      <c r="B25" s="1196">
        <v>2023</v>
      </c>
      <c r="AW25" s="1241" t="s">
        <v>1573</v>
      </c>
      <c r="AX25" s="1241" t="s">
        <v>1573</v>
      </c>
      <c r="AZ25" s="1241" t="s">
        <v>1574</v>
      </c>
      <c r="BB25" s="1241" t="s">
        <v>1575</v>
      </c>
      <c r="BC25" s="1241" t="s">
        <v>1568</v>
      </c>
      <c r="BE25" s="1241">
        <v>2023</v>
      </c>
      <c r="BH25" s="1189" t="s">
        <v>1500</v>
      </c>
      <c r="BJ25" s="1189" t="s">
        <v>1525</v>
      </c>
      <c r="BL25" s="1189" t="s">
        <v>1525</v>
      </c>
      <c r="BQ25" s="1402">
        <v>4190070</v>
      </c>
      <c r="BR25" s="1189" t="s">
        <v>1576</v>
      </c>
      <c r="BS25" s="1550"/>
      <c r="BT25" s="1402">
        <v>4189677</v>
      </c>
      <c r="BU25" s="1189" t="s">
        <v>1577</v>
      </c>
      <c r="BV25" s="1191"/>
      <c r="BW25" s="1191"/>
    </row>
    <row customHeight="1" ht="11.25">
      <c r="A26" s="1195" t="s">
        <v>1578</v>
      </c>
      <c r="B26" s="1196">
        <v>2024</v>
      </c>
      <c r="J26" s="1852" t="s">
        <v>1579</v>
      </c>
      <c r="AX26" s="1241" t="s">
        <v>1580</v>
      </c>
      <c r="AZ26" s="1241" t="s">
        <v>1444</v>
      </c>
      <c r="BB26" s="1241" t="s">
        <v>1581</v>
      </c>
      <c r="BC26" s="1241" t="s">
        <v>1568</v>
      </c>
      <c r="BE26" s="1241">
        <v>2024</v>
      </c>
      <c r="BH26" s="1189" t="s">
        <v>1511</v>
      </c>
      <c r="BJ26" s="1189" t="s">
        <v>1462</v>
      </c>
      <c r="BL26" s="1189" t="s">
        <v>1462</v>
      </c>
      <c r="BQ26" s="1402">
        <v>4190071</v>
      </c>
      <c r="BR26" s="1189" t="s">
        <v>1582</v>
      </c>
      <c r="BS26" s="1550"/>
      <c r="BV26" s="1191"/>
      <c r="BW26" s="1191"/>
    </row>
    <row customHeight="1" ht="11.25">
      <c r="A27" s="1195" t="s">
        <v>1583</v>
      </c>
      <c r="B27" s="1196">
        <v>2025</v>
      </c>
      <c r="J27" s="297" t="s">
        <v>104</v>
      </c>
      <c r="AX27" s="1241" t="s">
        <v>1584</v>
      </c>
      <c r="BB27" s="1241" t="s">
        <v>1585</v>
      </c>
      <c r="BC27" s="1241" t="s">
        <v>1568</v>
      </c>
      <c r="BE27" s="1241">
        <v>2025</v>
      </c>
      <c r="BH27" s="1191" t="s">
        <v>28</v>
      </c>
      <c r="BJ27" s="1189" t="s">
        <v>1469</v>
      </c>
      <c r="BL27" s="1189" t="s">
        <v>1469</v>
      </c>
      <c r="BN27" s="1191" t="s">
        <v>28</v>
      </c>
      <c r="BQ27" s="1402">
        <v>4190072</v>
      </c>
      <c r="BR27" s="1189" t="s">
        <v>1586</v>
      </c>
      <c r="BS27" s="1550"/>
      <c r="BV27" s="1191"/>
      <c r="BW27" s="1191"/>
    </row>
    <row customHeight="1" ht="11.25">
      <c r="A28" s="1195" t="s">
        <v>1587</v>
      </c>
      <c r="D28" s="1222"/>
      <c r="E28" s="1223"/>
      <c r="F28" s="1223"/>
      <c r="H28" s="1224" t="s">
        <v>1588</v>
      </c>
      <c r="AX28" s="1241" t="s">
        <v>1589</v>
      </c>
      <c r="AZ28" s="1188" t="s">
        <v>1590</v>
      </c>
      <c r="BB28" s="1241" t="s">
        <v>1591</v>
      </c>
      <c r="BC28" s="1241" t="s">
        <v>1592</v>
      </c>
      <c r="BE28" s="1241">
        <v>2026</v>
      </c>
      <c r="BH28" s="1191" t="s">
        <v>28</v>
      </c>
      <c r="BJ28" s="1189" t="s">
        <v>1476</v>
      </c>
      <c r="BL28" s="1189" t="s">
        <v>1476</v>
      </c>
      <c r="BN28" s="1191" t="s">
        <v>28</v>
      </c>
      <c r="BQ28" s="1402">
        <v>4190073</v>
      </c>
      <c r="BR28" s="1189" t="s">
        <v>1593</v>
      </c>
      <c r="BS28" s="1550"/>
      <c r="BV28" s="1191"/>
      <c r="BW28" s="1191"/>
    </row>
    <row customHeight="1" ht="11.25">
      <c r="A29" s="1195" t="s">
        <v>1594</v>
      </c>
      <c r="D29" s="1225" t="s">
        <v>1595</v>
      </c>
      <c r="E29" s="1226" t="str">
        <f>IF(TEMPLATE_GROUP="","",INDEX(StartDateList,MATCH(TEMPLATE_GROUP,CodeTemplateList,0),1))</f>
        <v>01.01.2026</v>
      </c>
      <c r="F29" s="1226" t="str">
        <f>IF(TEMPLATE_GROUP="","",INDEX(EndDateList,MATCH(TEMPLATE_GROUP,CodeTemplateList,0),1))</f>
        <v>31.12.2026</v>
      </c>
      <c r="H29" s="1227" t="s">
        <v>1596</v>
      </c>
      <c r="AX29" s="1241" t="s">
        <v>1597</v>
      </c>
      <c r="AZ29" s="1241" t="s">
        <v>1243</v>
      </c>
      <c r="BB29" s="1241" t="s">
        <v>1444</v>
      </c>
      <c r="BC29" s="1212"/>
      <c r="BE29" s="1241">
        <v>2027</v>
      </c>
      <c r="BJ29" s="1189" t="s">
        <v>1484</v>
      </c>
      <c r="BL29" s="1189" t="s">
        <v>1484</v>
      </c>
    </row>
    <row customHeight="1" ht="11.25">
      <c r="A30" s="1195" t="s">
        <v>1598</v>
      </c>
      <c r="D30" s="1228"/>
      <c r="E30" s="1229"/>
      <c r="F30" s="1229"/>
      <c r="AX30" s="1241" t="s">
        <v>1599</v>
      </c>
      <c r="AZ30" s="1241" t="s">
        <v>1269</v>
      </c>
      <c r="BE30" s="1241">
        <v>2028</v>
      </c>
      <c r="BJ30" s="1189" t="s">
        <v>1600</v>
      </c>
      <c r="BL30" s="1189" t="s">
        <v>1600</v>
      </c>
    </row>
    <row customHeight="1" ht="12.75">
      <c r="A31" s="1195" t="s">
        <v>1601</v>
      </c>
      <c r="D31" s="1222"/>
      <c r="E31" s="1223"/>
      <c r="F31" s="1223"/>
      <c r="H31" s="1230"/>
      <c r="AX31" s="1241" t="s">
        <v>1602</v>
      </c>
      <c r="AZ31" s="1241" t="s">
        <v>1603</v>
      </c>
      <c r="BE31" s="1241">
        <v>2029</v>
      </c>
      <c r="BJ31" s="1189" t="s">
        <v>1604</v>
      </c>
      <c r="BL31" s="1189" t="s">
        <v>1604</v>
      </c>
    </row>
    <row customHeight="1" ht="11.25">
      <c r="A32" s="1195" t="s">
        <v>1605</v>
      </c>
      <c r="D32" s="1225" t="s">
        <v>1606</v>
      </c>
      <c r="E32" s="1226" t="str">
        <f>IF(TEMPLATE_GROUP="","",INDEX(StartDateList,MATCH(TEMPLATE_GROUP,CodeTemplateList,0),1))</f>
        <v>01.01.2026</v>
      </c>
      <c r="F32" s="1226" t="str">
        <f>IF(TEMPLATE_GROUP="","",INDEX(EndDateList,MATCH(TEMPLATE_GROUP,CodeTemplateList,0),1))</f>
        <v>31.12.2026</v>
      </c>
      <c r="H32" s="1231" t="s">
        <v>1607</v>
      </c>
      <c r="O32" s="1195" t="s">
        <v>470</v>
      </c>
      <c r="AX32" s="1241" t="s">
        <v>1608</v>
      </c>
      <c r="AZ32" s="1241" t="s">
        <v>1337</v>
      </c>
      <c r="BE32" s="1241">
        <v>2030</v>
      </c>
      <c r="BJ32" s="1189" t="s">
        <v>1493</v>
      </c>
      <c r="BL32" s="1189" t="s">
        <v>1493</v>
      </c>
    </row>
    <row customHeight="1" ht="11.25">
      <c r="A33" s="1195" t="s">
        <v>1609</v>
      </c>
      <c r="O33" s="1195" t="s">
        <v>1266</v>
      </c>
      <c r="AX33" s="1241" t="s">
        <v>1610</v>
      </c>
      <c r="AZ33" s="1241" t="s">
        <v>469</v>
      </c>
      <c r="BE33" s="1241">
        <v>2031</v>
      </c>
      <c r="BJ33" s="1189" t="s">
        <v>1500</v>
      </c>
      <c r="BL33" s="1189" t="s">
        <v>1500</v>
      </c>
    </row>
    <row customHeight="1" ht="11.25">
      <c r="A34" s="1195" t="s">
        <v>16</v>
      </c>
      <c r="O34" s="1195" t="s">
        <v>1302</v>
      </c>
      <c r="AX34" s="1241" t="s">
        <v>1611</v>
      </c>
      <c r="BE34" s="1241">
        <v>2032</v>
      </c>
      <c r="BJ34" s="1189" t="s">
        <v>1511</v>
      </c>
      <c r="BL34" s="1189" t="s">
        <v>1511</v>
      </c>
    </row>
    <row customHeight="1" ht="11.25">
      <c r="A35" s="1195" t="s">
        <v>1612</v>
      </c>
      <c r="O35" s="1195" t="s">
        <v>1335</v>
      </c>
      <c r="AX35" s="1241" t="s">
        <v>1613</v>
      </c>
      <c r="AZ35" s="1188" t="s">
        <v>1614</v>
      </c>
      <c r="BE35" s="1241">
        <v>2033</v>
      </c>
      <c r="BL35" s="1189" t="s">
        <v>1615</v>
      </c>
    </row>
    <row customHeight="1" ht="11.25">
      <c r="A36" s="1991" t="s">
        <v>1616</v>
      </c>
      <c r="D36" s="1232" t="s">
        <v>1617</v>
      </c>
      <c r="E36" s="1233" t="s">
        <v>829</v>
      </c>
      <c r="F36" s="1234" t="str">
        <f>INDEX(E37:E41,MATCH(TEMPLATE_SPHERE,F37:F41,0))</f>
        <v>теплоснабжения</v>
      </c>
      <c r="G36" s="1234" t="str">
        <f>INDEX(G37:G41,MATCH(TEMPLATE_SPHERE,F37:F41,0))</f>
        <v>теплоснабжение</v>
      </c>
      <c r="O36" s="1195" t="s">
        <v>1360</v>
      </c>
      <c r="AX36" s="1241" t="s">
        <v>1618</v>
      </c>
      <c r="AZ36" s="1241" t="s">
        <v>469</v>
      </c>
      <c r="BE36" s="1241">
        <v>2034</v>
      </c>
      <c r="BL36" s="1189" t="s">
        <v>1619</v>
      </c>
    </row>
    <row customHeight="1" ht="11.25">
      <c r="A37" s="1195" t="s">
        <v>1620</v>
      </c>
      <c r="E37" s="528" t="s">
        <v>1621</v>
      </c>
      <c r="F37" s="1235" t="s">
        <v>829</v>
      </c>
      <c r="G37" s="528" t="s">
        <v>1622</v>
      </c>
      <c r="O37" s="1195" t="s">
        <v>1379</v>
      </c>
      <c r="AX37" s="1241" t="s">
        <v>1623</v>
      </c>
      <c r="AZ37" s="1241" t="s">
        <v>1268</v>
      </c>
      <c r="BE37" s="1241">
        <v>2035</v>
      </c>
    </row>
    <row customHeight="1" ht="11.25">
      <c r="A38" s="1195" t="s">
        <v>1624</v>
      </c>
      <c r="E38" s="528" t="s">
        <v>1625</v>
      </c>
      <c r="F38" s="1236" t="s">
        <v>875</v>
      </c>
      <c r="G38" s="528" t="s">
        <v>1626</v>
      </c>
      <c r="O38" s="1195" t="s">
        <v>1396</v>
      </c>
      <c r="AX38" s="1241" t="s">
        <v>1627</v>
      </c>
      <c r="AZ38" s="1241" t="s">
        <v>1303</v>
      </c>
      <c r="BE38" s="1241">
        <v>2036</v>
      </c>
      <c r="BH38" s="1188" t="s">
        <v>1628</v>
      </c>
      <c r="BJ38" s="1188" t="s">
        <v>1629</v>
      </c>
      <c r="BL38" s="1188" t="s">
        <v>1630</v>
      </c>
      <c r="BN38" s="1188" t="s">
        <v>1631</v>
      </c>
    </row>
    <row customHeight="1" ht="11.25">
      <c r="A39" s="1195" t="s">
        <v>1632</v>
      </c>
      <c r="E39" s="528" t="s">
        <v>1633</v>
      </c>
      <c r="F39" s="1236" t="s">
        <v>928</v>
      </c>
      <c r="G39" s="528" t="s">
        <v>1634</v>
      </c>
      <c r="O39" s="1195" t="s">
        <v>1412</v>
      </c>
      <c r="AX39" s="1241" t="s">
        <v>1635</v>
      </c>
      <c r="AZ39" s="1241" t="s">
        <v>1336</v>
      </c>
      <c r="BE39" s="1241">
        <v>2037</v>
      </c>
      <c r="BH39" s="1189" t="s">
        <v>1636</v>
      </c>
      <c r="BJ39" s="1338" t="s">
        <v>1636</v>
      </c>
      <c r="BL39" s="1338" t="s">
        <v>1636</v>
      </c>
      <c r="BN39" s="1189" t="s">
        <v>1637</v>
      </c>
    </row>
    <row customHeight="1" ht="11.25">
      <c r="A40" s="1195" t="s">
        <v>1638</v>
      </c>
      <c r="E40" s="528" t="s">
        <v>1639</v>
      </c>
      <c r="F40" s="1236" t="s">
        <v>915</v>
      </c>
      <c r="G40" s="528" t="s">
        <v>1640</v>
      </c>
      <c r="O40" s="1195" t="s">
        <v>1428</v>
      </c>
      <c r="AX40" s="1241" t="s">
        <v>114</v>
      </c>
      <c r="BE40" s="1241">
        <v>2038</v>
      </c>
      <c r="BH40" s="1189" t="s">
        <v>1641</v>
      </c>
      <c r="BJ40" s="1338" t="s">
        <v>1048</v>
      </c>
      <c r="BL40" s="1338" t="s">
        <v>1048</v>
      </c>
      <c r="BN40" s="1189" t="s">
        <v>1082</v>
      </c>
    </row>
    <row customHeight="1" ht="11.25">
      <c r="A41" s="1195" t="s">
        <v>1642</v>
      </c>
      <c r="E41" s="528" t="s">
        <v>1643</v>
      </c>
      <c r="F41" s="1236" t="s">
        <v>1644</v>
      </c>
      <c r="G41" s="528" t="s">
        <v>1643</v>
      </c>
      <c r="O41" s="1195" t="s">
        <v>1444</v>
      </c>
      <c r="AX41" s="1241" t="s">
        <v>1645</v>
      </c>
      <c r="AZ41" s="1188" t="s">
        <v>1646</v>
      </c>
      <c r="BE41" s="1241">
        <v>2039</v>
      </c>
      <c r="BH41" s="1189" t="s">
        <v>1647</v>
      </c>
      <c r="BJ41" s="1338" t="s">
        <v>1044</v>
      </c>
      <c r="BL41" s="1338" t="s">
        <v>1044</v>
      </c>
      <c r="BN41" s="1189" t="s">
        <v>1069</v>
      </c>
    </row>
    <row customHeight="1" ht="11.25">
      <c r="A42" s="1195" t="s">
        <v>1648</v>
      </c>
      <c r="AX42" s="1241" t="s">
        <v>1649</v>
      </c>
      <c r="AZ42" s="1241" t="s">
        <v>470</v>
      </c>
      <c r="BE42" s="1241">
        <v>2040</v>
      </c>
      <c r="BH42" s="1189" t="s">
        <v>1066</v>
      </c>
      <c r="BJ42" s="1338" t="s">
        <v>1046</v>
      </c>
      <c r="BL42" s="1338" t="s">
        <v>1046</v>
      </c>
      <c r="BN42" s="1189" t="s">
        <v>1650</v>
      </c>
    </row>
    <row customHeight="1" ht="11.25">
      <c r="A43" s="1195" t="s">
        <v>1651</v>
      </c>
      <c r="AX43" s="1241" t="s">
        <v>1652</v>
      </c>
      <c r="AZ43" s="1241" t="s">
        <v>1266</v>
      </c>
      <c r="BE43" s="1241">
        <v>2041</v>
      </c>
      <c r="BH43" s="1189" t="s">
        <v>1653</v>
      </c>
      <c r="BJ43" s="1338" t="s">
        <v>1647</v>
      </c>
      <c r="BL43" s="1338" t="s">
        <v>1647</v>
      </c>
      <c r="BN43" s="1189" t="s">
        <v>1654</v>
      </c>
    </row>
    <row customHeight="1" ht="11.25">
      <c r="A44" s="1195" t="s">
        <v>1655</v>
      </c>
      <c r="G44" s="1215">
        <f>YEAR(TODAY())</f>
        <v>2025</v>
      </c>
      <c r="I44" s="920" t="s">
        <v>1656</v>
      </c>
      <c r="J44" s="1210" t="s">
        <v>1657</v>
      </c>
      <c r="K44" s="1210" t="s">
        <v>1658</v>
      </c>
      <c r="AX44" s="1241" t="s">
        <v>1659</v>
      </c>
      <c r="AZ44" s="1241" t="s">
        <v>1302</v>
      </c>
      <c r="BE44" s="1241">
        <v>2042</v>
      </c>
      <c r="BH44" s="1189" t="s">
        <v>1660</v>
      </c>
      <c r="BJ44" s="1338" t="s">
        <v>1066</v>
      </c>
      <c r="BL44" s="1338" t="s">
        <v>1066</v>
      </c>
      <c r="BN44" s="1189" t="s">
        <v>1661</v>
      </c>
    </row>
    <row customHeight="1" ht="11.25">
      <c r="A45" s="1195" t="s">
        <v>1662</v>
      </c>
      <c r="D45" s="1232" t="s">
        <v>1663</v>
      </c>
      <c r="E45" s="1233" t="s">
        <v>1664</v>
      </c>
      <c r="F45" s="918" t="s">
        <v>1665</v>
      </c>
      <c r="G45" s="917" t="s">
        <v>1666</v>
      </c>
      <c r="H45" s="920" t="s">
        <v>1667</v>
      </c>
      <c r="I45" s="1862">
        <f>INDEX(PeriodIsEmptyList,MATCH(TEMPLATE_GROUP,CodeTemplateList,0),1)</f>
        <v>0</v>
      </c>
      <c r="J45" s="186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1" t="s">
        <v>1668</v>
      </c>
      <c r="AZ45" s="1241" t="s">
        <v>1335</v>
      </c>
      <c r="BE45" s="1241">
        <v>2043</v>
      </c>
      <c r="BH45" s="1189" t="s">
        <v>1669</v>
      </c>
      <c r="BJ45" s="1338" t="s">
        <v>1060</v>
      </c>
      <c r="BL45" s="1338" t="s">
        <v>1060</v>
      </c>
      <c r="BN45" s="1189" t="s">
        <v>1670</v>
      </c>
    </row>
    <row customHeight="1" ht="11.25">
      <c r="A46" s="1195" t="s">
        <v>1671</v>
      </c>
      <c r="E46" s="528" t="s">
        <v>26</v>
      </c>
      <c r="F46" s="1235" t="s">
        <v>1672</v>
      </c>
      <c r="G46" s="1237" t="str">
        <f>_xlfn.IFERROR(IF(TITLE_DATE_FIL="","01.01."&amp;CURRENT_YEAR,"01.01."&amp;YEAR(TITLE_DATE_FIL)),"01.01."&amp;CURRENT_YEAR)</f>
        <v>01.01.2025</v>
      </c>
      <c r="H46" s="1237"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(теплоснабжения)</v>
      </c>
      <c r="K46" s="1867"/>
      <c r="AX46" s="1241" t="s">
        <v>1673</v>
      </c>
      <c r="AZ46" s="1241" t="s">
        <v>1360</v>
      </c>
      <c r="BE46" s="1241">
        <v>2044</v>
      </c>
      <c r="BH46" s="1189" t="s">
        <v>1069</v>
      </c>
      <c r="BJ46" s="1338" t="s">
        <v>1050</v>
      </c>
      <c r="BL46" s="1338" t="s">
        <v>1050</v>
      </c>
      <c r="BN46" s="1189" t="s">
        <v>1674</v>
      </c>
    </row>
    <row customHeight="1" ht="11.25">
      <c r="A47" s="1195" t="s">
        <v>1675</v>
      </c>
      <c r="E47" s="528" t="s">
        <v>33</v>
      </c>
      <c r="F47" s="1236" t="s">
        <v>1676</v>
      </c>
      <c r="G47" s="1237" t="str">
        <f>_xlfn.IFERROR(IF(f_year="","01.01."&amp;CURRENT_YEAR,IF(LEN(f_quart)=0,"01.01."&amp;f_year,IF(f_quart="I квартал","01.01."&amp;f_year,IF(f_quart="II квартал","01.04."&amp;f_year,(IF(f_quart="III квартал","01.07."&amp;f_year,"01.10."&amp;f_year)))))),"01.01."&amp;CURRENT_YEAR)</f>
        <v>01.01.2025</v>
      </c>
      <c r="H47" s="1237" t="str">
        <f>_xlfn.IFERROR(IF(f_year="","31.12."&amp;CURRENT_YEAR,IF(LEN(f_quart)=0,"31.12."&amp;f_year,IF(f_quart="I квартал","31.03."&amp;f_year,IF(f_quart="II квартал","30.06."&amp;f_year,(IF(f_quart="III квартал","30.09."&amp;f_year,"31.12."&amp;f_year)))))),"31.12."&amp;CURRENT_YEAR)</f>
        <v>31.12.2025</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7"/>
      <c r="AX47" s="1241" t="s">
        <v>105</v>
      </c>
      <c r="AZ47" s="1241" t="s">
        <v>1379</v>
      </c>
      <c r="BE47" s="1241">
        <v>2045</v>
      </c>
      <c r="BH47" s="1189" t="s">
        <v>1650</v>
      </c>
      <c r="BJ47" s="1338" t="s">
        <v>1052</v>
      </c>
      <c r="BL47" s="1338" t="s">
        <v>1052</v>
      </c>
      <c r="BN47" s="1189" t="s">
        <v>1677</v>
      </c>
    </row>
    <row customHeight="1" ht="11.25">
      <c r="A48" s="1195" t="s">
        <v>1678</v>
      </c>
      <c r="E48" s="528" t="s">
        <v>1679</v>
      </c>
      <c r="F48" s="1236" t="s">
        <v>1680</v>
      </c>
      <c r="G48" s="1237" t="str">
        <f>_xlfn.IFERROR(IF(f_year="","01.01."&amp;CURRENT_YEAR,"01.01."&amp;f_year),"01.01."&amp;CURRENT_YEAR)</f>
        <v>01.01.2025</v>
      </c>
      <c r="H48" s="1237" t="str">
        <f>_xlfn.IFERROR(IF(f_year="","31.12."&amp;CURRENT_YEAR,"31.12."&amp;f_year),"31.12."&amp;CURRENT_YEAR)</f>
        <v>31.12.2025</v>
      </c>
      <c r="I48" s="1863">
        <f>IF(f_year="",TRUE,FALSE)</f>
        <v>1</v>
      </c>
      <c r="J48" s="1866" t="s">
        <v>1681</v>
      </c>
      <c r="K48" s="1867"/>
      <c r="AX48" s="1241" t="s">
        <v>99</v>
      </c>
      <c r="AZ48" s="1241" t="s">
        <v>1396</v>
      </c>
      <c r="BE48" s="1241">
        <v>2046</v>
      </c>
      <c r="BH48" s="1189" t="s">
        <v>1654</v>
      </c>
      <c r="BJ48" s="1338" t="s">
        <v>1054</v>
      </c>
      <c r="BL48" s="1338" t="s">
        <v>1054</v>
      </c>
      <c r="BN48" s="1189" t="s">
        <v>1682</v>
      </c>
    </row>
    <row customHeight="1" ht="11.25">
      <c r="A49" s="1195" t="s">
        <v>1683</v>
      </c>
      <c r="E49" s="528" t="s">
        <v>1684</v>
      </c>
      <c r="F49" s="1236" t="s">
        <v>1685</v>
      </c>
      <c r="G49" s="1237" t="str">
        <f>_xlfn.IFERROR(IF(f_year="","01.01."&amp;CURRENT_YEAR,"01.01."&amp;f_year),"01.01."&amp;CURRENT_YEAR)</f>
        <v>01.01.2025</v>
      </c>
      <c r="H49" s="1237" t="str">
        <f>_xlfn.IFERROR(IF(f_year="","31.12."&amp;CURRENT_YEAR,"31.12."&amp;f_year),"31.12."&amp;CURRENT_YEAR)</f>
        <v>31.12.2025</v>
      </c>
      <c r="I49" s="1863">
        <f>IF(f_year="",TRUE,FALSE)</f>
        <v>1</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7"/>
      <c r="AX49" s="1241" t="s">
        <v>1686</v>
      </c>
      <c r="AZ49" s="1241" t="s">
        <v>1412</v>
      </c>
      <c r="BE49" s="1241">
        <v>2047</v>
      </c>
      <c r="BH49" s="1189" t="s">
        <v>1070</v>
      </c>
      <c r="BJ49" s="1338" t="s">
        <v>1056</v>
      </c>
      <c r="BL49" s="1338" t="s">
        <v>1056</v>
      </c>
    </row>
    <row customHeight="1" ht="11.25">
      <c r="A50" s="1195" t="s">
        <v>1687</v>
      </c>
      <c r="E50" s="528" t="s">
        <v>1688</v>
      </c>
      <c r="F50" s="1236" t="s">
        <v>1040</v>
      </c>
      <c r="G50" s="1237" t="str">
        <f>_xlfn.IFERROR(IF(f_year="","01.01."&amp;CURRENT_YEAR,"01.01."&amp;f_year),"01.01."&amp;CURRENT_YEAR)</f>
        <v>01.01.2025</v>
      </c>
      <c r="H50" s="1237" t="str">
        <f>_xlfn.IFERROR(IF(f_year="","31.12."&amp;CURRENT_YEAR,"31.12."&amp;f_year),"31.12."&amp;CURRENT_YEAR)</f>
        <v>31.12.2025</v>
      </c>
      <c r="I50" s="1863">
        <f>IF(f_year="",TRUE,FALSE)</f>
        <v>1</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7"/>
      <c r="AX50" s="1241" t="s">
        <v>1689</v>
      </c>
      <c r="AZ50" s="1241" t="s">
        <v>1428</v>
      </c>
      <c r="BE50" s="1241">
        <v>2048</v>
      </c>
      <c r="BH50" s="1189" t="s">
        <v>1661</v>
      </c>
      <c r="BJ50" s="1338" t="s">
        <v>1058</v>
      </c>
      <c r="BL50" s="1338" t="s">
        <v>1058</v>
      </c>
    </row>
    <row customHeight="1" ht="11.25">
      <c r="A51" s="1195" t="s">
        <v>1690</v>
      </c>
      <c r="E51" s="528" t="s">
        <v>1691</v>
      </c>
      <c r="F51" s="1236" t="s">
        <v>1664</v>
      </c>
      <c r="G51" s="1237" t="str">
        <f>_xlfn.IFERROR(IF(TITLE_PERIOD_START="","01.01."&amp;CURRENT_YEAR,"01.01."&amp;YEAR(TITLE_PERIOD_START)),"01.01."&amp;CURRENT_YEAR)</f>
        <v>01.01.2026</v>
      </c>
      <c r="H51" s="1237" t="str">
        <f>_xlfn.IFERROR(IF(TITLE_PERIOD_END="","31.12."&amp;CURRENT_YEAR,"31.12."&amp;YEAR(TITLE_PERIOD_END)),"31.12."&amp;CURRENT_YEAR)</f>
        <v>31.12.2026</v>
      </c>
      <c r="I51" s="1864">
        <f>IF(OR(TITLE_PERIOD_START="",TITLE_PERIOD_END=""),TRUE,FALSE)</f>
        <v>0</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1692</v>
      </c>
      <c r="AZ51" s="1241" t="s">
        <v>1444</v>
      </c>
      <c r="BE51" s="1241">
        <v>2049</v>
      </c>
      <c r="BH51" s="1189" t="s">
        <v>1670</v>
      </c>
      <c r="BJ51" s="1338" t="s">
        <v>1693</v>
      </c>
      <c r="BL51" s="1338" t="s">
        <v>1693</v>
      </c>
    </row>
    <row customHeight="1" ht="11.25">
      <c r="A52" s="1195" t="s">
        <v>1694</v>
      </c>
      <c r="E52" s="528" t="s">
        <v>1695</v>
      </c>
      <c r="F52" s="1236" t="s">
        <v>1696</v>
      </c>
      <c r="G52" s="1237" t="str">
        <f>_xlfn.IFERROR(IF(TITLE_PERIOD_START="","01.01."&amp;CURRENT_YEAR,"01.01."&amp;YEAR(TITLE_PERIOD_START)),"01.01."&amp;CURRENT_YEAR)</f>
        <v>01.01.2026</v>
      </c>
      <c r="H52" s="1237" t="str">
        <f>_xlfn.IFERROR(IF(TITLE_PERIOD_END="","31.12."&amp;CURRENT_YEAR,"31.12."&amp;YEAR(TITLE_PERIOD_END)),"31.12."&amp;CURRENT_YEAR)</f>
        <v>31.12.2026</v>
      </c>
      <c r="I52" s="1864">
        <f>IF(OR(TITLE_PERIOD_START="",TITLE_PERIOD_END=""),TRUE,FALSE)</f>
        <v>0</v>
      </c>
      <c r="J52" s="1866" t="str">
        <f>"Показатели, подлежащие раскрытию в сфере "&amp;TEMPLATE_SPHERE_RUS&amp;" (цены и тарифы)"</f>
        <v>Показатели, подлежащие раскрытию в сфере теплоснабжения (цены и тарифы)</v>
      </c>
      <c r="K52" s="1867"/>
      <c r="AX52" s="1241" t="s">
        <v>1697</v>
      </c>
      <c r="AZ52" s="1241" t="s">
        <v>469</v>
      </c>
      <c r="BE52" s="1241">
        <v>2050</v>
      </c>
      <c r="BH52" s="1189" t="s">
        <v>1674</v>
      </c>
      <c r="BJ52" s="1338" t="s">
        <v>1069</v>
      </c>
      <c r="BL52" s="1338" t="s">
        <v>1069</v>
      </c>
    </row>
    <row customHeight="1" ht="11.25">
      <c r="A53" s="1195" t="s">
        <v>1698</v>
      </c>
      <c r="E53" s="528" t="s">
        <v>1699</v>
      </c>
      <c r="F53" s="1236" t="s">
        <v>1699</v>
      </c>
      <c r="G53" s="1237" t="str">
        <f>_xlfn.IFERROR(IF(f_year="","01.01."&amp;CURRENT_YEAR,"01.01."&amp;f_year),"01.01."&amp;CURRENT_YEAR)</f>
        <v>01.01.2025</v>
      </c>
      <c r="H53" s="1237" t="str">
        <f>_xlfn.IFERROR(IF(f_year="","31.12."&amp;CURRENT_YEAR,"31.12."&amp;f_year),"31.12."&amp;CURRENT_YEAR)</f>
        <v>31.12.2025</v>
      </c>
      <c r="I53" s="1863">
        <f>IF(AND(f_year="",TITLE_DATE_FIL=""),TRUE,FALSE)</f>
        <v>1</v>
      </c>
      <c r="J53" s="1866" t="s">
        <v>1700</v>
      </c>
      <c r="K53" s="1867"/>
      <c r="AX53" s="1241" t="s">
        <v>1701</v>
      </c>
      <c r="BE53" s="1241">
        <v>2051</v>
      </c>
      <c r="BH53" s="1189" t="s">
        <v>1677</v>
      </c>
      <c r="BJ53" s="1338" t="s">
        <v>1650</v>
      </c>
      <c r="BL53" s="1338" t="s">
        <v>1650</v>
      </c>
    </row>
    <row customHeight="1" ht="11.25">
      <c r="A54" s="1195" t="s">
        <v>1702</v>
      </c>
      <c r="AX54" s="1241" t="s">
        <v>1703</v>
      </c>
      <c r="AZ54" s="1188" t="s">
        <v>1704</v>
      </c>
      <c r="BE54" s="1241">
        <v>2052</v>
      </c>
      <c r="BH54" s="1189" t="s">
        <v>1682</v>
      </c>
      <c r="BJ54" s="1338" t="s">
        <v>1654</v>
      </c>
      <c r="BL54" s="1338" t="s">
        <v>1654</v>
      </c>
    </row>
    <row customHeight="1" ht="11.25">
      <c r="A55" s="1195" t="s">
        <v>1705</v>
      </c>
      <c r="AX55" s="1241" t="s">
        <v>1706</v>
      </c>
      <c r="AZ55" s="1241" t="s">
        <v>1244</v>
      </c>
      <c r="BE55" s="1241">
        <v>2053</v>
      </c>
      <c r="BH55" s="1191" t="s">
        <v>28</v>
      </c>
      <c r="BJ55" s="1338" t="s">
        <v>1070</v>
      </c>
      <c r="BL55" s="1338" t="s">
        <v>1070</v>
      </c>
    </row>
    <row customHeight="1" ht="11.25">
      <c r="A56" s="1195" t="s">
        <v>1707</v>
      </c>
      <c r="D56" s="1239" t="s">
        <v>1708</v>
      </c>
      <c r="E56" s="1216" t="s">
        <v>1701</v>
      </c>
      <c r="F56" s="1195" t="s">
        <v>1709</v>
      </c>
      <c r="AX56" s="1241" t="s">
        <v>1710</v>
      </c>
      <c r="AZ56" s="1241" t="s">
        <v>1270</v>
      </c>
      <c r="BE56" s="1241">
        <v>2054</v>
      </c>
      <c r="BH56" s="1191" t="s">
        <v>28</v>
      </c>
      <c r="BJ56" s="1338" t="s">
        <v>1661</v>
      </c>
      <c r="BL56" s="1338" t="s">
        <v>1661</v>
      </c>
    </row>
    <row customHeight="1" ht="11.25">
      <c r="A57" s="1195" t="s">
        <v>1711</v>
      </c>
      <c r="D57" s="1239" t="s">
        <v>1712</v>
      </c>
      <c r="E57" s="1216" t="s">
        <v>124</v>
      </c>
      <c r="F57" s="1195" t="s">
        <v>1709</v>
      </c>
      <c r="AX57" s="1241" t="s">
        <v>1713</v>
      </c>
      <c r="AZ57" s="1241" t="s">
        <v>1305</v>
      </c>
      <c r="BE57" s="1241">
        <v>2055</v>
      </c>
      <c r="BJ57" s="1338" t="s">
        <v>1670</v>
      </c>
      <c r="BL57" s="1338" t="s">
        <v>1670</v>
      </c>
    </row>
    <row customHeight="1" ht="11.25">
      <c r="A58" s="1195" t="s">
        <v>1714</v>
      </c>
      <c r="D58" s="1239" t="s">
        <v>1715</v>
      </c>
      <c r="E58" s="1216" t="s">
        <v>124</v>
      </c>
      <c r="F58" s="1195" t="s">
        <v>1709</v>
      </c>
      <c r="AX58" s="1241" t="s">
        <v>1716</v>
      </c>
      <c r="BE58" s="1241">
        <v>2056</v>
      </c>
      <c r="BJ58" s="1338" t="s">
        <v>1674</v>
      </c>
      <c r="BL58" s="1338" t="s">
        <v>1674</v>
      </c>
    </row>
    <row customHeight="1" ht="11.25">
      <c r="A59" s="1195" t="s">
        <v>1717</v>
      </c>
      <c r="D59" s="1239" t="s">
        <v>144</v>
      </c>
      <c r="E59" s="1216" t="s">
        <v>1608</v>
      </c>
      <c r="F59" s="1195" t="s">
        <v>1718</v>
      </c>
      <c r="AX59" s="1241" t="s">
        <v>1719</v>
      </c>
      <c r="AZ59" s="1188" t="s">
        <v>1720</v>
      </c>
      <c r="BE59" s="1241">
        <v>2057</v>
      </c>
      <c r="BJ59" s="1338" t="s">
        <v>1677</v>
      </c>
      <c r="BL59" s="1338" t="s">
        <v>1677</v>
      </c>
    </row>
    <row customHeight="1" ht="11.25">
      <c r="A60" s="1195" t="s">
        <v>1721</v>
      </c>
      <c r="D60" s="1239" t="s">
        <v>1722</v>
      </c>
      <c r="E60" s="1216" t="s">
        <v>1608</v>
      </c>
      <c r="F60" s="1195" t="s">
        <v>1718</v>
      </c>
      <c r="AX60" s="1241" t="s">
        <v>1723</v>
      </c>
      <c r="AZ60" s="1241" t="s">
        <v>1245</v>
      </c>
      <c r="BE60" s="1241">
        <v>2058</v>
      </c>
      <c r="BJ60" s="1338" t="s">
        <v>1682</v>
      </c>
      <c r="BL60" s="1338" t="s">
        <v>1682</v>
      </c>
    </row>
    <row customHeight="1" ht="11.25">
      <c r="A61" s="1195" t="s">
        <v>1724</v>
      </c>
      <c r="D61" s="1239" t="s">
        <v>1725</v>
      </c>
      <c r="E61" s="1216" t="s">
        <v>1726</v>
      </c>
      <c r="F61" s="1195" t="s">
        <v>1718</v>
      </c>
      <c r="AX61" s="1241" t="s">
        <v>1727</v>
      </c>
      <c r="AZ61" s="1241" t="s">
        <v>1271</v>
      </c>
      <c r="BE61" s="1241">
        <v>2059</v>
      </c>
      <c r="BL61" s="1338" t="s">
        <v>1062</v>
      </c>
    </row>
    <row customHeight="1" ht="11.25">
      <c r="A62" s="1195" t="s">
        <v>1728</v>
      </c>
      <c r="D62" s="1239" t="s">
        <v>143</v>
      </c>
      <c r="E62" s="1216">
        <v>32</v>
      </c>
      <c r="F62" s="1195" t="s">
        <v>1718</v>
      </c>
      <c r="AZ62" s="1241" t="s">
        <v>1306</v>
      </c>
      <c r="BE62" s="1241">
        <v>2060</v>
      </c>
      <c r="BL62" s="1338" t="s">
        <v>1064</v>
      </c>
    </row>
    <row customHeight="1" ht="11.25">
      <c r="A63" s="1195" t="s">
        <v>1729</v>
      </c>
      <c r="D63" s="1239" t="s">
        <v>1730</v>
      </c>
      <c r="E63" s="1216">
        <v>32</v>
      </c>
      <c r="F63" s="1195" t="s">
        <v>1718</v>
      </c>
      <c r="AZ63" s="1241" t="s">
        <v>1338</v>
      </c>
      <c r="BE63" s="1241">
        <v>2061</v>
      </c>
    </row>
    <row customHeight="1" ht="11.25">
      <c r="A64" s="1195" t="s">
        <v>1731</v>
      </c>
      <c r="D64" s="1239" t="s">
        <v>1732</v>
      </c>
      <c r="E64" s="1216">
        <v>32</v>
      </c>
      <c r="F64" s="1195" t="s">
        <v>1718</v>
      </c>
      <c r="AZ64" s="1241" t="s">
        <v>1361</v>
      </c>
      <c r="BE64" s="1241">
        <v>2062</v>
      </c>
    </row>
    <row customHeight="1" ht="11.25">
      <c r="A65" s="1195" t="s">
        <v>1733</v>
      </c>
      <c r="D65" s="1195"/>
      <c r="BE65" s="1241">
        <v>2063</v>
      </c>
    </row>
    <row customHeight="1" ht="11.25">
      <c r="A66" s="1195" t="s">
        <v>1734</v>
      </c>
      <c r="AZ66" s="1188" t="s">
        <v>1735</v>
      </c>
      <c r="BE66" s="1241">
        <v>2064</v>
      </c>
    </row>
    <row customHeight="1" ht="11.25">
      <c r="A67" s="1195" t="s">
        <v>1736</v>
      </c>
      <c r="AZ67" s="1241" t="s">
        <v>1246</v>
      </c>
      <c r="BE67" s="1241">
        <v>2065</v>
      </c>
    </row>
    <row customHeight="1" ht="11.25">
      <c r="A68" s="1195" t="s">
        <v>1737</v>
      </c>
      <c r="AZ68" s="1241" t="s">
        <v>1272</v>
      </c>
      <c r="BE68" s="1241">
        <v>2066</v>
      </c>
      <c r="BH68" s="1188" t="s">
        <v>1738</v>
      </c>
      <c r="BJ68" s="1188" t="s">
        <v>1739</v>
      </c>
      <c r="BL68" s="1188" t="s">
        <v>1740</v>
      </c>
      <c r="BN68" s="1188" t="s">
        <v>1741</v>
      </c>
    </row>
    <row customHeight="1" ht="11.25">
      <c r="A69" s="1195" t="s">
        <v>1742</v>
      </c>
      <c r="AZ69" s="1241" t="s">
        <v>1307</v>
      </c>
      <c r="BE69" s="1241">
        <v>2067</v>
      </c>
      <c r="BH69" s="1189" t="s">
        <v>1743</v>
      </c>
      <c r="BI69" s="1238" t="s">
        <v>123</v>
      </c>
      <c r="BJ69" s="1189" t="s">
        <v>1744</v>
      </c>
      <c r="BK69" s="1238" t="s">
        <v>123</v>
      </c>
      <c r="BL69" s="1189" t="s">
        <v>1745</v>
      </c>
      <c r="BM69" s="1191" t="s">
        <v>123</v>
      </c>
      <c r="BN69" s="1189" t="s">
        <v>1746</v>
      </c>
    </row>
    <row customHeight="1" ht="11.25">
      <c r="A70" s="1195" t="s">
        <v>1747</v>
      </c>
      <c r="AZ70" s="1241" t="s">
        <v>1339</v>
      </c>
      <c r="BE70" s="1241">
        <v>2068</v>
      </c>
      <c r="BH70" s="1189" t="s">
        <v>1748</v>
      </c>
      <c r="BJ70" s="1189" t="s">
        <v>1749</v>
      </c>
      <c r="BL70" s="1189" t="s">
        <v>1750</v>
      </c>
      <c r="BN70" s="1189" t="s">
        <v>1751</v>
      </c>
    </row>
    <row customHeight="1" ht="11.25">
      <c r="A71" s="1195" t="s">
        <v>1752</v>
      </c>
      <c r="AZ71" s="1241" t="s">
        <v>1341</v>
      </c>
      <c r="BE71" s="1241">
        <v>2069</v>
      </c>
      <c r="BH71" s="1189" t="s">
        <v>1753</v>
      </c>
      <c r="BI71" s="1238" t="s">
        <v>90</v>
      </c>
      <c r="BJ71" s="1189" t="s">
        <v>1754</v>
      </c>
      <c r="BK71" s="1238" t="s">
        <v>90</v>
      </c>
      <c r="BL71" s="1189" t="s">
        <v>1755</v>
      </c>
      <c r="BM71" s="1191" t="s">
        <v>90</v>
      </c>
      <c r="BN71" s="1189" t="s">
        <v>1756</v>
      </c>
    </row>
    <row customHeight="1" ht="11.25">
      <c r="A72" s="1195" t="s">
        <v>1757</v>
      </c>
      <c r="AZ72" s="1241" t="s">
        <v>19</v>
      </c>
      <c r="BE72" s="1241">
        <v>2070</v>
      </c>
      <c r="BH72" s="1189" t="s">
        <v>1758</v>
      </c>
      <c r="BJ72" s="1189" t="s">
        <v>1758</v>
      </c>
      <c r="BL72" s="1189" t="s">
        <v>1758</v>
      </c>
      <c r="BN72" s="1189" t="s">
        <v>1759</v>
      </c>
    </row>
    <row customHeight="1" ht="11.25">
      <c r="A73" s="1195" t="s">
        <v>1760</v>
      </c>
      <c r="BH73" s="1189" t="s">
        <v>1761</v>
      </c>
      <c r="BI73" s="1238" t="s">
        <v>124</v>
      </c>
      <c r="BJ73" s="1189" t="s">
        <v>1762</v>
      </c>
      <c r="BK73" s="1238" t="s">
        <v>124</v>
      </c>
      <c r="BL73" s="1189" t="s">
        <v>1763</v>
      </c>
      <c r="BM73" s="1191" t="s">
        <v>124</v>
      </c>
      <c r="BN73" s="1189" t="s">
        <v>1764</v>
      </c>
    </row>
    <row customHeight="1" ht="11.25">
      <c r="A74" s="1195" t="s">
        <v>1765</v>
      </c>
      <c r="BH74" s="1189" t="s">
        <v>1766</v>
      </c>
      <c r="BJ74" s="1189" t="s">
        <v>1767</v>
      </c>
      <c r="BL74" s="1189" t="s">
        <v>1768</v>
      </c>
      <c r="BN74" s="1189" t="s">
        <v>1769</v>
      </c>
    </row>
    <row customHeight="1" ht="11.25">
      <c r="A75" s="1195" t="s">
        <v>1770</v>
      </c>
      <c r="AZ75" s="1188" t="s">
        <v>1771</v>
      </c>
      <c r="BH75" s="1189" t="s">
        <v>1772</v>
      </c>
      <c r="BJ75" s="1189" t="s">
        <v>1772</v>
      </c>
      <c r="BL75" s="1189" t="s">
        <v>1772</v>
      </c>
    </row>
    <row customHeight="1" ht="11.25">
      <c r="A76" s="1195" t="s">
        <v>1773</v>
      </c>
      <c r="AZ76" s="1241" t="s">
        <v>1255</v>
      </c>
      <c r="BH76" s="1189" t="s">
        <v>1774</v>
      </c>
      <c r="BJ76" s="1189" t="s">
        <v>1775</v>
      </c>
      <c r="BL76" s="1189" t="s">
        <v>1776</v>
      </c>
    </row>
    <row customHeight="1" ht="11.25">
      <c r="A77" s="1195" t="s">
        <v>1777</v>
      </c>
      <c r="AZ77" s="1241" t="s">
        <v>1282</v>
      </c>
    </row>
    <row customHeight="1" ht="11.25">
      <c r="A78" s="1195" t="s">
        <v>1778</v>
      </c>
      <c r="AZ78" s="1241" t="s">
        <v>1314</v>
      </c>
    </row>
    <row customHeight="1" ht="11.25">
      <c r="A79" s="1195" t="s">
        <v>1779</v>
      </c>
      <c r="AZ79" s="1241" t="s">
        <v>1345</v>
      </c>
      <c r="BH79" s="1188" t="s">
        <v>1780</v>
      </c>
      <c r="BJ79" s="1188" t="s">
        <v>1781</v>
      </c>
      <c r="BL79" s="1188" t="s">
        <v>1782</v>
      </c>
    </row>
    <row customHeight="1" ht="11.25">
      <c r="A80" s="1195" t="s">
        <v>1783</v>
      </c>
      <c r="AZ80" s="1241" t="s">
        <v>1366</v>
      </c>
      <c r="BH80" s="1189" t="s">
        <v>1784</v>
      </c>
      <c r="BJ80" s="1189" t="s">
        <v>1785</v>
      </c>
      <c r="BL80" s="1189" t="s">
        <v>1786</v>
      </c>
    </row>
    <row customHeight="1" ht="11.25">
      <c r="A81" s="1195" t="s">
        <v>1787</v>
      </c>
      <c r="AZ81" s="1241" t="s">
        <v>1383</v>
      </c>
      <c r="BH81" s="1189" t="s">
        <v>1788</v>
      </c>
      <c r="BJ81" s="1189" t="s">
        <v>1789</v>
      </c>
      <c r="BL81" s="1189" t="s">
        <v>1790</v>
      </c>
    </row>
    <row customHeight="1" ht="11.25">
      <c r="A82" s="1195" t="s">
        <v>1791</v>
      </c>
      <c r="AZ82" s="1241" t="s">
        <v>1398</v>
      </c>
      <c r="BH82" s="1189" t="s">
        <v>1792</v>
      </c>
      <c r="BJ82" s="1189" t="s">
        <v>1793</v>
      </c>
      <c r="BL82" s="1189" t="s">
        <v>1794</v>
      </c>
    </row>
    <row customHeight="1" ht="11.25">
      <c r="A83" s="1195" t="s">
        <v>1795</v>
      </c>
      <c r="BH83" s="1189" t="s">
        <v>1796</v>
      </c>
      <c r="BJ83" s="1189" t="s">
        <v>1797</v>
      </c>
      <c r="BL83" s="1189" t="s">
        <v>1798</v>
      </c>
    </row>
    <row customHeight="1" ht="11.25">
      <c r="A84" s="1195" t="s">
        <v>1799</v>
      </c>
      <c r="AZ84" s="1188" t="s">
        <v>1800</v>
      </c>
    </row>
    <row customHeight="1" ht="11.25">
      <c r="A85" s="1991" t="s">
        <v>1801</v>
      </c>
      <c r="AZ85" s="1241" t="s">
        <v>1802</v>
      </c>
    </row>
    <row customHeight="1" ht="11.25">
      <c r="A86" s="1195" t="s">
        <v>1803</v>
      </c>
      <c r="AZ86" s="1241" t="s">
        <v>1804</v>
      </c>
      <c r="BH86" s="1188" t="s">
        <v>1805</v>
      </c>
      <c r="BJ86" s="1188" t="s">
        <v>1806</v>
      </c>
      <c r="BL86" s="1188" t="s">
        <v>1807</v>
      </c>
    </row>
    <row customHeight="1" ht="11.25">
      <c r="A87" s="1195" t="s">
        <v>1808</v>
      </c>
      <c r="AZ87" s="1241" t="s">
        <v>1809</v>
      </c>
      <c r="BH87" s="1189" t="s">
        <v>1810</v>
      </c>
      <c r="BJ87" s="1189" t="s">
        <v>1811</v>
      </c>
      <c r="BL87" s="1189" t="s">
        <v>1812</v>
      </c>
    </row>
    <row customHeight="1" ht="11.25">
      <c r="A88" s="1195" t="s">
        <v>1813</v>
      </c>
      <c r="AZ88" s="1727"/>
      <c r="BH88" s="1189" t="s">
        <v>1814</v>
      </c>
      <c r="BJ88" s="1189" t="s">
        <v>1815</v>
      </c>
      <c r="BL88" s="1189" t="s">
        <v>1816</v>
      </c>
    </row>
    <row customHeight="1" ht="11.25">
      <c r="A89" s="1195" t="s">
        <v>1817</v>
      </c>
      <c r="AZ89" s="1188" t="s">
        <v>1818</v>
      </c>
    </row>
    <row customHeight="1" ht="11.25">
      <c r="A90" s="1195" t="s">
        <v>1819</v>
      </c>
      <c r="AZ90" s="1241" t="s">
        <v>1040</v>
      </c>
    </row>
    <row customHeight="1" ht="11.25">
      <c r="A91" s="1195" t="s">
        <v>1820</v>
      </c>
      <c r="AZ91" s="1241" t="s">
        <v>1076</v>
      </c>
      <c r="BH91" s="1188" t="s">
        <v>1821</v>
      </c>
      <c r="BJ91" s="1188" t="s">
        <v>1822</v>
      </c>
      <c r="BL91" s="1188" t="s">
        <v>1823</v>
      </c>
    </row>
    <row customHeight="1" ht="11.25">
      <c r="AZ92" s="1241" t="s">
        <v>1824</v>
      </c>
      <c r="BH92" s="1189" t="s">
        <v>1825</v>
      </c>
      <c r="BJ92" s="1189" t="s">
        <v>1826</v>
      </c>
      <c r="BL92" s="1189" t="s">
        <v>1827</v>
      </c>
    </row>
    <row customHeight="1" ht="11.25">
      <c r="AZ93" s="1241" t="s">
        <v>1828</v>
      </c>
      <c r="BH93" s="1189" t="s">
        <v>1829</v>
      </c>
      <c r="BJ93" s="1189" t="s">
        <v>1830</v>
      </c>
      <c r="BL93" s="1189" t="s">
        <v>1831</v>
      </c>
    </row>
    <row customHeight="1" ht="11.25">
      <c r="AZ94" s="1241" t="s">
        <v>1832</v>
      </c>
    </row>
    <row r="96" customHeight="1" ht="11.25">
      <c r="AZ96" s="1188" t="s">
        <v>1833</v>
      </c>
      <c r="BH96" s="1188" t="s">
        <v>1834</v>
      </c>
      <c r="BJ96" s="1188" t="s">
        <v>1835</v>
      </c>
      <c r="BL96" s="1188" t="s">
        <v>1836</v>
      </c>
      <c r="BN96" s="1188" t="s">
        <v>1837</v>
      </c>
    </row>
    <row customHeight="1" ht="11.25">
      <c r="AZ97" s="2022" t="s">
        <v>1838</v>
      </c>
      <c r="BA97" s="2023" t="s">
        <v>1839</v>
      </c>
      <c r="BH97" s="1189" t="s">
        <v>1840</v>
      </c>
      <c r="BJ97" s="1189" t="s">
        <v>1841</v>
      </c>
      <c r="BL97" s="1189" t="s">
        <v>1842</v>
      </c>
      <c r="BN97" s="1189" t="s">
        <v>1843</v>
      </c>
    </row>
    <row customHeight="1" ht="11.25">
      <c r="AZ98" s="2022" t="s">
        <v>1844</v>
      </c>
      <c r="BA98" s="2023" t="s">
        <v>1845</v>
      </c>
      <c r="BH98" s="1189" t="s">
        <v>1846</v>
      </c>
      <c r="BJ98" s="1189" t="s">
        <v>1847</v>
      </c>
      <c r="BL98" s="1189" t="s">
        <v>1848</v>
      </c>
      <c r="BN98" s="1189" t="s">
        <v>1849</v>
      </c>
    </row>
    <row customHeight="1" ht="22.5">
      <c r="AZ99" s="2022" t="s">
        <v>1850</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1851</v>
      </c>
      <c r="BJ99" s="1189" t="s">
        <v>1852</v>
      </c>
      <c r="BL99" s="1189" t="s">
        <v>1853</v>
      </c>
      <c r="BN99" s="1189" t="s">
        <v>1854</v>
      </c>
    </row>
    <row customHeight="1" ht="22.5">
      <c r="AZ100" s="2022" t="s">
        <v>1855</v>
      </c>
      <c r="BA100"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9" t="s">
        <v>1444</v>
      </c>
      <c r="BL100" s="1189" t="s">
        <v>1444</v>
      </c>
      <c r="BN100" s="1189" t="s">
        <v>1856</v>
      </c>
    </row>
    <row customHeight="1" ht="22.5">
      <c r="AZ101" s="2022" t="s">
        <v>1857</v>
      </c>
      <c r="BA101" s="2023" t="s">
        <v>1858</v>
      </c>
      <c r="BN101" s="1189" t="s">
        <v>1859</v>
      </c>
    </row>
    <row customHeight="1" ht="22.5">
      <c r="AZ102" s="2022" t="s">
        <v>1860</v>
      </c>
      <c r="BA102"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9" t="s">
        <v>1861</v>
      </c>
    </row>
    <row customHeight="1" ht="11.25">
      <c r="AZ103" s="2022" t="s">
        <v>1862</v>
      </c>
      <c r="BA103" s="2023" t="s">
        <v>1863</v>
      </c>
      <c r="BN103" s="1189" t="s">
        <v>1864</v>
      </c>
    </row>
    <row customHeight="1" ht="11.25">
      <c r="BN104" s="1189" t="s">
        <v>1865</v>
      </c>
    </row>
    <row customHeight="1" ht="11.25">
      <c r="AZ105" s="1813" t="s">
        <v>1866</v>
      </c>
    </row>
    <row customHeight="1" ht="11.25">
      <c r="AZ106" s="1241" t="s">
        <v>1867</v>
      </c>
    </row>
    <row customHeight="1" ht="11.25">
      <c r="AZ107" s="1241" t="s">
        <v>1868</v>
      </c>
      <c r="BH107" s="1188" t="s">
        <v>1869</v>
      </c>
      <c r="BJ107" s="1188" t="s">
        <v>1870</v>
      </c>
      <c r="BL107" s="1188" t="s">
        <v>1871</v>
      </c>
      <c r="BN107" s="1188" t="s">
        <v>1872</v>
      </c>
    </row>
    <row customHeight="1" ht="11.25">
      <c r="AZ108" s="1241" t="s">
        <v>593</v>
      </c>
      <c r="BH108" s="1189" t="s">
        <v>1873</v>
      </c>
      <c r="BJ108" s="1189" t="s">
        <v>1874</v>
      </c>
      <c r="BL108" s="1189" t="s">
        <v>1530</v>
      </c>
      <c r="BN108" s="1189" t="s">
        <v>1875</v>
      </c>
    </row>
    <row customHeight="1" ht="11.25">
      <c r="BH109" s="1189" t="s">
        <v>1876</v>
      </c>
    </row>
    <row customHeight="1" ht="11.25">
      <c r="AZ110" s="1813" t="s">
        <v>1877</v>
      </c>
      <c r="BH110" s="1189" t="s">
        <v>1876</v>
      </c>
    </row>
    <row customHeight="1" ht="11.25">
      <c r="AZ111" s="2022" t="s">
        <v>1838</v>
      </c>
      <c r="BA111" s="2023" t="s">
        <v>1839</v>
      </c>
    </row>
    <row customHeight="1" ht="11.25">
      <c r="AZ112" s="2022" t="s">
        <v>1844</v>
      </c>
      <c r="BA112" s="2023" t="s">
        <v>1845</v>
      </c>
    </row>
    <row customHeight="1" ht="22.5">
      <c r="AZ113" s="2022" t="s">
        <v>1850</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1855</v>
      </c>
      <c r="BA114"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8" t="s">
        <v>1878</v>
      </c>
    </row>
    <row customHeight="1" ht="22.5">
      <c r="AZ115" s="2022" t="s">
        <v>1860</v>
      </c>
      <c r="BA115"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9" t="s">
        <v>469</v>
      </c>
    </row>
    <row customHeight="1" ht="11.25">
      <c r="AZ116" s="2022" t="s">
        <v>1862</v>
      </c>
      <c r="BA116" s="2023" t="s">
        <v>1863</v>
      </c>
      <c r="BH116" s="1189" t="s">
        <v>1268</v>
      </c>
    </row>
    <row customHeight="1" ht="11.25">
      <c r="BH117" s="1189" t="s">
        <v>1303</v>
      </c>
    </row>
    <row customHeight="1" ht="11.25">
      <c r="BH118" s="1189"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F992-87BC-8532-A72F-0.D133B982}" mc:Ignorable="x14ac xr xr2 xr3">
  <dimension ref="A1:J25"/>
  <sheetViews>
    <sheetView topLeftCell="A1" showGridLines="0" zoomScale="90" workbookViewId="0">
      <selection activeCell="A1" sqref="A1"/>
    </sheetView>
  </sheetViews>
  <sheetFormatPr defaultColWidth="9.140625" customHeight="1" defaultRowHeight="11.25"/>
  <cols>
    <col min="1" max="2" style="6306" width="15.00390625" hidden="1" customWidth="1"/>
    <col min="3" max="3" style="6350" width="3.00390625" customWidth="1"/>
    <col min="4" max="4" style="6351" width="6.00390625" customWidth="1"/>
    <col min="5" max="5" style="6350" width="52.00390625" customWidth="1"/>
    <col min="6" max="6" style="6350" width="48.00390625" customWidth="1"/>
    <col min="7" max="7" style="6350" width="93.00390625" customWidth="1"/>
    <col min="8" max="8" style="6350" width="8.00390625" customWidth="1"/>
    <col min="9" max="9" style="6350" width="64.00390625" customWidth="1"/>
    <col min="10" max="10" style="6350" width="9.140625" hidden="1"/>
  </cols>
  <sheetData>
    <row customHeight="1" ht="11.25" hidden="1">
      <c r="A1" s="622" t="s">
        <v>323</v>
      </c>
      <c r="J1" s="576" t="s">
        <v>14</v>
      </c>
    </row>
    <row customHeight="1" ht="22.5" hidden="1">
      <c r="A2" s="623"/>
      <c r="B2" s="623"/>
      <c r="C2" s="1851" t="s">
        <v>104</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0"/>
      <c r="F5" s="2361"/>
      <c r="I5" s="836"/>
      <c r="J5" s="576">
        <v>26</v>
      </c>
    </row>
    <row customHeight="1" ht="18">
      <c r="D6" s="2297" t="str">
        <f>IF(region_name=0,"Не определено",region_name)</f>
        <v>Ленинградская область</v>
      </c>
      <c r="E6" s="2297"/>
      <c r="F6" s="2297"/>
      <c r="I6" s="836"/>
      <c r="J6" s="576">
        <v>17</v>
      </c>
    </row>
    <row s="6268"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324</v>
      </c>
      <c r="E9" s="2326"/>
      <c r="F9" s="2326"/>
      <c r="G9" s="2329" t="s">
        <v>325</v>
      </c>
      <c r="J9" s="576">
        <v>11</v>
      </c>
    </row>
    <row customHeight="1" ht="11.549999999999999">
      <c r="A10" s="623"/>
      <c r="B10" s="623"/>
      <c r="C10" s="578"/>
      <c r="D10" s="1595" t="s">
        <v>88</v>
      </c>
      <c r="E10" s="1597" t="s">
        <v>326</v>
      </c>
      <c r="F10" s="1597" t="s">
        <v>327</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9" t="str">
        <f>IF(org="","",org)</f>
        <v>ПАО "ТГК-1" филиал "Невский"</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4"/>
      <c r="J12" s="576">
        <v>23</v>
      </c>
    </row>
    <row customHeight="1" ht="19.95">
      <c r="A13" s="623"/>
      <c r="B13" s="623"/>
      <c r="C13" s="578"/>
      <c r="D13" s="1641">
        <v>2</v>
      </c>
      <c r="E13" s="1648" t="s">
        <v>1879</v>
      </c>
      <c r="F13" s="1642" t="s">
        <v>330</v>
      </c>
      <c r="G13" s="595"/>
      <c r="H13" s="1654"/>
      <c r="J13" s="576">
        <v>19</v>
      </c>
    </row>
    <row customHeight="1" ht="19.95">
      <c r="A14" s="623"/>
      <c r="B14" s="623"/>
      <c r="C14" s="578"/>
      <c r="D14" s="1644" t="s">
        <v>730</v>
      </c>
      <c r="E14" s="1645" t="s">
        <v>1880</v>
      </c>
      <c r="F14" s="1647"/>
      <c r="G14" s="1646" t="s">
        <v>1881</v>
      </c>
      <c r="H14" s="1654"/>
      <c r="J14" s="576">
        <v>19</v>
      </c>
    </row>
    <row customHeight="1" ht="19.95">
      <c r="A15" s="623"/>
      <c r="B15" s="623"/>
      <c r="C15" s="578"/>
      <c r="D15" s="1644" t="s">
        <v>331</v>
      </c>
      <c r="E15" s="1645" t="s">
        <v>1882</v>
      </c>
      <c r="F15" s="1647"/>
      <c r="G15" s="1646" t="s">
        <v>1883</v>
      </c>
      <c r="H15" s="1654"/>
      <c r="J15" s="576">
        <v>19</v>
      </c>
    </row>
    <row customHeight="1" ht="24">
      <c r="A16" s="623"/>
      <c r="B16" s="623"/>
      <c r="C16" s="578"/>
      <c r="D16" s="1644" t="s">
        <v>334</v>
      </c>
      <c r="E16" s="1643" t="s">
        <v>1884</v>
      </c>
      <c r="F16" s="1652"/>
      <c r="G16" s="595" t="s">
        <v>1885</v>
      </c>
      <c r="H16" s="1654"/>
      <c r="J16" s="576">
        <v>23</v>
      </c>
    </row>
    <row customHeight="1" ht="48.29999999999999">
      <c r="A17" s="623"/>
      <c r="B17" s="623"/>
      <c r="C17" s="578"/>
      <c r="D17" s="1641">
        <v>3</v>
      </c>
      <c r="E17" s="1648" t="s">
        <v>1886</v>
      </c>
      <c r="F17" s="1647"/>
      <c r="G17" s="595" t="s">
        <v>1887</v>
      </c>
      <c r="H17" s="1654"/>
      <c r="J17" s="576">
        <v>46</v>
      </c>
    </row>
    <row customHeight="1" ht="48.29999999999999">
      <c r="A18" s="1596">
        <v>1</v>
      </c>
      <c r="B18" s="623"/>
      <c r="C18" s="1598"/>
      <c r="D18" s="1641" t="s">
        <v>91</v>
      </c>
      <c r="E18" s="1648" t="s">
        <v>1888</v>
      </c>
      <c r="F18" s="1647"/>
      <c r="G18" s="595" t="s">
        <v>1887</v>
      </c>
      <c r="H18" s="1654"/>
      <c r="I18" s="973"/>
      <c r="J18" s="576">
        <v>46</v>
      </c>
    </row>
    <row customHeight="1" ht="23.25">
      <c r="A19" s="623"/>
      <c r="B19" s="623"/>
      <c r="C19" s="578"/>
      <c r="D19" s="1641" t="s">
        <v>124</v>
      </c>
      <c r="E19" s="1648" t="s">
        <v>1889</v>
      </c>
      <c r="F19" s="1642" t="s">
        <v>330</v>
      </c>
      <c r="G19" s="2592" t="s">
        <v>1890</v>
      </c>
      <c r="H19" s="596"/>
      <c r="J19" s="576">
        <v>22</v>
      </c>
    </row>
    <row s="7925" customFormat="1" customHeight="1" ht="5.25" hidden="1">
      <c r="A20" s="623"/>
      <c r="B20" s="623"/>
      <c r="C20" s="1650"/>
      <c r="D20" s="1649" t="s">
        <v>1137</v>
      </c>
      <c r="E20" s="1135"/>
      <c r="F20" s="1134"/>
      <c r="G20" s="2593"/>
      <c r="J20" s="1651">
        <v>0</v>
      </c>
    </row>
    <row customHeight="1" ht="15.75">
      <c r="A21" s="623"/>
      <c r="B21" s="623"/>
      <c r="C21" s="578"/>
      <c r="D21" s="588"/>
      <c r="E21" s="536" t="s">
        <v>363</v>
      </c>
      <c r="F21" s="590"/>
      <c r="G21" s="2594"/>
      <c r="H21" s="1654"/>
      <c r="J21" s="576">
        <v>15</v>
      </c>
    </row>
    <row s="6306" customFormat="1" customHeight="1" ht="26.25">
      <c r="A22" s="623"/>
      <c r="B22" s="623"/>
      <c r="C22" s="623"/>
      <c r="D22" s="1641" t="s">
        <v>92</v>
      </c>
      <c r="E22" s="595" t="s">
        <v>1891</v>
      </c>
      <c r="F22" s="1647"/>
      <c r="G22" s="595" t="s">
        <v>1892</v>
      </c>
      <c r="H22" s="1653"/>
      <c r="J22" s="622">
        <v>25</v>
      </c>
    </row>
    <row s="6306" customFormat="1" customHeight="1" ht="19.95">
      <c r="A23" s="623"/>
      <c r="B23" s="623"/>
      <c r="C23" s="623"/>
      <c r="D23" s="1641" t="s">
        <v>93</v>
      </c>
      <c r="E23" s="1648" t="s">
        <v>1893</v>
      </c>
      <c r="F23" s="1652"/>
      <c r="G23" s="595" t="s">
        <v>1894</v>
      </c>
      <c r="H23" s="1653"/>
      <c r="J23" s="622">
        <v>19</v>
      </c>
    </row>
    <row s="6306" customFormat="1" customHeight="1" ht="144" hidden="1">
      <c r="A24" s="623"/>
      <c r="B24" s="623"/>
      <c r="C24" s="623"/>
      <c r="D24" s="1641" t="s">
        <v>125</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3"/>
      <c r="J24" s="622">
        <v>0</v>
      </c>
    </row>
    <row customHeight="1" ht="11.25" hidden="1">
      <c r="A25" s="622" t="s">
        <v>82</v>
      </c>
      <c r="B25" s="622">
        <v>0</v>
      </c>
      <c r="C25" s="576">
        <v>3</v>
      </c>
      <c r="D25" s="577">
        <v>6</v>
      </c>
      <c r="E25" s="576">
        <v>52</v>
      </c>
      <c r="F25" s="576">
        <v>48</v>
      </c>
      <c r="G25" s="576">
        <v>93</v>
      </c>
      <c r="H25" s="576">
        <v>8</v>
      </c>
      <c r="I25" s="576">
        <v>64</v>
      </c>
      <c r="J25" s="57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89FD-8C6B-6C5C-80D9-0.28EFEA03}" mc:Ignorable="x14ac xr xr2 xr3">
  <dimension ref="A1:IU24"/>
  <sheetViews>
    <sheetView topLeftCell="A1" showGridLines="0" zoomScale="90" workbookViewId="0">
      <selection activeCell="A1" sqref="A1"/>
    </sheetView>
  </sheetViews>
  <sheetFormatPr defaultColWidth="9.140625" customHeight="1" defaultRowHeight="14.25"/>
  <cols>
    <col min="1" max="1" style="7720" width="9.140625" hidden="1"/>
    <col min="2" max="2" style="7669" width="9.140625" hidden="1"/>
    <col min="3" max="3" style="7720" width="3.7109375" hidden="1" customWidth="1"/>
    <col min="4" max="4" style="7936" width="3.00390625" customWidth="1"/>
    <col min="5" max="5" style="7720" width="6.00390625" customWidth="1"/>
    <col min="6" max="6" style="7720" width="46.00390625" customWidth="1"/>
    <col min="7" max="8" style="7720" width="16.00390625" customWidth="1"/>
    <col min="9" max="9" style="7720" width="35.00390625" customWidth="1"/>
    <col min="10" max="10" style="7720" width="89.00390625" customWidth="1"/>
    <col min="11" max="11" style="7672" width="3.00390625" customWidth="1"/>
    <col min="12" max="14" style="7672" width="8.00390625" customWidth="1"/>
    <col min="15" max="15" style="7672" width="25.00390625" customWidth="1"/>
    <col min="16" max="16" style="7672" width="14.00390625" customWidth="1"/>
    <col min="17" max="20" style="5850" width="8.00390625" customWidth="1"/>
    <col min="21" max="254" style="7720" width="8.00390625" customWidth="1"/>
    <col min="255" max="255" style="7720" width="9.140625" hidden="1"/>
  </cols>
  <sheetData>
    <row customHeight="1" ht="22.5" hidden="1">
      <c r="F1" s="1752" t="s">
        <v>1895</v>
      </c>
      <c r="G1" s="1752" t="s">
        <v>48</v>
      </c>
      <c r="H1" s="1752" t="s">
        <v>50</v>
      </c>
      <c r="IU1" s="1276" t="s">
        <v>14</v>
      </c>
    </row>
    <row s="8469" customFormat="1" customHeight="1" ht="22.5" hidden="1">
      <c r="A2" s="952"/>
      <c r="B2" s="1281">
        <v>1</v>
      </c>
      <c r="C2" s="1281"/>
      <c r="D2" s="2049" t="s">
        <v>104</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7217" customFormat="1" customHeight="1" ht="4.2">
      <c r="A3" s="617"/>
      <c r="D3" s="615"/>
      <c r="F3" s="368" t="s">
        <v>83</v>
      </c>
      <c r="G3" s="615" t="s">
        <v>84</v>
      </c>
      <c r="H3" s="615"/>
      <c r="I3" s="615"/>
      <c r="J3" s="348" t="s">
        <v>85</v>
      </c>
      <c r="K3" s="368" t="s">
        <v>83</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418"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418"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1"/>
      <c r="G5" s="2221"/>
      <c r="H5" s="2221"/>
      <c r="I5" s="2221"/>
      <c r="J5" s="2221"/>
      <c r="K5" s="368"/>
      <c r="L5" s="621"/>
      <c r="M5" s="621"/>
      <c r="N5" s="621"/>
      <c r="O5" s="347"/>
      <c r="P5" s="621"/>
      <c r="Q5" s="346"/>
      <c r="R5" s="346"/>
      <c r="S5" s="346"/>
      <c r="T5" s="346"/>
      <c r="IU5" s="628">
        <v>26</v>
      </c>
    </row>
    <row s="6418"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418" customFormat="1" customHeight="1" ht="14.699999999999998">
      <c r="A7" s="1276"/>
      <c r="B7" s="1281"/>
      <c r="C7" s="1276"/>
      <c r="D7" s="1616"/>
      <c r="E7" s="2222" t="s">
        <v>324</v>
      </c>
      <c r="F7" s="2223"/>
      <c r="G7" s="2223"/>
      <c r="H7" s="2223"/>
      <c r="I7" s="2223"/>
      <c r="J7" s="2595" t="s">
        <v>325</v>
      </c>
      <c r="K7" s="621"/>
      <c r="L7" s="621"/>
      <c r="M7" s="621"/>
      <c r="N7" s="621"/>
      <c r="O7" s="347"/>
      <c r="P7" s="621"/>
      <c r="Q7" s="346"/>
      <c r="R7" s="346"/>
      <c r="S7" s="346"/>
      <c r="T7" s="346"/>
      <c r="IU7" s="628">
        <v>14</v>
      </c>
    </row>
    <row s="6418" customFormat="1" customHeight="1" ht="21">
      <c r="A8" s="1276"/>
      <c r="B8" s="1281"/>
      <c r="C8" s="1276"/>
      <c r="D8" s="1616"/>
      <c r="E8" s="1669" t="s">
        <v>88</v>
      </c>
      <c r="F8" s="1661" t="s">
        <v>1895</v>
      </c>
      <c r="G8" s="1661" t="s">
        <v>48</v>
      </c>
      <c r="H8" s="1661" t="s">
        <v>50</v>
      </c>
      <c r="I8" s="1661" t="s">
        <v>1896</v>
      </c>
      <c r="J8" s="2596"/>
      <c r="K8" s="621"/>
      <c r="L8" s="621"/>
      <c r="M8" s="621"/>
      <c r="N8" s="621"/>
      <c r="O8" s="347"/>
      <c r="P8" s="621"/>
      <c r="Q8" s="346"/>
      <c r="R8" s="346"/>
      <c r="S8" s="346"/>
      <c r="T8" s="346"/>
      <c r="IU8" s="628">
        <v>20</v>
      </c>
    </row>
    <row s="8469" customFormat="1" customHeight="1" ht="23.25">
      <c r="A9" s="1752"/>
      <c r="B9" s="1281">
        <v>1</v>
      </c>
      <c r="C9" s="1281"/>
      <c r="D9" s="922"/>
      <c r="E9" s="1605">
        <v>1</v>
      </c>
      <c r="F9" s="1668"/>
      <c r="G9" s="1612"/>
      <c r="H9" s="1612"/>
      <c r="I9" s="1659"/>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8469" customFormat="1" customHeight="1" ht="15.75">
      <c r="A10" s="1752"/>
      <c r="B10" s="1281"/>
      <c r="C10" s="533"/>
      <c r="D10" s="922"/>
      <c r="E10" s="1662"/>
      <c r="F10" s="1621" t="s">
        <v>1897</v>
      </c>
      <c r="G10" s="1663"/>
      <c r="H10" s="1663"/>
      <c r="I10" s="2020"/>
      <c r="J10" s="2292"/>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418"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418"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418"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627" customFormat="1" customHeight="1" ht="10.5">
      <c r="B14" s="955"/>
      <c r="D14" s="303"/>
      <c r="K14" s="621"/>
      <c r="L14" s="621"/>
      <c r="M14" s="621"/>
      <c r="N14" s="621"/>
      <c r="O14" s="347"/>
      <c r="P14" s="621"/>
      <c r="Q14" s="346"/>
      <c r="R14" s="346"/>
      <c r="S14" s="346"/>
      <c r="T14" s="346"/>
      <c r="IU14" s="302">
        <v>10</v>
      </c>
    </row>
    <row s="7627"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82</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C649D-6DD8-4ADB-488C-0.2FAF489}" mc:Ignorable="x14ac xr xr2 xr3">
  <dimension ref="A1:IW15"/>
  <sheetViews>
    <sheetView topLeftCell="A1" showGridLines="0" zoomScale="90" workbookViewId="0">
      <selection activeCell="A1" sqref="A1"/>
    </sheetView>
  </sheetViews>
  <sheetFormatPr defaultColWidth="9.140625" customHeight="1" defaultRowHeight="14.25"/>
  <cols>
    <col min="1" max="1" style="7720" width="9.140625" hidden="1"/>
    <col min="2" max="2" style="7669" width="9.140625" hidden="1"/>
    <col min="3" max="3" style="7720" width="3.7109375" hidden="1" customWidth="1"/>
    <col min="4" max="4" style="7936" width="3.00390625" customWidth="1"/>
    <col min="5" max="5" style="7720" width="6.00390625" customWidth="1"/>
    <col min="6" max="6" style="7720" width="27.00390625" customWidth="1"/>
    <col min="7" max="7" style="7720" width="16.00390625" customWidth="1"/>
    <col min="8" max="8" style="7720" width="12.00390625" customWidth="1"/>
    <col min="9" max="9" style="7720" width="32.00390625" customWidth="1"/>
    <col min="10" max="11" style="7720" width="41.00390625" customWidth="1"/>
    <col min="12" max="12" style="7720" width="89.00390625" customWidth="1"/>
    <col min="13" max="13" style="7672" width="3.00390625" customWidth="1"/>
    <col min="14" max="16" style="7672" width="8.00390625" customWidth="1"/>
    <col min="17" max="17" style="7672" width="25.00390625" customWidth="1"/>
    <col min="18" max="18" style="7672" width="14.00390625" customWidth="1"/>
    <col min="19" max="22" style="5850" width="8.00390625" customWidth="1"/>
    <col min="23" max="256" style="7720" width="8.00390625" customWidth="1"/>
    <col min="257" max="257" style="7720" width="9.140625" hidden="1"/>
  </cols>
  <sheetData>
    <row customHeight="1" ht="22.5" hidden="1">
      <c r="IW1" s="1276" t="s">
        <v>14</v>
      </c>
    </row>
    <row s="8469" customFormat="1" customHeight="1" ht="22.5" hidden="1">
      <c r="A2" s="952"/>
      <c r="B2" s="1281">
        <v>1</v>
      </c>
      <c r="C2" s="1281"/>
      <c r="D2" s="2049" t="s">
        <v>104</v>
      </c>
      <c r="E2" s="2010"/>
      <c r="F2" s="2013" t="str">
        <f>IF(ROIV_INFO_NAME="","",ROIV_INFO_NAME)</f>
        <v>ПАО "ТГК-1" филиал "Невский"</v>
      </c>
      <c r="G2" s="2038" t="s">
        <v>28</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7217" customFormat="1" customHeight="1" ht="5.25" hidden="1">
      <c r="A3" s="617"/>
      <c r="D3" s="615"/>
      <c r="F3" s="368" t="s">
        <v>83</v>
      </c>
      <c r="G3" s="1856" t="s">
        <v>84</v>
      </c>
      <c r="H3" s="615"/>
      <c r="I3" s="615"/>
      <c r="J3" s="615"/>
      <c r="K3" s="615"/>
      <c r="L3" s="348" t="s">
        <v>85</v>
      </c>
      <c r="M3" s="368" t="s">
        <v>83</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418"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418"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709"/>
      <c r="M5" s="368"/>
      <c r="N5" s="621"/>
      <c r="O5" s="621"/>
      <c r="P5" s="621"/>
      <c r="Q5" s="347"/>
      <c r="R5" s="621"/>
      <c r="S5" s="346"/>
      <c r="T5" s="346"/>
      <c r="U5" s="346"/>
      <c r="V5" s="346"/>
      <c r="IW5" s="628">
        <v>26</v>
      </c>
    </row>
    <row s="6418"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418" customFormat="1" customHeight="1" ht="14.699999999999998">
      <c r="A7" s="1276"/>
      <c r="B7" s="1281"/>
      <c r="C7" s="1276"/>
      <c r="D7" s="1616"/>
      <c r="E7" s="2222" t="s">
        <v>324</v>
      </c>
      <c r="F7" s="2223"/>
      <c r="G7" s="2223"/>
      <c r="H7" s="2223"/>
      <c r="I7" s="2223"/>
      <c r="J7" s="2223"/>
      <c r="K7" s="2223"/>
      <c r="L7" s="2595" t="s">
        <v>325</v>
      </c>
      <c r="M7" s="621"/>
      <c r="N7" s="621"/>
      <c r="O7" s="621"/>
      <c r="P7" s="621"/>
      <c r="Q7" s="347"/>
      <c r="R7" s="621"/>
      <c r="S7" s="346"/>
      <c r="T7" s="346"/>
      <c r="U7" s="346"/>
      <c r="V7" s="346"/>
      <c r="IW7" s="628">
        <v>14</v>
      </c>
    </row>
    <row s="6418" customFormat="1" customHeight="1" ht="67.2">
      <c r="A8" s="1276"/>
      <c r="B8" s="1281"/>
      <c r="C8" s="1276"/>
      <c r="D8" s="1616"/>
      <c r="E8" s="2599" t="s">
        <v>88</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621"/>
      <c r="N8" s="621"/>
      <c r="O8" s="621"/>
      <c r="P8" s="621"/>
      <c r="Q8" s="347"/>
      <c r="R8" s="621"/>
      <c r="S8" s="346"/>
      <c r="T8" s="346"/>
      <c r="U8" s="346"/>
      <c r="V8" s="346"/>
      <c r="IW8" s="628">
        <v>64</v>
      </c>
    </row>
    <row s="6418" customFormat="1" customHeight="1" ht="29.25">
      <c r="A9" s="1276"/>
      <c r="B9" s="1281"/>
      <c r="C9" s="1276"/>
      <c r="D9" s="1616"/>
      <c r="E9" s="2600"/>
      <c r="F9" s="2600"/>
      <c r="G9" s="1658" t="s">
        <v>1898</v>
      </c>
      <c r="H9" s="1658" t="s">
        <v>1899</v>
      </c>
      <c r="I9" s="1658" t="s">
        <v>1900</v>
      </c>
      <c r="J9" s="2600"/>
      <c r="K9" s="2600"/>
      <c r="L9" s="2596"/>
      <c r="M9" s="621"/>
      <c r="N9" s="621"/>
      <c r="O9" s="621"/>
      <c r="P9" s="621"/>
      <c r="Q9" s="347"/>
      <c r="R9" s="621"/>
      <c r="S9" s="346"/>
      <c r="T9" s="346"/>
      <c r="U9" s="346"/>
      <c r="V9" s="346"/>
      <c r="IW9" s="628">
        <v>28</v>
      </c>
    </row>
    <row s="8469" customFormat="1" customHeight="1" ht="23.25">
      <c r="A10" s="2220"/>
      <c r="B10" s="1281">
        <v>1</v>
      </c>
      <c r="C10" s="1281"/>
      <c r="D10" s="921"/>
      <c r="E10" s="919">
        <v>1</v>
      </c>
      <c r="F10" s="1660" t="str">
        <f>IF(ROIV_INFO_NAME="","",ROIV_INFO_NAME)</f>
        <v>ПАО "ТГК-1" филиал "Невский"</v>
      </c>
      <c r="G10" s="1853" t="s">
        <v>28</v>
      </c>
      <c r="H10" s="2037"/>
      <c r="I10" s="1655"/>
      <c r="J10" s="939"/>
      <c r="K10" s="939"/>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8469" customFormat="1" customHeight="1" ht="15.75">
      <c r="A11" s="2220"/>
      <c r="B11" s="1281"/>
      <c r="C11" s="533"/>
      <c r="D11" s="922"/>
      <c r="E11" s="542"/>
      <c r="F11" s="537" t="s">
        <v>1901</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418"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418"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418"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82</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E945-6384-1F71-B731-0.3CD61C2F}" mc:Ignorable="x14ac xr xr2 xr3">
  <dimension ref="A1:IW15"/>
  <sheetViews>
    <sheetView topLeftCell="A1" showGridLines="0" zoomScale="90" workbookViewId="0">
      <selection activeCell="A1" sqref="A1"/>
    </sheetView>
  </sheetViews>
  <sheetFormatPr defaultColWidth="9.140625" customHeight="1" defaultRowHeight="14.25"/>
  <cols>
    <col min="1" max="1" style="7720" width="9.140625" hidden="1"/>
    <col min="2" max="2" style="7669" width="9.140625" hidden="1"/>
    <col min="3" max="3" style="7720" width="3.7109375" hidden="1" customWidth="1"/>
    <col min="4" max="4" style="7936" width="3.00390625" customWidth="1"/>
    <col min="5" max="5" style="7720" width="6.00390625" customWidth="1"/>
    <col min="6" max="6" style="7720" width="27.00390625" customWidth="1"/>
    <col min="7" max="7" style="7720" width="16.00390625" customWidth="1"/>
    <col min="8" max="8" style="7720" width="12.00390625" customWidth="1"/>
    <col min="9" max="9" style="7720" width="32.00390625" customWidth="1"/>
    <col min="10" max="11" style="7720" width="41.00390625" customWidth="1"/>
    <col min="12" max="12" style="7720" width="89.00390625" customWidth="1"/>
    <col min="13" max="13" style="7672" width="3.00390625" customWidth="1"/>
    <col min="14" max="16" style="7672" width="8.00390625" customWidth="1"/>
    <col min="17" max="17" style="7672" width="25.00390625" customWidth="1"/>
    <col min="18" max="18" style="7672" width="14.00390625" customWidth="1"/>
    <col min="19" max="22" style="5850" width="8.00390625" customWidth="1"/>
    <col min="23" max="256" style="7720" width="8.00390625" customWidth="1"/>
    <col min="257" max="257" style="7720" width="9.140625" hidden="1"/>
  </cols>
  <sheetData>
    <row customHeight="1" ht="22.5" hidden="1">
      <c r="IW1" s="1752" t="s">
        <v>14</v>
      </c>
    </row>
    <row s="8469" customFormat="1" customHeight="1" ht="22.5" hidden="1">
      <c r="A2" s="952"/>
      <c r="B2" s="1487">
        <v>1</v>
      </c>
      <c r="C2" s="1487"/>
      <c r="D2" s="2049" t="s">
        <v>104</v>
      </c>
      <c r="E2" s="2025"/>
      <c r="F2" s="2027" t="str">
        <f>IF(ROIV_INFO_NAME="","",ROIV_INFO_NAME)</f>
        <v>ПАО "ТГК-1" филиал "Невский"</v>
      </c>
      <c r="G2" s="1853" t="s">
        <v>28</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7217" customFormat="1" customHeight="1" ht="5.25" hidden="1">
      <c r="A3" s="1762"/>
      <c r="D3" s="2014"/>
      <c r="F3" s="369" t="s">
        <v>83</v>
      </c>
      <c r="G3" s="1856" t="s">
        <v>84</v>
      </c>
      <c r="H3" s="2014"/>
      <c r="I3" s="2014"/>
      <c r="J3" s="2014"/>
      <c r="K3" s="2014"/>
      <c r="L3" s="348" t="s">
        <v>85</v>
      </c>
      <c r="M3" s="369" t="s">
        <v>83</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418"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6418"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1756"/>
      <c r="M5" s="369"/>
      <c r="N5" s="1745"/>
      <c r="O5" s="1745"/>
      <c r="P5" s="1745"/>
      <c r="Q5" s="1745"/>
      <c r="R5" s="1745"/>
      <c r="S5" s="346"/>
      <c r="T5" s="346"/>
      <c r="U5" s="346"/>
      <c r="V5" s="346"/>
      <c r="IW5" s="1730">
        <v>26</v>
      </c>
    </row>
    <row s="6418"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418" customFormat="1" customHeight="1" ht="14.699999999999998">
      <c r="A7" s="1752"/>
      <c r="B7" s="1487"/>
      <c r="C7" s="1752"/>
      <c r="D7" s="1636"/>
      <c r="E7" s="2222" t="s">
        <v>324</v>
      </c>
      <c r="F7" s="2223"/>
      <c r="G7" s="2223"/>
      <c r="H7" s="2223"/>
      <c r="I7" s="2223"/>
      <c r="J7" s="2223"/>
      <c r="K7" s="2223"/>
      <c r="L7" s="2595" t="s">
        <v>325</v>
      </c>
      <c r="M7" s="1745"/>
      <c r="N7" s="1745"/>
      <c r="O7" s="1745"/>
      <c r="P7" s="1745"/>
      <c r="Q7" s="1745"/>
      <c r="R7" s="1745"/>
      <c r="S7" s="346"/>
      <c r="T7" s="346"/>
      <c r="U7" s="346"/>
      <c r="V7" s="346"/>
      <c r="IW7" s="1730">
        <v>14</v>
      </c>
    </row>
    <row s="6418" customFormat="1" customHeight="1" ht="67.2">
      <c r="A8" s="1752"/>
      <c r="B8" s="1487"/>
      <c r="C8" s="1752"/>
      <c r="D8" s="1636"/>
      <c r="E8" s="2599" t="s">
        <v>88</v>
      </c>
      <c r="F8" s="2599" t="s">
        <v>1902</v>
      </c>
      <c r="G8" s="2601" t="s">
        <v>1903</v>
      </c>
      <c r="H8" s="2602"/>
      <c r="I8" s="2603"/>
      <c r="J8" s="2599" t="s">
        <v>1904</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1745"/>
      <c r="N8" s="1745"/>
      <c r="O8" s="1745"/>
      <c r="P8" s="1745"/>
      <c r="Q8" s="1745"/>
      <c r="R8" s="1745"/>
      <c r="S8" s="346"/>
      <c r="T8" s="346"/>
      <c r="U8" s="346"/>
      <c r="V8" s="346"/>
      <c r="IW8" s="1730">
        <v>64</v>
      </c>
    </row>
    <row s="6418" customFormat="1" customHeight="1" ht="29.25">
      <c r="A9" s="1752"/>
      <c r="B9" s="1487"/>
      <c r="C9" s="1752"/>
      <c r="D9" s="1636"/>
      <c r="E9" s="2600"/>
      <c r="F9" s="2600"/>
      <c r="G9" s="2015" t="s">
        <v>1898</v>
      </c>
      <c r="H9" s="2015" t="s">
        <v>1899</v>
      </c>
      <c r="I9" s="2015" t="s">
        <v>1900</v>
      </c>
      <c r="J9" s="2600"/>
      <c r="K9" s="2600"/>
      <c r="L9" s="2596"/>
      <c r="M9" s="1745"/>
      <c r="N9" s="1745"/>
      <c r="O9" s="1745"/>
      <c r="P9" s="1745"/>
      <c r="Q9" s="1745"/>
      <c r="R9" s="1745"/>
      <c r="S9" s="346"/>
      <c r="T9" s="346"/>
      <c r="U9" s="346"/>
      <c r="V9" s="346"/>
      <c r="IW9" s="1730">
        <v>28</v>
      </c>
    </row>
    <row s="8469" customFormat="1" customHeight="1" ht="1.05">
      <c r="A10" s="2220"/>
      <c r="B10" s="1487">
        <v>1</v>
      </c>
      <c r="C10" s="1487"/>
      <c r="D10" s="921"/>
      <c r="E10" s="916">
        <v>0</v>
      </c>
      <c r="F10" s="2012" t="str">
        <f>IF(ROIV_INFO_NAME="","",ROIV_INFO_NAME)</f>
        <v>ПАО "ТГК-1" филиал "Невский"</v>
      </c>
      <c r="G10" s="1854" t="s">
        <v>28</v>
      </c>
      <c r="H10" s="2024"/>
      <c r="I10" s="2024"/>
      <c r="J10" s="640"/>
      <c r="K10" s="64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8469" customFormat="1" customHeight="1" ht="15.75">
      <c r="A11" s="2220"/>
      <c r="B11" s="1487"/>
      <c r="C11" s="533"/>
      <c r="D11" s="922"/>
      <c r="E11" s="542"/>
      <c r="F11" s="772" t="s">
        <v>1901</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418"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418"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418"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82</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A2CFF-DCCB-00DC-42C1-0.2040746B}" mc:Ignorable="x14ac xr xr2 xr3">
  <dimension ref="A1:Q19"/>
  <sheetViews>
    <sheetView topLeftCell="A1" showGridLines="0" zoomScale="90" workbookViewId="0">
      <selection activeCell="A1" sqref="A1"/>
    </sheetView>
  </sheetViews>
  <sheetFormatPr defaultColWidth="9.140625" customHeight="1" defaultRowHeight="14.25"/>
  <cols>
    <col min="1" max="1" style="7720" width="9.140625" hidden="1"/>
    <col min="2" max="2" style="7669" width="9.140625" hidden="1"/>
    <col min="3" max="3" style="7720" width="3.7109375" hidden="1" customWidth="1"/>
    <col min="4" max="4" style="7936" width="3.00390625" customWidth="1"/>
    <col min="5" max="5" style="7720" width="6.00390625" customWidth="1"/>
    <col min="6" max="6" style="7720" width="27.00390625" customWidth="1"/>
    <col min="7" max="7" style="7720" width="29.00390625" customWidth="1"/>
    <col min="8" max="8" style="7720" width="25.00390625" customWidth="1"/>
    <col min="9" max="9" style="7720" width="5.00390625" customWidth="1"/>
    <col min="10" max="10" style="7720" width="6.00390625" customWidth="1"/>
    <col min="11" max="11" style="7720" width="41.00390625" customWidth="1"/>
    <col min="12" max="12" style="7720" width="42.00390625" customWidth="1"/>
    <col min="13" max="13" style="7720" width="41.00390625" customWidth="1"/>
    <col min="14" max="14" style="7720" width="89.00390625" customWidth="1"/>
    <col min="15" max="15" style="7672" width="3.00390625" customWidth="1"/>
    <col min="16" max="16" style="7672" width="8.00390625" customWidth="1"/>
    <col min="17" max="17" style="7720" width="9.140625" hidden="1"/>
  </cols>
  <sheetData>
    <row customHeight="1" ht="22.5" hidden="1">
      <c r="Q1" s="1276" t="s">
        <v>14</v>
      </c>
    </row>
    <row s="8469" customFormat="1" customHeight="1" ht="22.5" hidden="1">
      <c r="A2" s="617"/>
      <c r="B2" s="1281">
        <v>1</v>
      </c>
      <c r="C2" s="1281"/>
      <c r="D2" s="2049" t="s">
        <v>104</v>
      </c>
      <c r="E2" s="2248">
        <v>1</v>
      </c>
      <c r="F2" s="2424" t="str">
        <f>IF(region_name="","",region_name)</f>
        <v>Ленинградская область</v>
      </c>
      <c r="G2" s="2604"/>
      <c r="H2" s="2605"/>
      <c r="I2" s="595"/>
      <c r="J2" s="2031">
        <v>1</v>
      </c>
      <c r="K2" s="2033"/>
      <c r="L2" s="2033"/>
      <c r="M2" s="2033"/>
      <c r="N2" s="613"/>
      <c r="O2" s="1656"/>
      <c r="P2" s="632"/>
      <c r="Q2" s="544">
        <v>0</v>
      </c>
    </row>
    <row s="8469" customFormat="1" customHeight="1" ht="22.5" hidden="1">
      <c r="A3" s="952"/>
      <c r="B3" s="1281"/>
      <c r="C3" s="1281"/>
      <c r="D3" s="922"/>
      <c r="E3" s="2248"/>
      <c r="F3" s="2424"/>
      <c r="G3" s="2604"/>
      <c r="H3" s="2606"/>
      <c r="I3" s="542"/>
      <c r="J3" s="1621"/>
      <c r="K3" s="1621" t="s">
        <v>1905</v>
      </c>
      <c r="L3" s="1664"/>
      <c r="M3" s="2041"/>
      <c r="N3" s="2034"/>
      <c r="O3" s="1656"/>
      <c r="P3" s="632"/>
      <c r="Q3" s="544">
        <v>0</v>
      </c>
    </row>
    <row s="7217" customFormat="1" customHeight="1" ht="5.25" hidden="1">
      <c r="A4" s="617"/>
      <c r="D4" s="615"/>
      <c r="F4" s="368" t="s">
        <v>83</v>
      </c>
      <c r="G4" s="615" t="s">
        <v>84</v>
      </c>
      <c r="H4" s="615"/>
      <c r="I4" s="2044"/>
      <c r="J4" s="1665"/>
      <c r="K4" s="2032"/>
      <c r="L4" s="2032"/>
      <c r="M4" s="2032"/>
      <c r="N4" s="2028"/>
      <c r="O4" s="368" t="s">
        <v>83</v>
      </c>
      <c r="P4" s="368"/>
      <c r="Q4" s="632">
        <v>0</v>
      </c>
    </row>
    <row s="8469" customFormat="1" customHeight="1" ht="22.5" hidden="1">
      <c r="A5" s="1762"/>
      <c r="B5" s="1487">
        <v>1</v>
      </c>
      <c r="C5" s="1487"/>
      <c r="D5" s="922"/>
      <c r="E5" s="2034"/>
      <c r="F5" s="2034"/>
      <c r="G5" s="2034"/>
      <c r="H5" s="2045"/>
      <c r="I5" s="2050" t="s">
        <v>104</v>
      </c>
      <c r="J5" s="2043">
        <v>1</v>
      </c>
      <c r="K5" s="2033"/>
      <c r="L5" s="2033"/>
      <c r="M5" s="2033"/>
      <c r="N5" s="613"/>
      <c r="O5" s="1656"/>
      <c r="P5" s="1757"/>
      <c r="Q5" s="745">
        <v>0</v>
      </c>
    </row>
    <row s="6418" customFormat="1" customHeight="1" ht="14.699999999999998">
      <c r="A6" s="1276"/>
      <c r="B6" s="1281"/>
      <c r="C6" s="1276"/>
      <c r="D6" s="1616"/>
      <c r="E6" s="630"/>
      <c r="F6" s="630"/>
      <c r="G6" s="630"/>
      <c r="H6" s="630"/>
      <c r="I6" s="630"/>
      <c r="J6" s="630"/>
      <c r="K6" s="630"/>
      <c r="L6" s="630"/>
      <c r="M6" s="630"/>
      <c r="N6" s="1756"/>
      <c r="O6" s="368"/>
      <c r="P6" s="621"/>
      <c r="Q6" s="628">
        <v>14</v>
      </c>
    </row>
    <row s="6418" customFormat="1" customHeight="1" ht="27.299999999999997">
      <c r="A7" s="1276"/>
      <c r="B7" s="1281"/>
      <c r="C7" s="1276"/>
      <c r="D7" s="1616"/>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373"/>
      <c r="O7" s="368"/>
      <c r="P7" s="621"/>
      <c r="Q7" s="628">
        <v>26</v>
      </c>
    </row>
    <row s="6418" customFormat="1" customHeight="1" ht="14.699999999999998">
      <c r="A8" s="1276"/>
      <c r="B8" s="1281"/>
      <c r="C8" s="1276"/>
      <c r="D8" s="1616"/>
      <c r="E8" s="630"/>
      <c r="F8" s="288"/>
      <c r="G8" s="288"/>
      <c r="H8" s="288"/>
      <c r="I8" s="288"/>
      <c r="J8" s="288"/>
      <c r="K8" s="288"/>
      <c r="L8" s="288"/>
      <c r="M8" s="288"/>
      <c r="N8" s="737"/>
      <c r="O8" s="621"/>
      <c r="P8" s="621"/>
      <c r="Q8" s="628">
        <v>14</v>
      </c>
    </row>
    <row s="7994" customFormat="1" customHeight="1" ht="14.25" hidden="1">
      <c r="A9" s="1589"/>
      <c r="B9" s="1599"/>
      <c r="C9" s="1589"/>
      <c r="D9" s="1616"/>
      <c r="E9" s="2035"/>
      <c r="F9" s="2035"/>
      <c r="G9" s="2035"/>
      <c r="H9" s="2035"/>
      <c r="I9" s="2614"/>
      <c r="J9" s="2614"/>
      <c r="K9" s="2614"/>
      <c r="L9" s="2035"/>
      <c r="M9" s="2036"/>
      <c r="O9" s="1666"/>
      <c r="P9" s="1666"/>
      <c r="Q9" s="1667">
        <v>0</v>
      </c>
    </row>
    <row s="6418" customFormat="1" customHeight="1" ht="14.699999999999998">
      <c r="A10" s="1276"/>
      <c r="B10" s="1281"/>
      <c r="C10" s="1276"/>
      <c r="D10" s="1616"/>
      <c r="E10" s="2248" t="s">
        <v>324</v>
      </c>
      <c r="F10" s="2248"/>
      <c r="G10" s="2248"/>
      <c r="H10" s="2248"/>
      <c r="I10" s="2248"/>
      <c r="J10" s="2248"/>
      <c r="K10" s="2248"/>
      <c r="L10" s="2248"/>
      <c r="M10" s="2222"/>
      <c r="N10" s="2599" t="s">
        <v>325</v>
      </c>
      <c r="O10" s="621"/>
      <c r="P10" s="621"/>
      <c r="Q10" s="628">
        <v>14</v>
      </c>
    </row>
    <row s="6418" customFormat="1" customHeight="1" ht="44.25">
      <c r="A11" s="1752"/>
      <c r="B11" s="1487"/>
      <c r="C11" s="1752"/>
      <c r="D11" s="1636"/>
      <c r="E11" s="2613" t="s">
        <v>88</v>
      </c>
      <c r="F11" s="2613" t="s">
        <v>328</v>
      </c>
      <c r="G11" s="2613" t="s">
        <v>1906</v>
      </c>
      <c r="H11" s="2613"/>
      <c r="I11" s="2613" t="s">
        <v>1907</v>
      </c>
      <c r="J11" s="2613"/>
      <c r="K11" s="2613"/>
      <c r="L11" s="2613" t="s">
        <v>1908</v>
      </c>
      <c r="M11" s="2601" t="s">
        <v>1909</v>
      </c>
      <c r="N11" s="2612"/>
      <c r="O11" s="1745"/>
      <c r="P11" s="1745"/>
      <c r="Q11" s="1730">
        <v>42</v>
      </c>
    </row>
    <row s="6418" customFormat="1" customHeight="1" ht="29.25">
      <c r="A12" s="1276"/>
      <c r="B12" s="1281"/>
      <c r="C12" s="1276"/>
      <c r="D12" s="1616"/>
      <c r="E12" s="2599"/>
      <c r="F12" s="2613"/>
      <c r="G12" s="2030" t="s">
        <v>1910</v>
      </c>
      <c r="H12" s="2030" t="s">
        <v>332</v>
      </c>
      <c r="I12" s="2613"/>
      <c r="J12" s="2613"/>
      <c r="K12" s="2613"/>
      <c r="L12" s="2613"/>
      <c r="M12" s="2601"/>
      <c r="N12" s="2600"/>
      <c r="O12" s="621"/>
      <c r="P12" s="621"/>
      <c r="Q12" s="628">
        <v>28</v>
      </c>
    </row>
    <row s="8469" customFormat="1" customHeight="1" ht="23.25">
      <c r="A13" s="2220">
        <v>26379339</v>
      </c>
      <c r="B13" s="1281">
        <v>1</v>
      </c>
      <c r="C13" s="1281"/>
      <c r="D13" s="922"/>
      <c r="E13" s="2248">
        <v>1</v>
      </c>
      <c r="F13" s="2607" t="str">
        <f>IF(region_name="","",region_name)</f>
        <v>Ленинградская область</v>
      </c>
      <c r="G13" s="2608"/>
      <c r="H13" s="2615"/>
      <c r="I13" s="595"/>
      <c r="J13" s="2026">
        <v>1</v>
      </c>
      <c r="K13" s="2039"/>
      <c r="L13" s="2040"/>
      <c r="M13" s="2040"/>
      <c r="N13" s="2609" t="s">
        <v>1911</v>
      </c>
      <c r="O13" s="1656"/>
      <c r="P13" s="632"/>
      <c r="Q13" s="544">
        <v>22</v>
      </c>
    </row>
    <row s="8469" customFormat="1" customHeight="1" ht="23.25">
      <c r="A14" s="2220"/>
      <c r="B14" s="1281"/>
      <c r="C14" s="1281"/>
      <c r="D14" s="922"/>
      <c r="E14" s="2248"/>
      <c r="F14" s="2607"/>
      <c r="G14" s="2608"/>
      <c r="H14" s="2616"/>
      <c r="I14" s="542"/>
      <c r="J14" s="1621"/>
      <c r="K14" s="1621" t="s">
        <v>1905</v>
      </c>
      <c r="L14" s="1664"/>
      <c r="M14" s="1664"/>
      <c r="N14" s="2610"/>
      <c r="O14" s="1656"/>
      <c r="P14" s="632"/>
      <c r="Q14" s="544">
        <v>22</v>
      </c>
    </row>
    <row s="8469" customFormat="1" customHeight="1" ht="23.25">
      <c r="A15" s="2220"/>
      <c r="B15" s="1281"/>
      <c r="C15" s="533"/>
      <c r="D15" s="922"/>
      <c r="E15" s="542"/>
      <c r="F15" s="1621" t="s">
        <v>1897</v>
      </c>
      <c r="G15" s="1663"/>
      <c r="H15" s="1663"/>
      <c r="I15" s="308"/>
      <c r="J15" s="308"/>
      <c r="K15" s="308"/>
      <c r="L15" s="308"/>
      <c r="M15" s="308"/>
      <c r="N15" s="2610"/>
      <c r="O15" s="1657"/>
      <c r="P15" s="632"/>
      <c r="Q15" s="544">
        <v>22</v>
      </c>
    </row>
    <row s="6418" customFormat="1" customHeight="1" ht="22.049999999999997">
      <c r="A16" s="1276"/>
      <c r="B16" s="1281"/>
      <c r="C16" s="1276"/>
      <c r="D16" s="572"/>
      <c r="E16" s="301"/>
      <c r="F16" s="301"/>
      <c r="G16" s="301"/>
      <c r="H16" s="301"/>
      <c r="I16" s="301"/>
      <c r="J16" s="301"/>
      <c r="K16" s="301"/>
      <c r="L16" s="301"/>
      <c r="M16" s="630"/>
      <c r="N16" s="1756"/>
      <c r="O16" s="621"/>
      <c r="P16" s="621"/>
      <c r="Q16" s="628">
        <v>21</v>
      </c>
    </row>
    <row s="6418"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418"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82</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D704F-E69A-2145-9DD9-0.1708C7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419" width="9.140625" hidden="1"/>
    <col min="2" max="2" style="8221" width="9.140625" hidden="1"/>
    <col min="3" max="3" style="8028" width="3.00390625" customWidth="1"/>
    <col min="4" max="4" style="8221" width="6.00390625" customWidth="1"/>
    <col min="5" max="5" style="8221" width="22.00390625" customWidth="1"/>
    <col min="6" max="6" style="8221" width="15.00390625" customWidth="1"/>
    <col min="7" max="7" style="8221" width="14.00390625" customWidth="1"/>
    <col min="8" max="8" style="8221" width="47.00390625" customWidth="1"/>
    <col min="9" max="9" style="8221" width="115.00390625" customWidth="1"/>
    <col min="10" max="10" style="8221" width="3.00390625" customWidth="1"/>
    <col min="11" max="12" style="8221" width="8.00390625" customWidth="1"/>
    <col min="13" max="13" style="8221" width="9.140625" hidden="1"/>
  </cols>
  <sheetData>
    <row customHeight="1" ht="14.25" hidden="1">
      <c r="M1" s="242" t="s">
        <v>14</v>
      </c>
    </row>
    <row customHeight="1" ht="14.25" hidden="1">
      <c r="M2" s="242">
        <v>0</v>
      </c>
    </row>
    <row customHeight="1" ht="14.25" hidden="1">
      <c r="M3" s="242">
        <v>0</v>
      </c>
    </row>
    <row customHeight="1" ht="3">
      <c r="M4" s="242">
        <v>3</v>
      </c>
    </row>
    <row s="7720" customFormat="1" customHeight="1" ht="31.5">
      <c r="A5" s="236"/>
      <c r="C5" s="211"/>
      <c r="D5" s="2221" t="s">
        <v>1912</v>
      </c>
      <c r="E5" s="2221"/>
      <c r="F5" s="2221"/>
      <c r="G5" s="2221"/>
      <c r="H5" s="2221"/>
      <c r="I5" s="386"/>
      <c r="M5" s="204">
        <v>30</v>
      </c>
    </row>
    <row customHeight="1" ht="3" hidden="1">
      <c r="D6" s="243"/>
      <c r="E6" s="243"/>
      <c r="F6" s="243"/>
      <c r="G6" s="243"/>
      <c r="H6" s="243"/>
      <c r="I6" s="243"/>
      <c r="M6" s="242">
        <v>0</v>
      </c>
    </row>
    <row s="8419" customFormat="1" customHeight="1" ht="14.699999999999998">
      <c r="B7" s="240"/>
      <c r="C7" s="241"/>
      <c r="D7" s="244"/>
      <c r="E7" s="244"/>
      <c r="F7" s="244"/>
      <c r="G7" s="244"/>
      <c r="H7" s="873"/>
      <c r="I7" s="244"/>
      <c r="J7" s="245"/>
      <c r="M7" s="239">
        <v>14</v>
      </c>
    </row>
    <row customHeight="1" ht="14.699999999999998">
      <c r="D8" s="2330" t="s">
        <v>324</v>
      </c>
      <c r="E8" s="2330"/>
      <c r="F8" s="2330"/>
      <c r="G8" s="2330"/>
      <c r="H8" s="2330"/>
      <c r="I8" s="2330" t="s">
        <v>325</v>
      </c>
      <c r="M8" s="242">
        <v>14</v>
      </c>
    </row>
    <row customHeight="1" ht="29.25">
      <c r="D9" s="2330" t="s">
        <v>88</v>
      </c>
      <c r="E9" s="2330" t="s">
        <v>1913</v>
      </c>
      <c r="F9" s="2330"/>
      <c r="G9" s="2330"/>
      <c r="H9" s="2330"/>
      <c r="I9" s="2330"/>
      <c r="M9" s="242">
        <v>28</v>
      </c>
    </row>
    <row customHeight="1" ht="24">
      <c r="D10" s="2330"/>
      <c r="E10" s="248" t="s">
        <v>1914</v>
      </c>
      <c r="F10" s="248" t="s">
        <v>1915</v>
      </c>
      <c r="G10" s="248" t="s">
        <v>1916</v>
      </c>
      <c r="H10" s="248" t="s">
        <v>414</v>
      </c>
      <c r="I10" s="2330"/>
      <c r="M10" s="242">
        <v>23</v>
      </c>
    </row>
    <row customHeight="1" ht="12" hidden="1">
      <c r="D11" s="208" t="s">
        <v>123</v>
      </c>
      <c r="E11" s="208" t="s">
        <v>91</v>
      </c>
      <c r="F11" s="208" t="s">
        <v>124</v>
      </c>
      <c r="G11" s="208" t="s">
        <v>92</v>
      </c>
      <c r="H11" s="208" t="s">
        <v>93</v>
      </c>
      <c r="I11" s="208" t="s">
        <v>125</v>
      </c>
      <c r="M11" s="242">
        <v>0</v>
      </c>
    </row>
    <row s="8221" customFormat="1" customHeight="1" ht="26.25">
      <c r="A12" s="266" t="s">
        <v>90</v>
      </c>
      <c r="B12" s="246" t="s">
        <v>28</v>
      </c>
      <c r="C12" s="247"/>
      <c r="D12" s="249" t="s">
        <v>123</v>
      </c>
      <c r="E12" s="502"/>
      <c r="F12" s="502"/>
      <c r="G12" s="1855" t="s">
        <v>28</v>
      </c>
      <c r="H12" s="503"/>
      <c r="I12" s="2290" t="s">
        <v>1917</v>
      </c>
      <c r="K12" s="393"/>
      <c r="L12" s="394"/>
      <c r="M12" s="238">
        <v>25</v>
      </c>
    </row>
    <row customHeight="1" ht="15.75">
      <c r="A13" s="242"/>
      <c r="B13" s="242"/>
      <c r="C13" s="242"/>
      <c r="D13" s="230"/>
      <c r="E13" s="251" t="s">
        <v>490</v>
      </c>
      <c r="F13" s="250"/>
      <c r="G13" s="250"/>
      <c r="H13" s="335"/>
      <c r="I13" s="2292"/>
      <c r="M13" s="242">
        <v>15</v>
      </c>
    </row>
    <row customHeight="1" ht="3">
      <c r="A14" s="242"/>
      <c r="B14" s="242"/>
      <c r="C14" s="242"/>
      <c r="M14" s="242">
        <v>3</v>
      </c>
    </row>
    <row customHeight="1" ht="29.25">
      <c r="E15" s="2617" t="s">
        <v>1918</v>
      </c>
      <c r="F15" s="2617"/>
      <c r="G15" s="2617"/>
      <c r="H15" s="2617"/>
      <c r="M15" s="242">
        <v>28</v>
      </c>
    </row>
    <row customHeight="1" ht="14.25" hidden="1">
      <c r="A16" s="239" t="s">
        <v>82</v>
      </c>
      <c r="B16" s="240">
        <v>0</v>
      </c>
      <c r="C16" s="241">
        <v>3</v>
      </c>
      <c r="D16" s="242">
        <v>6</v>
      </c>
      <c r="E16" s="242">
        <v>22</v>
      </c>
      <c r="F16" s="242">
        <v>15</v>
      </c>
      <c r="G16" s="242">
        <v>14</v>
      </c>
      <c r="H16" s="242">
        <v>47</v>
      </c>
      <c r="I16" s="242">
        <v>115</v>
      </c>
      <c r="J16" s="242">
        <v>3</v>
      </c>
      <c r="K16" s="242">
        <v>8</v>
      </c>
      <c r="L16" s="242">
        <v>8</v>
      </c>
      <c r="M16" s="24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2BA66-9F87-1BDD-9C53-0.BF6ACF6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049" width="9.140625" hidden="1"/>
    <col min="3" max="3" style="8048" width="3.00390625" customWidth="1"/>
    <col min="4" max="4" style="8049" width="6.00390625" customWidth="1"/>
    <col min="5" max="5" style="8049" width="94.00390625" customWidth="1"/>
    <col min="6" max="9" style="8049" width="8.00390625" customWidth="1"/>
    <col min="10" max="10" style="8049"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1919</v>
      </c>
      <c r="E7" s="2619"/>
      <c r="F7" s="388"/>
      <c r="J7" s="190">
        <v>22</v>
      </c>
    </row>
    <row customHeight="1" ht="3">
      <c r="C8" s="213"/>
      <c r="D8" s="191"/>
      <c r="E8" s="191"/>
      <c r="J8" s="190">
        <v>3</v>
      </c>
    </row>
    <row customHeight="1" ht="16.8">
      <c r="C9" s="213"/>
      <c r="D9" s="226" t="s">
        <v>88</v>
      </c>
      <c r="E9" s="381" t="s">
        <v>1920</v>
      </c>
      <c r="J9" s="190">
        <v>16</v>
      </c>
    </row>
    <row customHeight="1" ht="1.05">
      <c r="C10" s="213"/>
      <c r="D10" s="208"/>
      <c r="E10" s="208"/>
      <c r="J10" s="190">
        <v>1</v>
      </c>
    </row>
    <row customHeight="1" ht="11.25" hidden="1">
      <c r="C11" s="213"/>
      <c r="D11" s="271">
        <v>0</v>
      </c>
      <c r="E11" s="382"/>
      <c r="J11" s="190">
        <v>0</v>
      </c>
    </row>
    <row customHeight="1" ht="15.75">
      <c r="C12" s="257"/>
      <c r="D12" s="234">
        <v>1</v>
      </c>
      <c r="E12" s="498"/>
      <c r="J12" s="190">
        <v>15</v>
      </c>
    </row>
    <row customHeight="1" ht="12.75">
      <c r="C13" s="213"/>
      <c r="D13" s="383"/>
      <c r="E13" s="384" t="s">
        <v>1921</v>
      </c>
      <c r="J13" s="190">
        <v>12</v>
      </c>
    </row>
    <row customHeight="1" ht="3">
      <c r="J14" s="190">
        <v>3</v>
      </c>
    </row>
    <row customHeight="1" ht="23.25">
      <c r="C15" s="258"/>
      <c r="D15" s="2620" t="s">
        <v>1922</v>
      </c>
      <c r="E15" s="2620"/>
      <c r="F15" s="259"/>
      <c r="G15" s="259"/>
      <c r="H15" s="259"/>
      <c r="I15" s="259"/>
      <c r="J15" s="190">
        <v>22</v>
      </c>
    </row>
    <row customHeight="1" ht="14.25" hidden="1">
      <c r="A16" s="190" t="s">
        <v>82</v>
      </c>
      <c r="B16" s="190">
        <v>0</v>
      </c>
      <c r="C16" s="212">
        <v>3</v>
      </c>
      <c r="D16" s="190">
        <v>6</v>
      </c>
      <c r="E16" s="190">
        <v>94</v>
      </c>
      <c r="F16" s="190">
        <v>8</v>
      </c>
      <c r="G16" s="190">
        <v>8</v>
      </c>
      <c r="H16" s="190">
        <v>8</v>
      </c>
      <c r="I16" s="190">
        <v>8</v>
      </c>
      <c r="J16" s="19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EDC87-B82D-A0E9-7547-0.470E396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049" width="9.140625" hidden="1"/>
    <col min="3" max="3" style="8048" width="3.00390625" customWidth="1"/>
    <col min="4" max="4" style="8049" width="6.00390625" customWidth="1"/>
    <col min="5" max="5" style="8049" width="94.00390625" customWidth="1"/>
    <col min="6" max="12" style="8049" width="8.00390625" customWidth="1"/>
    <col min="13" max="13" style="8049"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1923</v>
      </c>
      <c r="E7" s="2221"/>
      <c r="F7" s="388"/>
      <c r="M7" s="190">
        <v>22</v>
      </c>
    </row>
    <row customHeight="1" ht="3">
      <c r="C8" s="213"/>
      <c r="D8" s="191"/>
      <c r="E8" s="191"/>
      <c r="M8" s="190">
        <v>3</v>
      </c>
    </row>
    <row customHeight="1" ht="16.8">
      <c r="C9" s="213"/>
      <c r="D9" s="226" t="s">
        <v>88</v>
      </c>
      <c r="E9" s="229" t="s">
        <v>311</v>
      </c>
      <c r="M9" s="190">
        <v>16</v>
      </c>
    </row>
    <row customHeight="1" ht="12.75">
      <c r="C10" s="213"/>
      <c r="D10" s="208" t="s">
        <v>123</v>
      </c>
      <c r="E10" s="208" t="s">
        <v>103</v>
      </c>
      <c r="M10" s="190">
        <v>12</v>
      </c>
    </row>
    <row customHeight="1" ht="15" hidden="1">
      <c r="C11" s="213"/>
      <c r="D11" s="234">
        <v>0</v>
      </c>
      <c r="E11" s="270"/>
      <c r="M11" s="190">
        <v>0</v>
      </c>
    </row>
    <row customHeight="1" ht="14.699999999999998">
      <c r="C12" s="213"/>
      <c r="D12" s="230"/>
      <c r="E12" s="228" t="s">
        <v>1921</v>
      </c>
      <c r="M12" s="190">
        <v>14</v>
      </c>
    </row>
    <row customHeight="1" ht="14.25" hidden="1">
      <c r="A13" s="190" t="s">
        <v>82</v>
      </c>
      <c r="B13" s="190">
        <v>0</v>
      </c>
      <c r="C13" s="212">
        <v>3</v>
      </c>
      <c r="D13" s="190">
        <v>6</v>
      </c>
      <c r="E13" s="190">
        <v>94</v>
      </c>
      <c r="F13" s="190">
        <v>8</v>
      </c>
      <c r="G13" s="190">
        <v>8</v>
      </c>
      <c r="H13" s="190">
        <v>8</v>
      </c>
      <c r="I13" s="190">
        <v>8</v>
      </c>
      <c r="J13" s="190">
        <v>8</v>
      </c>
      <c r="K13" s="190">
        <v>8</v>
      </c>
      <c r="L13" s="190">
        <v>8</v>
      </c>
      <c r="M13" s="19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BF965-B5ED-3B46-CC91-0.9A47B7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69" width="1.7109375" customWidth="1"/>
    <col min="2" max="2" style="8469" width="34.57421875" customWidth="1"/>
    <col min="3" max="3" style="8469" width="85.00390625" customWidth="1"/>
    <col min="4" max="4" style="8469" width="17.00390625" customWidth="1"/>
    <col min="5" max="5" style="8469" width="8.00390625" customWidth="1"/>
    <col min="6" max="6" style="8469" width="9.140625" hidden="1"/>
  </cols>
  <sheetData>
    <row customHeight="1" ht="3">
      <c r="F1" s="210" t="s">
        <v>14</v>
      </c>
    </row>
    <row customHeight="1" ht="22.5">
      <c r="B2" s="2734" t="s">
        <v>1924</v>
      </c>
      <c r="C2" s="2621"/>
      <c r="D2" s="2621"/>
      <c r="E2" s="389"/>
      <c r="F2" s="210">
        <v>22</v>
      </c>
    </row>
    <row customHeight="1" ht="3">
      <c r="F3" s="210">
        <v>3</v>
      </c>
    </row>
    <row customHeight="1" ht="23.25">
      <c r="B4" s="2735" t="s">
        <v>1925</v>
      </c>
      <c r="C4" s="504" t="s">
        <v>1926</v>
      </c>
      <c r="D4" s="504" t="s">
        <v>1927</v>
      </c>
      <c r="F4" s="210">
        <v>22</v>
      </c>
    </row>
    <row customHeight="1" ht="11.25" hidden="1">
      <c r="A5" s="210" t="s">
        <v>82</v>
      </c>
      <c r="B5" s="210">
        <v>34</v>
      </c>
      <c r="C5" s="210">
        <v>85</v>
      </c>
      <c r="D5" s="210">
        <v>17</v>
      </c>
      <c r="E5" s="210">
        <v>8</v>
      </c>
      <c r="F5" s="21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48A5-F5C2-24FC-BA2D-0.88FA6B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69" width="26.57421875" customWidth="1"/>
    <col min="2" max="2" style="8469" width="10.00390625" customWidth="1"/>
    <col min="3" max="3" style="8469" width="9.140625"/>
    <col min="4" max="4" style="8469" width="11.140625" customWidth="1"/>
    <col min="5" max="5" style="8469" width="16.57421875" customWidth="1"/>
    <col min="6" max="6" style="8469" width="16.28125" customWidth="1"/>
    <col min="7" max="7" style="8469" width="19.140625" customWidth="1"/>
    <col min="8" max="11" style="8469" width="10.00390625" customWidth="1"/>
    <col min="12" max="12" style="8469" width="12.7109375" customWidth="1"/>
    <col min="13" max="13" style="8469" width="61.28125" customWidth="1"/>
    <col min="14" max="14" style="8469" width="10.00390625" customWidth="1"/>
    <col min="15" max="17" style="8469" width="23.7109375" customWidth="1"/>
    <col min="18" max="18" style="8469" width="11.7109375" customWidth="1"/>
    <col min="19" max="19" style="8469" width="8.57421875" customWidth="1"/>
    <col min="20" max="20" style="8469" width="11.7109375" customWidth="1"/>
    <col min="21" max="21" style="8469" width="8.57421875" customWidth="1"/>
    <col min="22" max="22" style="8469" width="4.7109375" customWidth="1"/>
    <col min="23" max="23" style="8469" width="115.7109375" customWidth="1"/>
    <col min="24" max="24" style="8469" width="115.28125" customWidth="1"/>
    <col min="25" max="27" style="8469" width="9.140625"/>
    <col min="28" max="28" style="8469" width="115.7109375" customWidth="1"/>
    <col min="29" max="29" style="8469" width="9.140625"/>
    <col min="30" max="90" style="8469" width="115.7109375" customWidth="1"/>
    <col min="91" max="184" style="8469" width="9.140625"/>
  </cols>
  <sheetData>
    <row r="2" s="8059" customFormat="1" customHeight="1" ht="17.25">
      <c r="A2" s="1936" t="s">
        <v>1928</v>
      </c>
    </row>
    <row r="4" s="8049" customFormat="1" customHeight="1" ht="15">
      <c r="C4" s="1937"/>
      <c r="D4" s="234"/>
      <c r="E4" s="498"/>
    </row>
    <row r="6" s="8059" customFormat="1" customHeight="1" ht="17.25">
      <c r="A6" s="1936" t="s">
        <v>1929</v>
      </c>
    </row>
    <row r="8" s="8049" customFormat="1" customHeight="1" ht="17.25">
      <c r="C8" s="1938"/>
      <c r="D8" s="234"/>
      <c r="E8" s="235"/>
    </row>
    <row r="11" s="8059" customFormat="1" customHeight="1" ht="17.25">
      <c r="A11" s="1936" t="s">
        <v>1930</v>
      </c>
    </row>
    <row r="13" s="6418" customFormat="1" customHeight="1" ht="15">
      <c r="A13" s="2338">
        <v>1</v>
      </c>
      <c r="B13" s="1281"/>
      <c r="C13" s="922" t="s">
        <v>104</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8469" customFormat="1" customHeight="1" ht="15">
      <c r="A14" s="2338"/>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8469" customFormat="1" customHeight="1" ht="15">
      <c r="A15" s="2338"/>
      <c r="B15" s="1281"/>
      <c r="C15" s="533"/>
      <c r="D15" s="922"/>
      <c r="E15" s="542"/>
      <c r="F15" s="298"/>
      <c r="G15" s="536" t="s">
        <v>112</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8059" customFormat="1" customHeight="1" ht="17.25">
      <c r="A17" s="1936" t="s">
        <v>1931</v>
      </c>
    </row>
    <row r="19" s="8469" customFormat="1" customHeight="1" ht="15">
      <c r="A19" s="2003"/>
      <c r="B19" s="1487">
        <v>1</v>
      </c>
      <c r="C19" s="1487"/>
      <c r="D19" s="921" t="s">
        <v>104</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8469" customFormat="1" customHeight="1" ht="15">
      <c r="A21" s="1936" t="s">
        <v>1932</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8469" customFormat="1" customHeight="1" ht="15">
      <c r="U22" s="306"/>
    </row>
    <row s="8300" customFormat="1" customHeight="1" ht="15">
      <c r="A23" s="544"/>
      <c r="B23" s="544"/>
      <c r="C23" s="1849" t="s">
        <v>104</v>
      </c>
      <c r="D23" s="2229" t="s">
        <v>123</v>
      </c>
      <c r="E23" s="2230"/>
      <c r="F23" s="2228" t="s">
        <v>19</v>
      </c>
      <c r="G23" s="2678"/>
      <c r="H23" s="2248">
        <v>1</v>
      </c>
      <c r="I23" s="2680" t="str">
        <f>IF(U23="","",INDEX(TERRITORY_MR_LIST,MATCH(U23,TERRITORY_LIST_ID,0)))</f>
        <v/>
      </c>
      <c r="J23" s="2228" t="s">
        <v>19</v>
      </c>
      <c r="K23" s="953"/>
      <c r="L23" s="1903" t="s">
        <v>123</v>
      </c>
      <c r="M23" s="724"/>
      <c r="N23" s="725"/>
      <c r="O23" s="725"/>
      <c r="P23" s="725"/>
      <c r="Q23" s="725"/>
      <c r="R23" s="725"/>
      <c r="S23" s="725"/>
      <c r="T23" s="725"/>
      <c r="U23" s="726"/>
      <c r="V23" s="725"/>
      <c r="W23" s="725"/>
      <c r="X23" s="716"/>
      <c r="Y23" s="716" t="s">
        <v>131</v>
      </c>
      <c r="Z23" s="716">
        <v>1705000</v>
      </c>
      <c r="AA23" s="716"/>
      <c r="AB23" s="716"/>
      <c r="AC23" s="716"/>
      <c r="AD23" s="716"/>
      <c r="AE23" s="716"/>
      <c r="AF23" s="716"/>
      <c r="AG23" s="716"/>
      <c r="AH23" s="716"/>
      <c r="AI23" s="716"/>
      <c r="AJ23" s="716"/>
      <c r="AK23" s="716"/>
      <c r="AL23" s="716"/>
    </row>
    <row s="8300" customFormat="1" customHeight="1" ht="15">
      <c r="A24" s="544"/>
      <c r="B24" s="544"/>
      <c r="C24" s="297"/>
      <c r="D24" s="2229"/>
      <c r="E24" s="2231"/>
      <c r="F24" s="2228"/>
      <c r="G24" s="2679"/>
      <c r="H24" s="2248"/>
      <c r="I24" s="2681"/>
      <c r="J24" s="2228"/>
      <c r="K24" s="542"/>
      <c r="L24" s="298"/>
      <c r="M24" s="728" t="s">
        <v>132</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8300" customFormat="1" customHeight="1" ht="15">
      <c r="A25" s="544"/>
      <c r="B25" s="544"/>
      <c r="C25" s="297"/>
      <c r="D25" s="2229"/>
      <c r="E25" s="2232"/>
      <c r="F25" s="2228"/>
      <c r="G25" s="542"/>
      <c r="H25" s="298"/>
      <c r="I25" s="701" t="s">
        <v>133</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8469" customFormat="1" customHeight="1" ht="15">
      <c r="U26" s="306"/>
    </row>
    <row s="8469" customFormat="1" customHeight="1" ht="15">
      <c r="A27" s="1936" t="s">
        <v>1933</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8469" customFormat="1" customHeight="1" ht="15">
      <c r="U28" s="306"/>
    </row>
    <row s="8300" customFormat="1" customHeight="1" ht="15">
      <c r="A29" s="544"/>
      <c r="B29" s="544"/>
      <c r="C29" s="297"/>
      <c r="D29" s="1942"/>
      <c r="E29" s="1942"/>
      <c r="F29" s="1942"/>
      <c r="G29" s="2682" t="s">
        <v>104</v>
      </c>
      <c r="H29" s="2224">
        <v>1</v>
      </c>
      <c r="I29" s="2683" t="str">
        <f>IF(U29="","",INDEX(TERRITORY_MR_LIST,MATCH(U29,TERRITORY_LIST_ID,0)))</f>
        <v/>
      </c>
      <c r="J29" s="2228" t="s">
        <v>19</v>
      </c>
      <c r="K29" s="953"/>
      <c r="L29" s="1903" t="s">
        <v>123</v>
      </c>
      <c r="M29" s="724"/>
      <c r="N29" s="725"/>
      <c r="O29" s="725"/>
      <c r="P29" s="725"/>
      <c r="Q29" s="725"/>
      <c r="R29" s="725"/>
      <c r="S29" s="725"/>
      <c r="T29" s="725"/>
      <c r="U29" s="726"/>
      <c r="V29" s="725"/>
      <c r="W29" s="725"/>
      <c r="X29" s="716"/>
      <c r="Y29" s="716" t="s">
        <v>131</v>
      </c>
      <c r="Z29" s="716">
        <v>1705000</v>
      </c>
      <c r="AA29" s="716"/>
      <c r="AB29" s="716"/>
      <c r="AC29" s="716"/>
      <c r="AD29" s="716"/>
      <c r="AE29" s="716"/>
      <c r="AF29" s="716"/>
      <c r="AG29" s="716"/>
      <c r="AH29" s="716"/>
      <c r="AI29" s="716"/>
      <c r="AJ29" s="716"/>
      <c r="AK29" s="716"/>
      <c r="AL29" s="716"/>
    </row>
    <row s="8300" customFormat="1" customHeight="1" ht="15">
      <c r="A30" s="544"/>
      <c r="B30" s="544"/>
      <c r="C30" s="297"/>
      <c r="D30" s="1942"/>
      <c r="E30" s="1942"/>
      <c r="F30" s="1942"/>
      <c r="G30" s="2682"/>
      <c r="H30" s="2224"/>
      <c r="I30" s="2683"/>
      <c r="J30" s="2228"/>
      <c r="K30" s="542"/>
      <c r="L30" s="298"/>
      <c r="M30" s="728" t="s">
        <v>132</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8469" customFormat="1" customHeight="1" ht="15">
      <c r="U31" s="306"/>
    </row>
    <row s="8469" customFormat="1" customHeight="1" ht="15">
      <c r="A32" s="1936" t="s">
        <v>1934</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8469" customFormat="1" customHeight="1" ht="15">
      <c r="U33" s="306"/>
    </row>
    <row s="8300" customFormat="1" customHeight="1" ht="15">
      <c r="A34" s="544"/>
      <c r="B34" s="544"/>
      <c r="C34" s="297"/>
      <c r="D34" s="1942"/>
      <c r="E34" s="1942"/>
      <c r="F34" s="1942"/>
      <c r="G34" s="1942"/>
      <c r="H34" s="1942"/>
      <c r="I34" s="1942"/>
      <c r="J34" s="1942"/>
      <c r="K34" s="1920" t="s">
        <v>104</v>
      </c>
      <c r="L34" s="1850" t="s">
        <v>123</v>
      </c>
      <c r="M34" s="932"/>
      <c r="N34" s="933"/>
      <c r="O34" s="725"/>
      <c r="P34" s="725"/>
      <c r="Q34" s="725"/>
      <c r="R34" s="725"/>
      <c r="S34" s="725"/>
      <c r="T34" s="725"/>
      <c r="U34" s="726"/>
      <c r="V34" s="725"/>
      <c r="W34" s="725"/>
      <c r="X34" s="716"/>
      <c r="Y34" s="716" t="s">
        <v>131</v>
      </c>
      <c r="Z34" s="716">
        <v>1705000</v>
      </c>
      <c r="AA34" s="716"/>
      <c r="AB34" s="716"/>
      <c r="AC34" s="716"/>
      <c r="AD34" s="716"/>
      <c r="AE34" s="716"/>
      <c r="AF34" s="716"/>
      <c r="AG34" s="716"/>
      <c r="AH34" s="716"/>
      <c r="AI34" s="716"/>
      <c r="AJ34" s="716"/>
      <c r="AK34" s="716"/>
      <c r="AL34" s="716"/>
    </row>
    <row s="8469" customFormat="1" customHeight="1" ht="15">
      <c r="U35" s="306"/>
    </row>
    <row s="8469" customFormat="1" customHeight="1" ht="15">
      <c r="U36" s="306"/>
    </row>
    <row s="8059" customFormat="1" customHeight="1" ht="11.25">
      <c r="A37" s="1936" t="s">
        <v>1935</v>
      </c>
    </row>
    <row customHeight="1" ht="11.25"/>
    <row s="6350" customFormat="1" customHeight="1" ht="22.5">
      <c r="A39" s="1912"/>
      <c r="B39" s="578"/>
      <c r="C39" s="980"/>
      <c r="D39" s="561"/>
      <c r="E39" s="981"/>
      <c r="F39" s="1933"/>
      <c r="G39" s="1943"/>
      <c r="H39" s="596"/>
    </row>
    <row customHeight="1" ht="11.25"/>
    <row s="8059" customFormat="1" customHeight="1" ht="11.25">
      <c r="A41" s="1936" t="s">
        <v>1936</v>
      </c>
    </row>
    <row customHeight="1" ht="11.25"/>
    <row s="6350" customFormat="1" customHeight="1" ht="22.5">
      <c r="A43" s="578"/>
      <c r="B43" s="578"/>
      <c r="C43" s="578"/>
      <c r="D43" s="561"/>
      <c r="E43" s="981"/>
      <c r="F43" s="982"/>
      <c r="G43" s="1943"/>
      <c r="H43" s="596"/>
    </row>
    <row customHeight="1" ht="11.25"/>
    <row s="8059" customFormat="1" customHeight="1" ht="11.25">
      <c r="A45" s="1936" t="s">
        <v>1937</v>
      </c>
    </row>
    <row customHeight="1" ht="11.25"/>
    <row s="6350" customFormat="1" customHeight="1" ht="24">
      <c r="A47" s="2323" t="s">
        <v>337</v>
      </c>
      <c r="B47" s="623"/>
      <c r="C47" s="2334"/>
      <c r="D47" s="566" t="str">
        <f>A47</f>
        <v>5.1</v>
      </c>
      <c r="E47" s="563" t="s">
        <v>338</v>
      </c>
      <c r="F47" s="2097" t="s">
        <v>330</v>
      </c>
      <c r="G47" s="565" t="s">
        <v>339</v>
      </c>
      <c r="H47" s="596"/>
      <c r="I47" s="973"/>
    </row>
    <row s="6350" customFormat="1" customHeight="1" ht="22.5">
      <c r="A48" s="2323"/>
      <c r="B48" s="623"/>
      <c r="C48" s="2334"/>
      <c r="D48" s="561" t="str">
        <f>D47&amp;".1"</f>
        <v>5.1.1</v>
      </c>
      <c r="E48" s="560" t="s">
        <v>340</v>
      </c>
      <c r="F48" s="2098" t="s">
        <v>28</v>
      </c>
      <c r="G48" s="595"/>
      <c r="H48" s="596"/>
      <c r="I48" s="973"/>
    </row>
    <row s="6350" customFormat="1" customHeight="1" ht="22.5">
      <c r="A49" s="2323"/>
      <c r="B49" s="623"/>
      <c r="C49" s="2334"/>
      <c r="D49" s="561" t="str">
        <f>D47&amp;".2"</f>
        <v>5.1.2</v>
      </c>
      <c r="E49" s="560" t="s">
        <v>341</v>
      </c>
      <c r="F49" s="1853" t="s">
        <v>28</v>
      </c>
      <c r="G49" s="565" t="s">
        <v>342</v>
      </c>
      <c r="H49" s="596"/>
      <c r="I49" s="973"/>
    </row>
    <row s="6350" customFormat="1" customHeight="1" ht="22.5">
      <c r="A50" s="2323"/>
      <c r="B50" s="623"/>
      <c r="C50" s="2334"/>
      <c r="D50" s="561" t="str">
        <f>D47&amp;".3"</f>
        <v>5.1.3</v>
      </c>
      <c r="E50" s="560" t="s">
        <v>343</v>
      </c>
      <c r="F50" s="2098" t="s">
        <v>28</v>
      </c>
      <c r="G50" s="595"/>
      <c r="H50" s="596"/>
      <c r="I50" s="973"/>
    </row>
    <row s="6350" customFormat="1" customHeight="1" ht="22.5">
      <c r="A51" s="2323"/>
      <c r="B51" s="623"/>
      <c r="C51" s="2334"/>
      <c r="D51" s="561" t="str">
        <f>D47&amp;".4"</f>
        <v>5.1.4</v>
      </c>
      <c r="E51" s="560" t="s">
        <v>344</v>
      </c>
      <c r="F51" s="2098" t="s">
        <v>28</v>
      </c>
      <c r="G51" s="565" t="s">
        <v>345</v>
      </c>
      <c r="H51" s="596"/>
      <c r="I51" s="973"/>
    </row>
    <row r="54" s="8059" customFormat="1" customHeight="1" ht="17.25">
      <c r="A54" s="1936" t="s">
        <v>1938</v>
      </c>
    </row>
    <row r="56" s="6437" customFormat="1" customHeight="1" ht="18.75">
      <c r="A56" s="210"/>
      <c r="B56" s="1944"/>
      <c r="C56" s="1944"/>
      <c r="D56" s="1945"/>
      <c r="E56" s="1930"/>
      <c r="F56" s="989">
        <v>13</v>
      </c>
      <c r="G56" s="988"/>
      <c r="H56" s="914"/>
      <c r="I56" s="912"/>
      <c r="J56" s="641" t="s">
        <v>66</v>
      </c>
      <c r="K56" s="1946" t="s">
        <v>28</v>
      </c>
      <c r="L56" s="210"/>
      <c r="M56" s="1757"/>
      <c r="N56" s="1757"/>
      <c r="O56" s="1757"/>
      <c r="P56" s="637" t="s">
        <v>416</v>
      </c>
      <c r="Q56" s="637" t="s">
        <v>417</v>
      </c>
      <c r="R56" s="638" t="s">
        <v>418</v>
      </c>
      <c r="S56" s="1757" t="s">
        <v>419</v>
      </c>
      <c r="T56" s="1757"/>
      <c r="U56" s="1757"/>
      <c r="V56" s="1757"/>
    </row>
    <row r="58" s="8059" customFormat="1" customHeight="1" ht="11.25">
      <c r="A58" s="1936" t="s">
        <v>1939</v>
      </c>
    </row>
    <row r="60" s="7720" customFormat="1" customHeight="1" ht="14.25">
      <c r="C60" s="1809"/>
      <c r="D60" s="1990"/>
      <c r="E60" s="1898" t="s">
        <v>28</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405</v>
      </c>
      <c r="AQ60" s="1745" t="s">
        <v>405</v>
      </c>
      <c r="AR60" s="1757"/>
      <c r="AS60" s="1757"/>
    </row>
    <row r="62" s="8059" customFormat="1" customHeight="1" ht="11.25">
      <c r="A62" s="1936" t="s">
        <v>1940</v>
      </c>
    </row>
    <row r="64" s="8221" customFormat="1" customHeight="1" ht="15">
      <c r="A64" s="266" t="s">
        <v>90</v>
      </c>
      <c r="B64" s="246" t="s">
        <v>28</v>
      </c>
      <c r="C64" s="1947"/>
      <c r="D64" s="249"/>
      <c r="E64" s="502"/>
      <c r="F64" s="502"/>
      <c r="G64" s="1924"/>
      <c r="H64" s="1946"/>
      <c r="I64" s="1925"/>
      <c r="K64" s="393"/>
      <c r="L64" s="394"/>
    </row>
    <row r="66" s="8059" customFormat="1" customHeight="1" ht="11.25">
      <c r="A66" s="1936" t="s">
        <v>1941</v>
      </c>
    </row>
    <row r="68" s="7720" customFormat="1" customHeight="1" ht="14.25">
      <c r="A68" s="464"/>
      <c r="B68" s="1281"/>
      <c r="C68" s="497"/>
      <c r="D68" s="1931"/>
      <c r="E68" s="1007"/>
      <c r="F68" s="1946"/>
      <c r="G68" s="210"/>
      <c r="I68" s="1745"/>
      <c r="J68" s="1745"/>
    </row>
    <row r="70" s="8059" customFormat="1" customHeight="1" ht="11.25">
      <c r="A70" s="1936" t="s">
        <v>1942</v>
      </c>
    </row>
    <row r="72" s="7720" customFormat="1" customHeight="1" ht="27">
      <c r="A72" s="1287"/>
      <c r="B72" s="1287"/>
      <c r="C72" s="1287"/>
      <c r="D72" s="1281"/>
      <c r="E72" s="1948"/>
      <c r="F72" s="2702"/>
      <c r="G72" s="2703"/>
      <c r="H72" s="2704" t="s">
        <v>66</v>
      </c>
      <c r="I72" s="2706"/>
      <c r="J72" s="2669"/>
      <c r="K72" s="2708"/>
      <c r="L72" s="2671"/>
      <c r="M72" s="2671"/>
      <c r="N72" s="2672"/>
      <c r="O72" s="2672"/>
      <c r="P72" s="2673">
        <f>DATEDIF(DATEVALUE(N72),DATEVALUE(O72),"y")&amp;"г. "&amp;DATEDIF(DATEVALUE(N72),DATEVALUE(O72),"ym")&amp;"мес. "&amp;DATEVALUE(O72)-DATE(YEAR(DATEVALUE(O72)),MONTH(DATEVALUE(O72)),1)&amp;"дн. "</f>
      </c>
      <c r="Q72" s="2668"/>
      <c r="R72" s="2668"/>
      <c r="S72" s="2668"/>
      <c r="T72" s="2669"/>
      <c r="U72" s="2668"/>
      <c r="V72" s="2668"/>
      <c r="W72" s="2668"/>
      <c r="X72" s="2669"/>
      <c r="Y72" s="2666" t="s">
        <v>66</v>
      </c>
      <c r="Z72" s="1929"/>
      <c r="AA72" s="1913">
        <v>1</v>
      </c>
      <c r="AB72" s="1363"/>
      <c r="AD72" s="1757" t="s">
        <v>1943</v>
      </c>
    </row>
    <row s="7720" customFormat="1" customHeight="1" ht="10.5">
      <c r="A73" s="1287"/>
      <c r="B73" s="1287"/>
      <c r="C73" s="1287"/>
      <c r="D73" s="1281"/>
      <c r="E73" s="1068"/>
      <c r="F73" s="2702"/>
      <c r="G73" s="2703"/>
      <c r="H73" s="2705"/>
      <c r="I73" s="2707"/>
      <c r="J73" s="2670"/>
      <c r="K73" s="2708"/>
      <c r="L73" s="2671"/>
      <c r="M73" s="2671"/>
      <c r="N73" s="2672"/>
      <c r="O73" s="2672"/>
      <c r="P73" s="2673"/>
      <c r="Q73" s="2668"/>
      <c r="R73" s="2668"/>
      <c r="S73" s="2668"/>
      <c r="T73" s="2670"/>
      <c r="U73" s="2668"/>
      <c r="V73" s="2668"/>
      <c r="W73" s="2668"/>
      <c r="X73" s="2670"/>
      <c r="Y73" s="2667"/>
      <c r="Z73" s="468"/>
      <c r="AA73" s="693"/>
      <c r="AB73" s="773" t="s">
        <v>1944</v>
      </c>
    </row>
    <row r="75" s="8059" customFormat="1" customHeight="1" ht="11.25">
      <c r="A75" s="1936" t="s">
        <v>1945</v>
      </c>
    </row>
    <row r="77" s="7720"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1943</v>
      </c>
    </row>
    <row r="79" s="8059" customFormat="1" customHeight="1" ht="11.25">
      <c r="A79" s="1936" t="s">
        <v>1946</v>
      </c>
    </row>
    <row customHeight="1" ht="17.25"/>
    <row s="7720"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720" customFormat="1" customHeight="1" ht="0.75">
      <c r="A82" s="1287"/>
      <c r="B82" s="1287"/>
      <c r="C82" s="1287"/>
      <c r="D82" s="1281"/>
      <c r="E82" s="1291"/>
      <c r="F82" s="2657"/>
      <c r="G82" s="2636"/>
      <c r="H82" s="2661" t="s">
        <v>400</v>
      </c>
      <c r="I82" s="2662"/>
      <c r="J82" s="2663"/>
      <c r="K82" s="2663"/>
      <c r="L82" s="2655"/>
      <c r="M82" s="2389"/>
      <c r="N82" s="2157"/>
      <c r="O82" s="2156"/>
      <c r="P82" s="2157"/>
      <c r="Q82" s="2157"/>
      <c r="R82" s="2157"/>
      <c r="S82" s="2157"/>
      <c r="T82" s="2157"/>
      <c r="U82" s="2157"/>
      <c r="V82" s="2157"/>
      <c r="W82" s="2157"/>
      <c r="X82" s="2157"/>
      <c r="Y82" s="2157"/>
      <c r="Z82" s="2157"/>
      <c r="AA82" s="2157"/>
      <c r="AB82" s="2157"/>
      <c r="AC82" s="2157"/>
      <c r="AD82" s="2157"/>
      <c r="AE82" s="2157"/>
      <c r="AF82" s="2659"/>
      <c r="AG82" s="2655"/>
      <c r="AH82" s="2655"/>
      <c r="AI82" s="2659"/>
      <c r="AJ82" s="2655"/>
      <c r="AK82" s="2655"/>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720" customFormat="1" customHeight="1" ht="0.75">
      <c r="A83" s="1287"/>
      <c r="B83" s="1287"/>
      <c r="C83" s="1287"/>
      <c r="D83" s="1281"/>
      <c r="E83" s="1291"/>
      <c r="F83" s="2657"/>
      <c r="G83" s="2636"/>
      <c r="H83" s="2661"/>
      <c r="I83" s="2662"/>
      <c r="J83" s="2663"/>
      <c r="K83" s="2663"/>
      <c r="L83" s="2655"/>
      <c r="M83" s="2389"/>
      <c r="N83" s="2664"/>
      <c r="O83" s="2665"/>
      <c r="P83" s="2709"/>
      <c r="Q83" s="2660"/>
      <c r="R83" s="2660"/>
      <c r="S83" s="2660"/>
      <c r="T83" s="2660"/>
      <c r="U83" s="2660"/>
      <c r="V83" s="2660"/>
      <c r="W83" s="2660"/>
      <c r="X83" s="2660"/>
      <c r="Y83" s="2660"/>
      <c r="Z83" s="2158"/>
      <c r="AA83" s="2159"/>
      <c r="AB83" s="2159"/>
      <c r="AC83" s="2160"/>
      <c r="AD83" s="2160"/>
      <c r="AE83" s="2161"/>
      <c r="AF83" s="2659"/>
      <c r="AG83" s="2655"/>
      <c r="AH83" s="2655"/>
      <c r="AI83" s="2659"/>
      <c r="AJ83" s="2655"/>
      <c r="AK83" s="2655"/>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720" customFormat="1" customHeight="1" ht="0.75">
      <c r="A84" s="1287"/>
      <c r="B84" s="1287"/>
      <c r="C84" s="1287"/>
      <c r="D84" s="1281"/>
      <c r="E84" s="1291"/>
      <c r="F84" s="2657"/>
      <c r="G84" s="2636"/>
      <c r="H84" s="2661"/>
      <c r="I84" s="2662"/>
      <c r="J84" s="2663"/>
      <c r="K84" s="2663"/>
      <c r="L84" s="2655"/>
      <c r="M84" s="2389"/>
      <c r="N84" s="2664"/>
      <c r="O84" s="2665"/>
      <c r="P84" s="2710"/>
      <c r="Q84" s="2660"/>
      <c r="R84" s="2660"/>
      <c r="S84" s="2660"/>
      <c r="T84" s="2660"/>
      <c r="U84" s="2660"/>
      <c r="V84" s="2660"/>
      <c r="W84" s="2660"/>
      <c r="X84" s="2660"/>
      <c r="Y84" s="2660"/>
      <c r="Z84" s="2162"/>
      <c r="AA84" s="2163"/>
      <c r="AB84" s="2164"/>
      <c r="AC84" s="2165"/>
      <c r="AD84" s="2164"/>
      <c r="AE84" s="2165"/>
      <c r="AF84" s="2659"/>
      <c r="AG84" s="2655"/>
      <c r="AH84" s="2655"/>
      <c r="AI84" s="2659"/>
      <c r="AJ84" s="2655"/>
      <c r="AK84" s="2655"/>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720" customFormat="1" customHeight="1" ht="0.75">
      <c r="A85" s="1287"/>
      <c r="B85" s="1287"/>
      <c r="C85" s="1287"/>
      <c r="D85" s="1281"/>
      <c r="E85" s="1291"/>
      <c r="F85" s="2657"/>
      <c r="G85" s="2636"/>
      <c r="H85" s="2661"/>
      <c r="I85" s="2662"/>
      <c r="J85" s="2663"/>
      <c r="K85" s="2663"/>
      <c r="L85" s="2655"/>
      <c r="M85" s="2389"/>
      <c r="N85" s="2664"/>
      <c r="O85" s="2665"/>
      <c r="P85" s="2711"/>
      <c r="Q85" s="2660"/>
      <c r="R85" s="2660"/>
      <c r="S85" s="2660"/>
      <c r="T85" s="2660"/>
      <c r="U85" s="2660"/>
      <c r="V85" s="2660"/>
      <c r="W85" s="2660"/>
      <c r="X85" s="2660"/>
      <c r="Y85" s="2660"/>
      <c r="Z85" s="2158"/>
      <c r="AA85" s="2159"/>
      <c r="AB85" s="2166"/>
      <c r="AC85" s="2160"/>
      <c r="AD85" s="2160"/>
      <c r="AE85" s="2167"/>
      <c r="AF85" s="2659"/>
      <c r="AG85" s="2655"/>
      <c r="AH85" s="2655"/>
      <c r="AI85" s="2659"/>
      <c r="AJ85" s="2655"/>
      <c r="AK85" s="2655"/>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720" customFormat="1" customHeight="1" ht="0.75">
      <c r="A86" s="1287"/>
      <c r="B86" s="1287"/>
      <c r="C86" s="1287"/>
      <c r="D86" s="1281"/>
      <c r="E86" s="1291"/>
      <c r="F86" s="2657"/>
      <c r="G86" s="2636"/>
      <c r="H86" s="2661"/>
      <c r="I86" s="2662"/>
      <c r="J86" s="2663"/>
      <c r="K86" s="2663"/>
      <c r="L86" s="2655"/>
      <c r="M86" s="2389"/>
      <c r="N86" s="2159"/>
      <c r="O86" s="2159"/>
      <c r="P86" s="2166"/>
      <c r="Q86" s="2159"/>
      <c r="R86" s="2159"/>
      <c r="S86" s="2159"/>
      <c r="T86" s="2159"/>
      <c r="U86" s="2159"/>
      <c r="V86" s="2159"/>
      <c r="W86" s="2159"/>
      <c r="X86" s="2159"/>
      <c r="Y86" s="2159"/>
      <c r="Z86" s="2159"/>
      <c r="AA86" s="2159"/>
      <c r="AB86" s="2159"/>
      <c r="AC86" s="2159"/>
      <c r="AD86" s="2159"/>
      <c r="AE86" s="2168"/>
      <c r="AF86" s="2659"/>
      <c r="AG86" s="2655"/>
      <c r="AH86" s="2655"/>
      <c r="AI86" s="2659"/>
      <c r="AJ86" s="2655"/>
      <c r="AK86" s="2655"/>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720" customFormat="1" customHeight="1" ht="12">
      <c r="A87" s="1287"/>
      <c r="B87" s="1287"/>
      <c r="C87" s="1287"/>
      <c r="D87" s="1281"/>
      <c r="E87" s="1291"/>
      <c r="F87" s="2658"/>
      <c r="G87" s="1311"/>
      <c r="H87" s="1311"/>
      <c r="I87" s="2656" t="s">
        <v>1947</v>
      </c>
      <c r="J87" s="2656"/>
      <c r="K87" s="2656"/>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8059" customFormat="1" customHeight="1" ht="11.25">
      <c r="A89" s="1936" t="s">
        <v>1948</v>
      </c>
    </row>
    <row r="91" s="7720" customFormat="1" customHeight="1" ht="11.25">
      <c r="A91" s="1287"/>
      <c r="B91" s="1287"/>
      <c r="C91" s="1287"/>
      <c r="D91" s="1281"/>
      <c r="E91" s="1291"/>
      <c r="F91" s="1950"/>
      <c r="G91" s="1951"/>
      <c r="H91" s="1951"/>
      <c r="I91" s="1885"/>
      <c r="J91" s="1885"/>
      <c r="K91" s="1952"/>
      <c r="L91" s="1885"/>
      <c r="M91" s="1951"/>
      <c r="N91" s="2629"/>
      <c r="O91" s="2712">
        <v>1</v>
      </c>
      <c r="P91" s="2631" t="s">
        <v>19</v>
      </c>
      <c r="Q91" s="2634" t="s">
        <v>28</v>
      </c>
      <c r="R91" s="2634" t="s">
        <v>28</v>
      </c>
      <c r="S91" s="2634" t="s">
        <v>28</v>
      </c>
      <c r="T91" s="2634" t="s">
        <v>28</v>
      </c>
      <c r="U91" s="2634" t="s">
        <v>28</v>
      </c>
      <c r="V91" s="2634" t="s">
        <v>28</v>
      </c>
      <c r="W91" s="2634" t="s">
        <v>28</v>
      </c>
      <c r="X91" s="2634" t="s">
        <v>28</v>
      </c>
      <c r="Y91" s="2634"/>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720" customFormat="1" customHeight="1" ht="11.25">
      <c r="A92" s="1287"/>
      <c r="B92" s="1287"/>
      <c r="C92" s="1287"/>
      <c r="D92" s="1281"/>
      <c r="E92" s="1291"/>
      <c r="F92" s="1950"/>
      <c r="G92" s="1951"/>
      <c r="H92" s="1951"/>
      <c r="I92" s="1886"/>
      <c r="J92" s="1886"/>
      <c r="K92" s="1952"/>
      <c r="L92" s="1886"/>
      <c r="M92" s="1951"/>
      <c r="N92" s="2629"/>
      <c r="O92" s="2712"/>
      <c r="P92" s="2632"/>
      <c r="Q92" s="2634"/>
      <c r="R92" s="2634"/>
      <c r="S92" s="2635"/>
      <c r="T92" s="2634"/>
      <c r="U92" s="2634"/>
      <c r="V92" s="2634"/>
      <c r="W92" s="2634"/>
      <c r="X92" s="2634"/>
      <c r="Y92" s="2634"/>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720" customFormat="1" customHeight="1" ht="11.25">
      <c r="A93" s="1287"/>
      <c r="B93" s="1287"/>
      <c r="C93" s="1287"/>
      <c r="D93" s="1281"/>
      <c r="E93" s="1291"/>
      <c r="F93" s="1950"/>
      <c r="G93" s="1951"/>
      <c r="H93" s="1951"/>
      <c r="I93" s="1887"/>
      <c r="J93" s="1887"/>
      <c r="K93" s="1952"/>
      <c r="L93" s="1887"/>
      <c r="M93" s="1951"/>
      <c r="N93" s="2629"/>
      <c r="O93" s="2712"/>
      <c r="P93" s="2633"/>
      <c r="Q93" s="2634"/>
      <c r="R93" s="2634"/>
      <c r="S93" s="2635"/>
      <c r="T93" s="2634"/>
      <c r="U93" s="2634"/>
      <c r="V93" s="2634"/>
      <c r="W93" s="2634"/>
      <c r="X93" s="2634"/>
      <c r="Y93" s="2634"/>
      <c r="Z93" s="1296"/>
      <c r="AA93" s="1297"/>
      <c r="AB93" s="1362" t="s">
        <v>1949</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8059" customFormat="1" customHeight="1" ht="11.25">
      <c r="A95" s="1936" t="s">
        <v>1950</v>
      </c>
    </row>
    <row r="97" s="7720"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8059" customFormat="1" customHeight="1" ht="11.25">
      <c r="A99" s="1936" t="s">
        <v>1951</v>
      </c>
    </row>
    <row r="101" s="7720" customFormat="1" customHeight="1" ht="11.25">
      <c r="A101" s="1287"/>
      <c r="B101" s="1287"/>
      <c r="C101" s="1287"/>
      <c r="D101" s="1281"/>
      <c r="E101" s="1291"/>
      <c r="F101" s="1950"/>
      <c r="G101" s="1951"/>
      <c r="H101" s="2636" t="s">
        <v>123</v>
      </c>
      <c r="I101" s="2637"/>
      <c r="J101" s="2606"/>
      <c r="K101" s="2638"/>
      <c r="L101" s="2228" t="s">
        <v>19</v>
      </c>
      <c r="M101" s="2229"/>
      <c r="N101" s="2107"/>
      <c r="O101" s="1298" t="s">
        <v>400</v>
      </c>
      <c r="P101" s="1299"/>
      <c r="Q101" s="1299"/>
      <c r="R101" s="1299"/>
      <c r="S101" s="1299"/>
      <c r="T101" s="1299"/>
      <c r="U101" s="1299"/>
      <c r="V101" s="1299"/>
      <c r="W101" s="1299"/>
      <c r="X101" s="1299"/>
      <c r="Y101" s="1299"/>
      <c r="Z101" s="1299"/>
      <c r="AA101" s="1299"/>
      <c r="AB101" s="1299"/>
      <c r="AC101" s="1299"/>
      <c r="AD101" s="1299"/>
      <c r="AE101" s="1299"/>
      <c r="AF101" s="2627"/>
      <c r="AG101" s="2628"/>
      <c r="AH101" s="2628"/>
      <c r="AI101" s="2627"/>
      <c r="AJ101" s="2628"/>
      <c r="AK101" s="2628"/>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720" customFormat="1" customHeight="1" ht="11.25">
      <c r="A102" s="1287"/>
      <c r="B102" s="1287"/>
      <c r="C102" s="1287"/>
      <c r="D102" s="1281"/>
      <c r="E102" s="1291"/>
      <c r="F102" s="1950"/>
      <c r="G102" s="1951"/>
      <c r="H102" s="2636"/>
      <c r="I102" s="2637"/>
      <c r="J102" s="2606"/>
      <c r="K102" s="2638"/>
      <c r="L102" s="2228"/>
      <c r="M102" s="2229"/>
      <c r="N102" s="2629"/>
      <c r="O102" s="2630">
        <v>1</v>
      </c>
      <c r="P102" s="2631" t="s">
        <v>19</v>
      </c>
      <c r="Q102" s="2634" t="s">
        <v>28</v>
      </c>
      <c r="R102" s="2634" t="s">
        <v>28</v>
      </c>
      <c r="S102" s="2634" t="s">
        <v>28</v>
      </c>
      <c r="T102" s="2634" t="s">
        <v>28</v>
      </c>
      <c r="U102" s="2634" t="s">
        <v>28</v>
      </c>
      <c r="V102" s="2634" t="s">
        <v>28</v>
      </c>
      <c r="W102" s="2634" t="s">
        <v>28</v>
      </c>
      <c r="X102" s="2634" t="s">
        <v>28</v>
      </c>
      <c r="Y102" s="2634"/>
      <c r="Z102" s="1296"/>
      <c r="AA102" s="1297"/>
      <c r="AB102" s="1297"/>
      <c r="AC102" s="1301"/>
      <c r="AD102" s="1301"/>
      <c r="AE102" s="1302"/>
      <c r="AF102" s="2627"/>
      <c r="AG102" s="2628"/>
      <c r="AH102" s="2628"/>
      <c r="AI102" s="2627"/>
      <c r="AJ102" s="2628"/>
      <c r="AK102" s="2628"/>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720" customFormat="1" customHeight="1" ht="11.25">
      <c r="A103" s="1287"/>
      <c r="B103" s="1287"/>
      <c r="C103" s="1287"/>
      <c r="D103" s="1281"/>
      <c r="E103" s="1291"/>
      <c r="F103" s="1950"/>
      <c r="G103" s="1951"/>
      <c r="H103" s="2636"/>
      <c r="I103" s="2637"/>
      <c r="J103" s="2606"/>
      <c r="K103" s="2638"/>
      <c r="L103" s="2228"/>
      <c r="M103" s="2229"/>
      <c r="N103" s="2629"/>
      <c r="O103" s="2630"/>
      <c r="P103" s="2632"/>
      <c r="Q103" s="2634"/>
      <c r="R103" s="2634"/>
      <c r="S103" s="2635"/>
      <c r="T103" s="2634"/>
      <c r="U103" s="2634"/>
      <c r="V103" s="2634"/>
      <c r="W103" s="2634"/>
      <c r="X103" s="2634"/>
      <c r="Y103" s="2634"/>
      <c r="Z103" s="1949"/>
      <c r="AA103" s="1915">
        <v>1</v>
      </c>
      <c r="AB103" s="1300"/>
      <c r="AC103" s="1290"/>
      <c r="AD103" s="1300">
        <f>AB103</f>
        <v>0</v>
      </c>
      <c r="AE103" s="1290"/>
      <c r="AF103" s="2627"/>
      <c r="AG103" s="2628"/>
      <c r="AH103" s="2628"/>
      <c r="AI103" s="2627"/>
      <c r="AJ103" s="2628"/>
      <c r="AK103" s="2628"/>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720" customFormat="1" customHeight="1" ht="11.25">
      <c r="A104" s="1287"/>
      <c r="B104" s="1287"/>
      <c r="C104" s="1287"/>
      <c r="D104" s="1281"/>
      <c r="E104" s="1291"/>
      <c r="F104" s="1950"/>
      <c r="G104" s="1951"/>
      <c r="H104" s="2636"/>
      <c r="I104" s="2637"/>
      <c r="J104" s="2606"/>
      <c r="K104" s="2638"/>
      <c r="L104" s="2228"/>
      <c r="M104" s="2229"/>
      <c r="N104" s="2629"/>
      <c r="O104" s="2630"/>
      <c r="P104" s="2633"/>
      <c r="Q104" s="2634"/>
      <c r="R104" s="2634"/>
      <c r="S104" s="2635"/>
      <c r="T104" s="2634"/>
      <c r="U104" s="2634"/>
      <c r="V104" s="2634"/>
      <c r="W104" s="2634"/>
      <c r="X104" s="2634"/>
      <c r="Y104" s="2634"/>
      <c r="Z104" s="1296"/>
      <c r="AA104" s="1297"/>
      <c r="AB104" s="1362" t="s">
        <v>1949</v>
      </c>
      <c r="AC104" s="1301"/>
      <c r="AD104" s="1301"/>
      <c r="AE104" s="1303"/>
      <c r="AF104" s="2627"/>
      <c r="AG104" s="2628"/>
      <c r="AH104" s="2628"/>
      <c r="AI104" s="2627"/>
      <c r="AJ104" s="2628"/>
      <c r="AK104" s="2628"/>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720" customFormat="1" customHeight="1" ht="11.25">
      <c r="A105" s="1287"/>
      <c r="B105" s="1287"/>
      <c r="C105" s="1287"/>
      <c r="D105" s="1281"/>
      <c r="E105" s="1291"/>
      <c r="F105" s="1950"/>
      <c r="G105" s="1951"/>
      <c r="H105" s="2636"/>
      <c r="I105" s="2637"/>
      <c r="J105" s="2606"/>
      <c r="K105" s="2638"/>
      <c r="L105" s="2228"/>
      <c r="M105" s="2229"/>
      <c r="N105" s="1296"/>
      <c r="O105" s="1297"/>
      <c r="P105" s="1289" t="s">
        <v>1952</v>
      </c>
      <c r="Q105" s="1297"/>
      <c r="R105" s="1297"/>
      <c r="S105" s="1297"/>
      <c r="T105" s="1297"/>
      <c r="U105" s="1297"/>
      <c r="V105" s="1297"/>
      <c r="W105" s="1297"/>
      <c r="X105" s="1297"/>
      <c r="Y105" s="1297"/>
      <c r="Z105" s="1297"/>
      <c r="AA105" s="1297"/>
      <c r="AB105" s="1297"/>
      <c r="AC105" s="1297"/>
      <c r="AD105" s="1297"/>
      <c r="AE105" s="1304"/>
      <c r="AF105" s="2627"/>
      <c r="AG105" s="2628"/>
      <c r="AH105" s="2628"/>
      <c r="AI105" s="2627"/>
      <c r="AJ105" s="2628"/>
      <c r="AK105" s="2628"/>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8059" customFormat="1" customHeight="1" ht="11.25">
      <c r="A107" s="1936" t="s">
        <v>1953</v>
      </c>
    </row>
    <row customHeight="1" ht="17.25"/>
    <row s="7559" customFormat="1" customHeight="1" ht="21">
      <c r="A109" s="1288"/>
      <c r="B109" s="1061"/>
      <c r="D109" s="1045"/>
      <c r="E109" s="1060" t="s">
        <v>28</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559"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559" customFormat="1" customHeight="1" ht="12">
      <c r="A111" s="1045"/>
      <c r="B111" s="1044"/>
      <c r="C111" s="1045"/>
      <c r="D111" s="1045"/>
      <c r="E111" s="1045"/>
      <c r="F111" s="1334"/>
      <c r="G111" s="1921" t="s">
        <v>1954</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8059" customFormat="1" customHeight="1" ht="11.25">
      <c r="A113" s="1936" t="s">
        <v>1955</v>
      </c>
    </row>
    <row r="115" s="8469" customFormat="1" customHeight="1" ht="15">
      <c r="A115" s="744"/>
      <c r="B115" s="745"/>
      <c r="C115" s="745"/>
      <c r="D115" s="2699" t="s">
        <v>123</v>
      </c>
      <c r="E115" s="2498" t="s">
        <v>119</v>
      </c>
      <c r="F115" s="2499"/>
      <c r="G115" s="2500"/>
      <c r="H115" s="2504" t="str">
        <f>IF(A115="","",INDEX(DIFFERENTIATION_UNMERGE_VD,MATCH(A115,DIFFERENTIATION_ID_DIFF,0)))</f>
        <v/>
      </c>
      <c r="I115" s="2504"/>
      <c r="J115" s="2504"/>
      <c r="K115" s="2504"/>
      <c r="L115" s="2504"/>
      <c r="M115" s="2504"/>
      <c r="N115" s="2504"/>
      <c r="O115" s="2504"/>
      <c r="P115" s="2504"/>
      <c r="Q115" s="2504"/>
      <c r="R115" s="2504"/>
      <c r="S115" s="840"/>
      <c r="T115" s="837"/>
      <c r="U115" s="746"/>
      <c r="V115" s="746"/>
      <c r="W115" s="747"/>
      <c r="X115" s="747"/>
      <c r="Y115" s="747"/>
      <c r="Z115" s="747"/>
      <c r="AA115" s="748"/>
      <c r="AB115" s="749"/>
      <c r="AC115" s="2496"/>
      <c r="AD115" s="750"/>
      <c r="AE115" s="751" t="s">
        <v>28</v>
      </c>
      <c r="AF115" s="751"/>
      <c r="AG115" s="752" t="s">
        <v>631</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8469" customFormat="1" customHeight="1" ht="15">
      <c r="A116" s="744"/>
      <c r="B116" s="745"/>
      <c r="C116" s="745"/>
      <c r="D116" s="2700"/>
      <c r="E116" s="2498" t="s">
        <v>586</v>
      </c>
      <c r="F116" s="2499"/>
      <c r="G116" s="2500"/>
      <c r="H116" s="2504" t="str">
        <f>IF(A115="","",INDEX(DIFFERENTIATION_UNMERGE_AREA,MATCH(A115,DIFFERENTIATION_ID_DIFF,0)))</f>
        <v/>
      </c>
      <c r="I116" s="2504"/>
      <c r="J116" s="2504"/>
      <c r="K116" s="2504"/>
      <c r="L116" s="2504"/>
      <c r="M116" s="2504"/>
      <c r="N116" s="2504"/>
      <c r="O116" s="2504"/>
      <c r="P116" s="2504"/>
      <c r="Q116" s="2504"/>
      <c r="R116" s="2504"/>
      <c r="S116" s="840"/>
      <c r="T116" s="837"/>
      <c r="U116" s="746"/>
      <c r="V116" s="746"/>
      <c r="W116" s="747"/>
      <c r="X116" s="747"/>
      <c r="Y116" s="747"/>
      <c r="Z116" s="747"/>
      <c r="AA116" s="748"/>
      <c r="AB116" s="749"/>
      <c r="AC116" s="2496"/>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8469" customFormat="1" customHeight="1" ht="15">
      <c r="A117" s="744"/>
      <c r="B117" s="745"/>
      <c r="C117" s="745"/>
      <c r="D117" s="2700"/>
      <c r="E117" s="2498" t="s">
        <v>587</v>
      </c>
      <c r="F117" s="2499"/>
      <c r="G117" s="2500"/>
      <c r="H117" s="2504" t="str">
        <f>IF(A115="","",INDEX(DIFFERENTIATION_UNMERGE_SYSTEM,MATCH(A115,DIFFERENTIATION_ID_DIFF,0)))</f>
        <v/>
      </c>
      <c r="I117" s="2504"/>
      <c r="J117" s="2504"/>
      <c r="K117" s="2504"/>
      <c r="L117" s="2504"/>
      <c r="M117" s="2504"/>
      <c r="N117" s="2504"/>
      <c r="O117" s="2504"/>
      <c r="P117" s="2504"/>
      <c r="Q117" s="2504"/>
      <c r="R117" s="2504"/>
      <c r="S117" s="840"/>
      <c r="T117" s="837"/>
      <c r="U117" s="746"/>
      <c r="V117" s="746"/>
      <c r="W117" s="747"/>
      <c r="X117" s="747"/>
      <c r="Y117" s="747"/>
      <c r="Z117" s="747"/>
      <c r="AA117" s="748"/>
      <c r="AB117" s="749"/>
      <c r="AC117" s="2496"/>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8469" customFormat="1" customHeight="1" ht="24.75">
      <c r="A118" s="1927"/>
      <c r="B118" s="1281"/>
      <c r="C118" s="533"/>
      <c r="D118" s="2700"/>
      <c r="E118" s="2497" t="s">
        <v>632</v>
      </c>
      <c r="F118" s="2497"/>
      <c r="G118" s="2497"/>
      <c r="H118" s="2497"/>
      <c r="I118" s="2497"/>
      <c r="J118" s="2497"/>
      <c r="K118" s="2497"/>
      <c r="L118" s="2497"/>
      <c r="M118" s="2497"/>
      <c r="N118" s="2497"/>
      <c r="O118" s="2497"/>
      <c r="P118" s="2497"/>
      <c r="Q118" s="679">
        <f>SUMIF(T119:T120,"i",Q119:Q120)</f>
        <v>0</v>
      </c>
      <c r="R118" s="1138"/>
      <c r="S118" s="1919" t="s">
        <v>633</v>
      </c>
      <c r="T118" s="838" t="s">
        <v>634</v>
      </c>
      <c r="U118" s="2495">
        <v>1</v>
      </c>
      <c r="V118" s="2495" t="s">
        <v>597</v>
      </c>
      <c r="W118" s="1281"/>
      <c r="X118" s="1281"/>
      <c r="Y118" s="1281"/>
      <c r="Z118" s="1281"/>
      <c r="AA118" s="1757"/>
      <c r="AB118" s="1281"/>
      <c r="AC118" s="2496"/>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8469" customFormat="1" customHeight="1" ht="11.25" hidden="1">
      <c r="A119" s="1914"/>
      <c r="B119" s="1757"/>
      <c r="C119" s="1757"/>
      <c r="D119" s="2700"/>
      <c r="E119" s="756"/>
      <c r="F119" s="756">
        <v>0</v>
      </c>
      <c r="G119" s="756"/>
      <c r="H119" s="756"/>
      <c r="I119" s="756"/>
      <c r="J119" s="756"/>
      <c r="K119" s="756"/>
      <c r="L119" s="756"/>
      <c r="M119" s="756"/>
      <c r="N119" s="756"/>
      <c r="O119" s="756"/>
      <c r="P119" s="756"/>
      <c r="Q119" s="756"/>
      <c r="R119" s="756"/>
      <c r="S119" s="757"/>
      <c r="T119" s="839"/>
      <c r="U119" s="2495"/>
      <c r="V119" s="2495"/>
      <c r="W119" s="1757"/>
      <c r="X119" s="1757"/>
      <c r="Y119" s="1757"/>
      <c r="Z119" s="1757"/>
      <c r="AA119" s="1757"/>
      <c r="AB119" s="1281"/>
      <c r="AC119" s="2496"/>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8469" customFormat="1" customHeight="1" ht="11.25">
      <c r="A120" s="1927"/>
      <c r="B120" s="1281"/>
      <c r="C120" s="533"/>
      <c r="D120" s="2700"/>
      <c r="E120" s="770" t="s">
        <v>28</v>
      </c>
      <c r="F120" s="1289" t="s">
        <v>28</v>
      </c>
      <c r="G120" s="1289" t="s">
        <v>1956</v>
      </c>
      <c r="H120" s="772" t="s">
        <v>28</v>
      </c>
      <c r="I120" s="772"/>
      <c r="J120" s="772"/>
      <c r="K120" s="772"/>
      <c r="L120" s="772"/>
      <c r="M120" s="772"/>
      <c r="N120" s="772"/>
      <c r="O120" s="772"/>
      <c r="P120" s="772"/>
      <c r="Q120" s="772"/>
      <c r="R120" s="773"/>
      <c r="S120" s="774"/>
      <c r="T120" s="839"/>
      <c r="U120" s="2495"/>
      <c r="V120" s="2495"/>
      <c r="W120" s="1281"/>
      <c r="X120" s="1281"/>
      <c r="Y120" s="1281"/>
      <c r="Z120" s="1281"/>
      <c r="AA120" s="1757"/>
      <c r="AB120" s="1281"/>
      <c r="AC120" s="2496"/>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8469" customFormat="1" customHeight="1" ht="24.75">
      <c r="A121" s="1927"/>
      <c r="B121" s="1281"/>
      <c r="C121" s="533"/>
      <c r="D121" s="2700"/>
      <c r="E121" s="2497" t="s">
        <v>635</v>
      </c>
      <c r="F121" s="2497"/>
      <c r="G121" s="2497"/>
      <c r="H121" s="2497"/>
      <c r="I121" s="2497"/>
      <c r="J121" s="2497"/>
      <c r="K121" s="2497"/>
      <c r="L121" s="2497"/>
      <c r="M121" s="2497"/>
      <c r="N121" s="2497"/>
      <c r="O121" s="2497"/>
      <c r="P121" s="2497"/>
      <c r="Q121" s="679">
        <f>SUMIF(T122:T123,"i",Q122:Q123)</f>
        <v>0</v>
      </c>
      <c r="R121" s="1138"/>
      <c r="S121" s="1919" t="s">
        <v>636</v>
      </c>
      <c r="T121" s="838" t="s">
        <v>634</v>
      </c>
      <c r="U121" s="2495">
        <v>1</v>
      </c>
      <c r="V121" s="2495" t="s">
        <v>597</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8469" customFormat="1" customHeight="1" ht="11.25" hidden="1">
      <c r="A122" s="1914"/>
      <c r="B122" s="1757"/>
      <c r="C122" s="1757"/>
      <c r="D122" s="2700"/>
      <c r="E122" s="756"/>
      <c r="F122" s="756">
        <v>0</v>
      </c>
      <c r="G122" s="756"/>
      <c r="H122" s="756"/>
      <c r="I122" s="756"/>
      <c r="J122" s="756"/>
      <c r="K122" s="756"/>
      <c r="L122" s="756"/>
      <c r="M122" s="756"/>
      <c r="N122" s="756"/>
      <c r="O122" s="756"/>
      <c r="P122" s="756"/>
      <c r="Q122" s="756"/>
      <c r="R122" s="756"/>
      <c r="S122" s="757"/>
      <c r="T122" s="839"/>
      <c r="U122" s="2495"/>
      <c r="V122" s="2495"/>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8469" customFormat="1" customHeight="1" ht="11.25">
      <c r="A123" s="1927"/>
      <c r="B123" s="1281"/>
      <c r="C123" s="533"/>
      <c r="D123" s="2701"/>
      <c r="E123" s="770" t="s">
        <v>28</v>
      </c>
      <c r="F123" s="1289" t="s">
        <v>28</v>
      </c>
      <c r="G123" s="1289" t="s">
        <v>1956</v>
      </c>
      <c r="H123" s="772" t="s">
        <v>28</v>
      </c>
      <c r="I123" s="772"/>
      <c r="J123" s="772"/>
      <c r="K123" s="772"/>
      <c r="L123" s="772"/>
      <c r="M123" s="772"/>
      <c r="N123" s="772"/>
      <c r="O123" s="772"/>
      <c r="P123" s="772"/>
      <c r="Q123" s="772"/>
      <c r="R123" s="773"/>
      <c r="S123" s="774"/>
      <c r="T123" s="839"/>
      <c r="U123" s="2495"/>
      <c r="V123" s="2495"/>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8059" customFormat="1" customHeight="1" ht="11.25">
      <c r="A125" s="1936" t="s">
        <v>1957</v>
      </c>
    </row>
    <row r="127" s="8469" customFormat="1" customHeight="1" ht="15">
      <c r="A127" s="744"/>
      <c r="B127" s="745"/>
      <c r="C127" s="745"/>
      <c r="D127" s="2699" t="s">
        <v>123</v>
      </c>
      <c r="E127" s="2498" t="s">
        <v>119</v>
      </c>
      <c r="F127" s="2499"/>
      <c r="G127" s="2500"/>
      <c r="H127" s="2504" t="str">
        <f>IF(A127="","",INDEX(DIFFERENTIATION_UNMERGE_VD,MATCH(A127,DIFFERENTIATION_ID_DIFF,0)))</f>
        <v/>
      </c>
      <c r="I127" s="2504"/>
      <c r="J127" s="2504"/>
      <c r="K127" s="2504"/>
      <c r="L127" s="2504"/>
      <c r="M127" s="2504"/>
      <c r="N127" s="2504"/>
      <c r="O127" s="2504"/>
      <c r="P127" s="2504"/>
      <c r="Q127" s="2504"/>
      <c r="R127" s="2504"/>
      <c r="S127" s="840"/>
      <c r="T127" s="837"/>
      <c r="U127" s="746"/>
      <c r="V127" s="746"/>
      <c r="W127" s="747"/>
      <c r="X127" s="747"/>
      <c r="Y127" s="747"/>
      <c r="Z127" s="747"/>
      <c r="AA127" s="748"/>
      <c r="AB127" s="749"/>
      <c r="AC127" s="2496"/>
      <c r="AD127" s="750"/>
      <c r="AE127" s="751" t="s">
        <v>28</v>
      </c>
      <c r="AF127" s="751"/>
      <c r="AG127" s="752" t="s">
        <v>631</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8469" customFormat="1" customHeight="1" ht="15">
      <c r="A128" s="744"/>
      <c r="B128" s="745"/>
      <c r="C128" s="745"/>
      <c r="D128" s="2700"/>
      <c r="E128" s="2498" t="s">
        <v>586</v>
      </c>
      <c r="F128" s="2499"/>
      <c r="G128" s="2500"/>
      <c r="H128" s="2504" t="str">
        <f>IF(A127="","",INDEX(DIFFERENTIATION_UNMERGE_AREA,MATCH(A127,DIFFERENTIATION_ID_DIFF,0)))</f>
        <v/>
      </c>
      <c r="I128" s="2504"/>
      <c r="J128" s="2504"/>
      <c r="K128" s="2504"/>
      <c r="L128" s="2504"/>
      <c r="M128" s="2504"/>
      <c r="N128" s="2504"/>
      <c r="O128" s="2504"/>
      <c r="P128" s="2504"/>
      <c r="Q128" s="2504"/>
      <c r="R128" s="2504"/>
      <c r="S128" s="840"/>
      <c r="T128" s="837"/>
      <c r="U128" s="746"/>
      <c r="V128" s="746"/>
      <c r="W128" s="747"/>
      <c r="X128" s="747"/>
      <c r="Y128" s="747"/>
      <c r="Z128" s="747"/>
      <c r="AA128" s="748"/>
      <c r="AB128" s="749"/>
      <c r="AC128" s="2496"/>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8469" customFormat="1" customHeight="1" ht="15">
      <c r="A129" s="744"/>
      <c r="B129" s="745"/>
      <c r="C129" s="745"/>
      <c r="D129" s="2700"/>
      <c r="E129" s="2498" t="s">
        <v>587</v>
      </c>
      <c r="F129" s="2499"/>
      <c r="G129" s="2500"/>
      <c r="H129" s="2504" t="str">
        <f>IF(A127="","",INDEX(DIFFERENTIATION_UNMERGE_SYSTEM,MATCH(A127,DIFFERENTIATION_ID_DIFF,0)))</f>
        <v/>
      </c>
      <c r="I129" s="2504"/>
      <c r="J129" s="2504"/>
      <c r="K129" s="2504"/>
      <c r="L129" s="2504"/>
      <c r="M129" s="2504"/>
      <c r="N129" s="2504"/>
      <c r="O129" s="2504"/>
      <c r="P129" s="2504"/>
      <c r="Q129" s="2504"/>
      <c r="R129" s="2504"/>
      <c r="S129" s="840"/>
      <c r="T129" s="837"/>
      <c r="U129" s="746"/>
      <c r="V129" s="746"/>
      <c r="W129" s="747"/>
      <c r="X129" s="747"/>
      <c r="Y129" s="747"/>
      <c r="Z129" s="747"/>
      <c r="AA129" s="748"/>
      <c r="AB129" s="749"/>
      <c r="AC129" s="2496"/>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8469" customFormat="1" customHeight="1" ht="24.75">
      <c r="A130" s="1927"/>
      <c r="B130" s="1281"/>
      <c r="C130" s="533"/>
      <c r="D130" s="2700"/>
      <c r="E130" s="2497" t="s">
        <v>632</v>
      </c>
      <c r="F130" s="2497"/>
      <c r="G130" s="2497"/>
      <c r="H130" s="2497"/>
      <c r="I130" s="2497"/>
      <c r="J130" s="2497"/>
      <c r="K130" s="2497"/>
      <c r="L130" s="2497"/>
      <c r="M130" s="2497"/>
      <c r="N130" s="2497"/>
      <c r="O130" s="2497"/>
      <c r="P130" s="2497"/>
      <c r="Q130" s="679">
        <f>SUMIF(T131:T132,"i",Q131:Q132)</f>
        <v>0</v>
      </c>
      <c r="R130" s="1138"/>
      <c r="S130" s="1919" t="s">
        <v>633</v>
      </c>
      <c r="T130" s="838" t="s">
        <v>634</v>
      </c>
      <c r="U130" s="2495">
        <v>1</v>
      </c>
      <c r="V130" s="2495" t="s">
        <v>597</v>
      </c>
      <c r="W130" s="1281"/>
      <c r="X130" s="1281"/>
      <c r="Y130" s="1281"/>
      <c r="Z130" s="1281"/>
      <c r="AA130" s="1757"/>
      <c r="AB130" s="1281"/>
      <c r="AC130" s="2496"/>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8469" customFormat="1" customHeight="1" ht="11.25" hidden="1">
      <c r="A131" s="1914"/>
      <c r="B131" s="1757"/>
      <c r="C131" s="1757"/>
      <c r="D131" s="2700"/>
      <c r="E131" s="756"/>
      <c r="F131" s="756">
        <v>0</v>
      </c>
      <c r="G131" s="756"/>
      <c r="H131" s="756"/>
      <c r="I131" s="756"/>
      <c r="J131" s="756"/>
      <c r="K131" s="756"/>
      <c r="L131" s="756"/>
      <c r="M131" s="756"/>
      <c r="N131" s="756"/>
      <c r="O131" s="756"/>
      <c r="P131" s="756"/>
      <c r="Q131" s="756"/>
      <c r="R131" s="756"/>
      <c r="S131" s="757"/>
      <c r="T131" s="839"/>
      <c r="U131" s="2495"/>
      <c r="V131" s="2495"/>
      <c r="W131" s="1757"/>
      <c r="X131" s="1757"/>
      <c r="Y131" s="1757"/>
      <c r="Z131" s="1757"/>
      <c r="AA131" s="1757"/>
      <c r="AB131" s="1281"/>
      <c r="AC131" s="2496"/>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8469" customFormat="1" customHeight="1" ht="11.25">
      <c r="A132" s="1927"/>
      <c r="B132" s="1281"/>
      <c r="C132" s="533"/>
      <c r="D132" s="2700"/>
      <c r="E132" s="770" t="s">
        <v>28</v>
      </c>
      <c r="F132" s="1289" t="s">
        <v>28</v>
      </c>
      <c r="G132" s="1289" t="s">
        <v>1956</v>
      </c>
      <c r="H132" s="772" t="s">
        <v>28</v>
      </c>
      <c r="I132" s="772"/>
      <c r="J132" s="772"/>
      <c r="K132" s="772"/>
      <c r="L132" s="772"/>
      <c r="M132" s="772"/>
      <c r="N132" s="772"/>
      <c r="O132" s="772"/>
      <c r="P132" s="772"/>
      <c r="Q132" s="772"/>
      <c r="R132" s="773"/>
      <c r="S132" s="774"/>
      <c r="T132" s="839"/>
      <c r="U132" s="2495"/>
      <c r="V132" s="2495"/>
      <c r="W132" s="1281"/>
      <c r="X132" s="1281"/>
      <c r="Y132" s="1281"/>
      <c r="Z132" s="1281"/>
      <c r="AA132" s="1757"/>
      <c r="AB132" s="1281"/>
      <c r="AC132" s="2496"/>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8427" customFormat="1" customHeight="1" ht="5.25" hidden="1">
      <c r="A133" s="1914"/>
      <c r="B133" s="1757"/>
      <c r="C133" s="1757"/>
      <c r="D133" s="2700"/>
      <c r="E133" s="1160"/>
      <c r="F133" s="1160"/>
      <c r="G133" s="1160"/>
      <c r="H133" s="1160"/>
      <c r="I133" s="1160"/>
      <c r="J133" s="1160"/>
      <c r="K133" s="1160"/>
      <c r="L133" s="1160"/>
      <c r="M133" s="1160"/>
      <c r="N133" s="1160"/>
      <c r="O133" s="1160"/>
      <c r="P133" s="1160"/>
      <c r="Q133" s="1161"/>
      <c r="R133" s="1162"/>
      <c r="S133" s="1163"/>
      <c r="T133" s="838" t="s">
        <v>634</v>
      </c>
      <c r="U133" s="2495">
        <v>1</v>
      </c>
      <c r="V133" s="2495" t="s">
        <v>597</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8427" customFormat="1" customHeight="1" ht="5.25" hidden="1">
      <c r="A134" s="1914"/>
      <c r="B134" s="1757"/>
      <c r="C134" s="1757"/>
      <c r="D134" s="2700"/>
      <c r="E134" s="756"/>
      <c r="F134" s="756"/>
      <c r="G134" s="756"/>
      <c r="H134" s="756"/>
      <c r="I134" s="756"/>
      <c r="J134" s="756"/>
      <c r="K134" s="756"/>
      <c r="L134" s="756"/>
      <c r="M134" s="756"/>
      <c r="N134" s="756"/>
      <c r="O134" s="756"/>
      <c r="P134" s="756"/>
      <c r="Q134" s="756"/>
      <c r="R134" s="756"/>
      <c r="S134" s="757"/>
      <c r="T134" s="839"/>
      <c r="U134" s="2495"/>
      <c r="V134" s="2495"/>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8427" customFormat="1" customHeight="1" ht="5.25" hidden="1">
      <c r="A135" s="1914"/>
      <c r="B135" s="1757"/>
      <c r="C135" s="1757"/>
      <c r="D135" s="2701"/>
      <c r="E135" s="1164"/>
      <c r="F135" s="1165"/>
      <c r="G135" s="1165"/>
      <c r="H135" s="1166"/>
      <c r="I135" s="1166"/>
      <c r="J135" s="1166"/>
      <c r="K135" s="1166"/>
      <c r="L135" s="1166"/>
      <c r="M135" s="1166"/>
      <c r="N135" s="1166"/>
      <c r="O135" s="1166"/>
      <c r="P135" s="1166"/>
      <c r="Q135" s="1166"/>
      <c r="R135" s="1067"/>
      <c r="S135" s="1167"/>
      <c r="T135" s="839"/>
      <c r="U135" s="2495"/>
      <c r="V135" s="2495"/>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8059" customFormat="1" customHeight="1" ht="11.25">
      <c r="A137" s="1936" t="s">
        <v>1958</v>
      </c>
    </row>
    <row r="139" s="8469" customFormat="1" customHeight="1" ht="45">
      <c r="A139" s="1927"/>
      <c r="B139" s="1281"/>
      <c r="C139" s="533"/>
      <c r="D139" s="210"/>
      <c r="E139" s="2693"/>
      <c r="F139" s="2229" t="s">
        <v>123</v>
      </c>
      <c r="G139" s="2696" t="s">
        <v>28</v>
      </c>
      <c r="H139" s="410"/>
      <c r="I139" s="758" t="s">
        <v>123</v>
      </c>
      <c r="J139" s="1928" t="s">
        <v>1959</v>
      </c>
      <c r="K139" s="759" t="s">
        <v>568</v>
      </c>
      <c r="L139" s="2345" t="s">
        <v>568</v>
      </c>
      <c r="M139" s="2698"/>
      <c r="N139" s="759" t="s">
        <v>568</v>
      </c>
      <c r="O139" s="759" t="s">
        <v>568</v>
      </c>
      <c r="P139" s="759" t="s">
        <v>568</v>
      </c>
      <c r="Q139" s="760">
        <f>SUM(Q140:Q142)</f>
        <v>0</v>
      </c>
      <c r="R139" s="760">
        <f>IF(R136=0,0,(Q136/R136)*100)</f>
        <v>0</v>
      </c>
      <c r="S139" s="2300"/>
      <c r="T139" s="838" t="s">
        <v>634</v>
      </c>
      <c r="U139" s="210"/>
      <c r="V139" s="210"/>
      <c r="AC139" s="210"/>
    </row>
    <row s="8469" customFormat="1" customHeight="1" ht="11.25">
      <c r="A140" s="1927"/>
      <c r="B140" s="1281"/>
      <c r="C140" s="533"/>
      <c r="D140" s="210"/>
      <c r="E140" s="2694"/>
      <c r="F140" s="2229"/>
      <c r="G140" s="2696"/>
      <c r="H140" s="2248"/>
      <c r="I140" s="2636" t="s">
        <v>1043</v>
      </c>
      <c r="J140" s="2690"/>
      <c r="K140" s="2691"/>
      <c r="L140" s="761"/>
      <c r="M140" s="762" t="s">
        <v>123</v>
      </c>
      <c r="N140" s="1916"/>
      <c r="O140" s="763"/>
      <c r="P140" s="764"/>
      <c r="Q140" s="763"/>
      <c r="R140" s="765">
        <v>0</v>
      </c>
      <c r="S140" s="2300"/>
      <c r="T140" s="838"/>
      <c r="U140" s="210"/>
      <c r="V140" s="210"/>
      <c r="AC140" s="210"/>
    </row>
    <row s="8469" customFormat="1" customHeight="1" ht="11.25">
      <c r="A141" s="1927"/>
      <c r="B141" s="1281"/>
      <c r="C141" s="533"/>
      <c r="D141" s="210"/>
      <c r="E141" s="2694"/>
      <c r="F141" s="2229"/>
      <c r="G141" s="2696"/>
      <c r="H141" s="2248"/>
      <c r="I141" s="2636"/>
      <c r="J141" s="2690"/>
      <c r="K141" s="2692"/>
      <c r="L141" s="766"/>
      <c r="M141" s="767"/>
      <c r="N141" s="768" t="s">
        <v>1960</v>
      </c>
      <c r="O141" s="768"/>
      <c r="P141" s="768"/>
      <c r="Q141" s="768"/>
      <c r="R141" s="769"/>
      <c r="S141" s="2300"/>
      <c r="T141" s="838"/>
      <c r="U141" s="210"/>
      <c r="V141" s="210"/>
      <c r="AC141" s="210"/>
    </row>
    <row s="8469" customFormat="1" customHeight="1" ht="11.25">
      <c r="A142" s="1927"/>
      <c r="B142" s="1281"/>
      <c r="C142" s="533"/>
      <c r="D142" s="210"/>
      <c r="E142" s="2695"/>
      <c r="F142" s="2229"/>
      <c r="G142" s="2697"/>
      <c r="H142" s="766" t="s">
        <v>28</v>
      </c>
      <c r="I142" s="767"/>
      <c r="J142" s="768" t="s">
        <v>1961</v>
      </c>
      <c r="K142" s="768"/>
      <c r="L142" s="768"/>
      <c r="M142" s="768"/>
      <c r="N142" s="768"/>
      <c r="O142" s="768"/>
      <c r="P142" s="768"/>
      <c r="Q142" s="768"/>
      <c r="R142" s="769"/>
      <c r="S142" s="2300"/>
      <c r="T142" s="838"/>
      <c r="U142" s="210"/>
      <c r="V142" s="210"/>
      <c r="AC142" s="210"/>
    </row>
    <row r="147" s="8469" customFormat="1" customHeight="1" ht="11.25">
      <c r="A147" s="1927"/>
      <c r="B147" s="1281"/>
      <c r="C147" s="533"/>
      <c r="D147" s="210"/>
      <c r="E147" s="1951"/>
      <c r="F147" s="1951"/>
      <c r="G147" s="1951"/>
      <c r="H147" s="2248"/>
      <c r="I147" s="2636" t="s">
        <v>1043</v>
      </c>
      <c r="J147" s="2690"/>
      <c r="K147" s="2691"/>
      <c r="L147" s="761"/>
      <c r="M147" s="762" t="s">
        <v>123</v>
      </c>
      <c r="N147" s="1916"/>
      <c r="O147" s="763"/>
      <c r="P147" s="764"/>
      <c r="Q147" s="763"/>
      <c r="R147" s="765">
        <v>0</v>
      </c>
      <c r="S147" s="210"/>
      <c r="T147" s="838"/>
      <c r="U147" s="210"/>
      <c r="V147" s="210"/>
      <c r="AC147" s="210"/>
    </row>
    <row s="8469" customFormat="1" customHeight="1" ht="11.25">
      <c r="A148" s="1927"/>
      <c r="B148" s="1281"/>
      <c r="C148" s="533"/>
      <c r="D148" s="210"/>
      <c r="E148" s="1951"/>
      <c r="F148" s="1951"/>
      <c r="G148" s="1951"/>
      <c r="H148" s="2248"/>
      <c r="I148" s="2636"/>
      <c r="J148" s="2690"/>
      <c r="K148" s="2692"/>
      <c r="L148" s="766"/>
      <c r="M148" s="767"/>
      <c r="N148" s="768" t="s">
        <v>1960</v>
      </c>
      <c r="O148" s="768"/>
      <c r="P148" s="768"/>
      <c r="Q148" s="768"/>
      <c r="R148" s="769"/>
      <c r="S148" s="210"/>
      <c r="T148" s="838"/>
      <c r="U148" s="210"/>
      <c r="V148" s="210"/>
      <c r="AC148" s="210"/>
    </row>
    <row r="150" s="8469" customFormat="1" customHeight="1" ht="11.25">
      <c r="A150" s="1927"/>
      <c r="B150" s="1281"/>
      <c r="C150" s="533"/>
      <c r="D150" s="210"/>
      <c r="E150" s="1958"/>
      <c r="F150" s="1956"/>
      <c r="G150" s="1956"/>
      <c r="H150" s="1959"/>
      <c r="I150" s="1951"/>
      <c r="J150" s="1952"/>
      <c r="K150" s="1952"/>
      <c r="L150" s="761"/>
      <c r="M150" s="762" t="s">
        <v>123</v>
      </c>
      <c r="N150" s="1916"/>
      <c r="O150" s="763"/>
      <c r="P150" s="764"/>
      <c r="Q150" s="763"/>
      <c r="R150" s="765">
        <v>0</v>
      </c>
      <c r="S150" s="210"/>
      <c r="T150" s="838"/>
      <c r="U150" s="210"/>
      <c r="V150" s="210"/>
      <c r="AC150" s="210"/>
    </row>
    <row r="152" s="8059" customFormat="1" customHeight="1" ht="17.25">
      <c r="A152" s="1936" t="s">
        <v>1962</v>
      </c>
    </row>
    <row customHeight="1" ht="17.25">
      <c r="G153" s="1960"/>
      <c r="H153" s="1960"/>
      <c r="I153" s="1960"/>
      <c r="M153" s="1956"/>
    </row>
    <row s="8300" customFormat="1" customHeight="1" ht="17.25">
      <c r="A154" s="1961"/>
      <c r="C154" s="1963"/>
      <c r="D154" s="2650"/>
      <c r="E154" s="2264"/>
      <c r="F154" s="2266"/>
      <c r="G154" s="2652"/>
      <c r="H154" s="2650"/>
      <c r="I154" s="2650">
        <v>1</v>
      </c>
      <c r="J154" s="2622"/>
      <c r="K154" s="2306" t="s">
        <v>66</v>
      </c>
      <c r="L154" s="2229"/>
      <c r="M154" s="2229" t="s">
        <v>123</v>
      </c>
      <c r="N154" s="2625" t="str">
        <f>IF(Z154="","",INDEX(TERRITORY_MR_LIST,MATCH(Z154,TERRITORY_LIST_ID,0)))</f>
        <v/>
      </c>
      <c r="O154" s="2306" t="s">
        <v>66</v>
      </c>
      <c r="P154" s="2229"/>
      <c r="Q154" s="2229" t="s">
        <v>123</v>
      </c>
      <c r="R154" s="2623" t="s">
        <v>28</v>
      </c>
      <c r="S154" s="2228" t="s">
        <v>66</v>
      </c>
      <c r="T154" s="1932"/>
      <c r="U154" s="1932" t="s">
        <v>123</v>
      </c>
      <c r="V154" s="1964" t="s">
        <v>28</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8300" customFormat="1" customHeight="1" ht="17.25">
      <c r="A155" s="1961"/>
      <c r="C155" s="1966"/>
      <c r="D155" s="2650"/>
      <c r="E155" s="2264"/>
      <c r="F155" s="2267"/>
      <c r="G155" s="2652"/>
      <c r="H155" s="2650"/>
      <c r="I155" s="2650"/>
      <c r="J155" s="2622"/>
      <c r="K155" s="2307"/>
      <c r="L155" s="2229"/>
      <c r="M155" s="2229"/>
      <c r="N155" s="2625"/>
      <c r="O155" s="2307"/>
      <c r="P155" s="2229"/>
      <c r="Q155" s="2229"/>
      <c r="R155" s="2623"/>
      <c r="S155" s="2228"/>
      <c r="T155" s="438"/>
      <c r="U155" s="439"/>
      <c r="V155" s="439" t="s">
        <v>175</v>
      </c>
      <c r="W155" s="440"/>
      <c r="Y155" s="1380"/>
      <c r="Z155" s="1380"/>
      <c r="AA155" s="1380"/>
      <c r="AB155" s="1380"/>
      <c r="AC155" s="1380"/>
      <c r="AD155" s="1380"/>
      <c r="AE155" s="1380"/>
      <c r="AF155" s="1380"/>
      <c r="AG155" s="1380"/>
      <c r="AH155" s="1380"/>
      <c r="AI155" s="1380"/>
      <c r="AJ155" s="1380"/>
      <c r="AK155" s="1380"/>
    </row>
    <row s="8300" customFormat="1" customHeight="1" ht="17.25">
      <c r="A156" s="1961"/>
      <c r="C156" s="1966"/>
      <c r="D156" s="2624"/>
      <c r="E156" s="2651"/>
      <c r="F156" s="2267"/>
      <c r="G156" s="2653"/>
      <c r="H156" s="2624"/>
      <c r="I156" s="2624"/>
      <c r="J156" s="2654"/>
      <c r="K156" s="2307"/>
      <c r="L156" s="2624"/>
      <c r="M156" s="2624"/>
      <c r="N156" s="2626"/>
      <c r="O156" s="2233"/>
      <c r="P156" s="438"/>
      <c r="Q156" s="439"/>
      <c r="R156" s="439" t="s">
        <v>176</v>
      </c>
      <c r="S156" s="1967"/>
      <c r="T156" s="1967"/>
      <c r="U156" s="1967"/>
      <c r="V156" s="1967"/>
      <c r="W156" s="440"/>
      <c r="Y156" s="1380"/>
      <c r="Z156" s="1380"/>
      <c r="AA156" s="1380"/>
      <c r="AB156" s="1380"/>
      <c r="AC156" s="1380"/>
      <c r="AD156" s="1380"/>
      <c r="AE156" s="1380"/>
      <c r="AF156" s="1380"/>
      <c r="AG156" s="1380"/>
      <c r="AH156" s="1380"/>
      <c r="AI156" s="1380"/>
      <c r="AJ156" s="1380"/>
      <c r="AK156" s="1380"/>
    </row>
    <row s="8300" customFormat="1" customHeight="1" ht="17.25">
      <c r="A157" s="1961"/>
      <c r="C157" s="1966"/>
      <c r="D157" s="2624"/>
      <c r="E157" s="2651"/>
      <c r="F157" s="2267"/>
      <c r="G157" s="2653"/>
      <c r="H157" s="2624"/>
      <c r="I157" s="2624"/>
      <c r="J157" s="2654"/>
      <c r="K157" s="2233"/>
      <c r="L157" s="438"/>
      <c r="M157" s="439"/>
      <c r="N157" s="439" t="s">
        <v>177</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8300" customFormat="1" customHeight="1" ht="17.25">
      <c r="A158" s="1961"/>
      <c r="C158" s="1966"/>
      <c r="D158" s="2624"/>
      <c r="E158" s="2651"/>
      <c r="F158" s="2268"/>
      <c r="G158" s="2653"/>
      <c r="H158" s="438"/>
      <c r="I158" s="439"/>
      <c r="J158" s="439" t="s">
        <v>183</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8300" customFormat="1" customHeight="1" ht="17.25">
      <c r="A160" s="1961"/>
      <c r="C160" s="1963"/>
      <c r="D160" s="1951"/>
      <c r="E160" s="1968"/>
      <c r="F160" s="1905"/>
      <c r="G160" s="1969"/>
      <c r="H160" s="2650"/>
      <c r="I160" s="2650">
        <v>1</v>
      </c>
      <c r="J160" s="2622"/>
      <c r="K160" s="2306" t="s">
        <v>66</v>
      </c>
      <c r="L160" s="2229"/>
      <c r="M160" s="2229" t="s">
        <v>123</v>
      </c>
      <c r="N160" s="2625" t="str">
        <f>IF(Z160="","",INDEX(TERRITORY_MR_LIST,MATCH(Z160,TERRITORY_LIST_ID,0)))</f>
        <v/>
      </c>
      <c r="O160" s="2306" t="s">
        <v>66</v>
      </c>
      <c r="P160" s="2229"/>
      <c r="Q160" s="2229" t="s">
        <v>123</v>
      </c>
      <c r="R160" s="2623" t="s">
        <v>28</v>
      </c>
      <c r="S160" s="2228" t="s">
        <v>66</v>
      </c>
      <c r="T160" s="1932"/>
      <c r="U160" s="1932" t="s">
        <v>123</v>
      </c>
      <c r="V160" s="1964" t="s">
        <v>28</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8300" customFormat="1" customHeight="1" ht="17.25">
      <c r="A161" s="1961"/>
      <c r="C161" s="1966"/>
      <c r="D161" s="1951"/>
      <c r="E161" s="1968"/>
      <c r="F161" s="1905"/>
      <c r="G161" s="1969"/>
      <c r="H161" s="2650"/>
      <c r="I161" s="2650"/>
      <c r="J161" s="2622"/>
      <c r="K161" s="2307"/>
      <c r="L161" s="2229"/>
      <c r="M161" s="2229"/>
      <c r="N161" s="2625"/>
      <c r="O161" s="2307"/>
      <c r="P161" s="2229"/>
      <c r="Q161" s="2229"/>
      <c r="R161" s="2623"/>
      <c r="S161" s="2228"/>
      <c r="T161" s="438"/>
      <c r="U161" s="439"/>
      <c r="V161" s="439" t="s">
        <v>175</v>
      </c>
      <c r="W161" s="440"/>
      <c r="Y161" s="1380"/>
      <c r="Z161" s="1380"/>
      <c r="AA161" s="1380"/>
      <c r="AB161" s="1380"/>
      <c r="AC161" s="1380"/>
      <c r="AD161" s="1380"/>
      <c r="AE161" s="1380"/>
      <c r="AF161" s="1380"/>
      <c r="AG161" s="1380"/>
      <c r="AH161" s="1380"/>
      <c r="AI161" s="1380"/>
      <c r="AJ161" s="1380"/>
      <c r="AK161" s="1380"/>
    </row>
    <row s="8300" customFormat="1" customHeight="1" ht="17.25">
      <c r="A162" s="1961"/>
      <c r="C162" s="1966"/>
      <c r="D162" s="1951"/>
      <c r="E162" s="1968"/>
      <c r="F162" s="1905"/>
      <c r="G162" s="1969"/>
      <c r="H162" s="2624"/>
      <c r="I162" s="2624"/>
      <c r="J162" s="2654"/>
      <c r="K162" s="2307"/>
      <c r="L162" s="2624"/>
      <c r="M162" s="2624"/>
      <c r="N162" s="2626"/>
      <c r="O162" s="2233"/>
      <c r="P162" s="438"/>
      <c r="Q162" s="439"/>
      <c r="R162" s="439" t="s">
        <v>176</v>
      </c>
      <c r="S162" s="1967"/>
      <c r="T162" s="1967"/>
      <c r="U162" s="1967"/>
      <c r="V162" s="1967"/>
      <c r="W162" s="440"/>
      <c r="Y162" s="1380"/>
      <c r="Z162" s="1380"/>
      <c r="AA162" s="1380"/>
      <c r="AB162" s="1380"/>
      <c r="AC162" s="1380"/>
      <c r="AD162" s="1380"/>
      <c r="AE162" s="1380"/>
      <c r="AF162" s="1380"/>
      <c r="AG162" s="1380"/>
      <c r="AH162" s="1380"/>
      <c r="AI162" s="1380"/>
      <c r="AJ162" s="1380"/>
      <c r="AK162" s="1380"/>
    </row>
    <row s="8300" customFormat="1" customHeight="1" ht="17.25">
      <c r="A163" s="1961"/>
      <c r="C163" s="1966"/>
      <c r="D163" s="1951"/>
      <c r="E163" s="1968"/>
      <c r="F163" s="1905"/>
      <c r="G163" s="1969"/>
      <c r="H163" s="2624"/>
      <c r="I163" s="2624"/>
      <c r="J163" s="2654"/>
      <c r="K163" s="2233"/>
      <c r="L163" s="438"/>
      <c r="M163" s="439"/>
      <c r="N163" s="439" t="s">
        <v>177</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8300" customFormat="1" customHeight="1" ht="17.25">
      <c r="A165" s="1961"/>
      <c r="C165" s="1963"/>
      <c r="D165" s="1951"/>
      <c r="E165" s="1968"/>
      <c r="F165" s="1905"/>
      <c r="G165" s="1969"/>
      <c r="H165" s="1951"/>
      <c r="I165" s="1951"/>
      <c r="J165" s="1970"/>
      <c r="K165" s="1881"/>
      <c r="L165" s="2229"/>
      <c r="M165" s="2229" t="s">
        <v>123</v>
      </c>
      <c r="N165" s="2625" t="str">
        <f>IF(Z165="","",INDEX(TERRITORY_MR_LIST,MATCH(Z165,TERRITORY_LIST_ID,0)))</f>
        <v/>
      </c>
      <c r="O165" s="2306" t="s">
        <v>66</v>
      </c>
      <c r="P165" s="2229"/>
      <c r="Q165" s="2229" t="s">
        <v>123</v>
      </c>
      <c r="R165" s="2623" t="s">
        <v>28</v>
      </c>
      <c r="S165" s="2228" t="s">
        <v>66</v>
      </c>
      <c r="T165" s="1932"/>
      <c r="U165" s="1932" t="s">
        <v>123</v>
      </c>
      <c r="V165" s="1964" t="s">
        <v>28</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8300" customFormat="1" customHeight="1" ht="17.25">
      <c r="A166" s="1961"/>
      <c r="C166" s="1966"/>
      <c r="D166" s="1951"/>
      <c r="E166" s="1968"/>
      <c r="F166" s="1905"/>
      <c r="G166" s="1969"/>
      <c r="H166" s="1951"/>
      <c r="I166" s="1951"/>
      <c r="J166" s="1970"/>
      <c r="K166" s="1881"/>
      <c r="L166" s="2229"/>
      <c r="M166" s="2229"/>
      <c r="N166" s="2625"/>
      <c r="O166" s="2307"/>
      <c r="P166" s="2229"/>
      <c r="Q166" s="2229"/>
      <c r="R166" s="2623"/>
      <c r="S166" s="2228"/>
      <c r="T166" s="438"/>
      <c r="U166" s="439"/>
      <c r="V166" s="439" t="s">
        <v>175</v>
      </c>
      <c r="W166" s="440"/>
      <c r="Y166" s="1380"/>
      <c r="Z166" s="1380"/>
      <c r="AA166" s="1380"/>
      <c r="AB166" s="1380"/>
      <c r="AC166" s="1380"/>
      <c r="AD166" s="1380"/>
      <c r="AE166" s="1380"/>
      <c r="AF166" s="1380"/>
      <c r="AG166" s="1380"/>
      <c r="AH166" s="1380"/>
      <c r="AI166" s="1380"/>
      <c r="AJ166" s="1380"/>
      <c r="AK166" s="1380"/>
    </row>
    <row s="8300" customFormat="1" customHeight="1" ht="17.25">
      <c r="A167" s="1961"/>
      <c r="C167" s="1966"/>
      <c r="D167" s="1951"/>
      <c r="E167" s="1968"/>
      <c r="F167" s="1905"/>
      <c r="G167" s="1969"/>
      <c r="H167" s="1951"/>
      <c r="I167" s="1951"/>
      <c r="J167" s="1970"/>
      <c r="K167" s="1881"/>
      <c r="L167" s="2624"/>
      <c r="M167" s="2624"/>
      <c r="N167" s="2626"/>
      <c r="O167" s="2233"/>
      <c r="P167" s="438"/>
      <c r="Q167" s="439"/>
      <c r="R167" s="439" t="s">
        <v>176</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8300" customFormat="1" customHeight="1" ht="17.25">
      <c r="A169" s="1961"/>
      <c r="C169" s="1963"/>
      <c r="D169" s="1951"/>
      <c r="E169" s="1968"/>
      <c r="F169" s="1905"/>
      <c r="G169" s="1969"/>
      <c r="H169" s="1951"/>
      <c r="I169" s="1951"/>
      <c r="J169" s="1970"/>
      <c r="K169" s="1881"/>
      <c r="L169" s="1877"/>
      <c r="M169" s="1877"/>
      <c r="N169" s="2169"/>
      <c r="O169" s="1908"/>
      <c r="P169" s="2229"/>
      <c r="Q169" s="2229" t="s">
        <v>123</v>
      </c>
      <c r="R169" s="2623" t="s">
        <v>28</v>
      </c>
      <c r="S169" s="2228" t="s">
        <v>66</v>
      </c>
      <c r="T169" s="1932"/>
      <c r="U169" s="1932" t="s">
        <v>123</v>
      </c>
      <c r="V169" s="1964" t="s">
        <v>28</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8300" customFormat="1" customHeight="1" ht="17.25">
      <c r="A170" s="1961"/>
      <c r="C170" s="1966"/>
      <c r="D170" s="1951"/>
      <c r="E170" s="1968"/>
      <c r="F170" s="1905"/>
      <c r="G170" s="1969"/>
      <c r="H170" s="1951"/>
      <c r="I170" s="1951"/>
      <c r="J170" s="1970"/>
      <c r="K170" s="1881"/>
      <c r="L170" s="1877"/>
      <c r="M170" s="1877"/>
      <c r="N170" s="2169"/>
      <c r="O170" s="1908"/>
      <c r="P170" s="2229"/>
      <c r="Q170" s="2229"/>
      <c r="R170" s="2623"/>
      <c r="S170" s="2228"/>
      <c r="T170" s="438"/>
      <c r="U170" s="439"/>
      <c r="V170" s="439" t="s">
        <v>175</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8300"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123</v>
      </c>
      <c r="V172" s="1964" t="s">
        <v>28</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8059" customFormat="1" customHeight="1" ht="17.25">
      <c r="A174" s="1936" t="s">
        <v>1963</v>
      </c>
    </row>
    <row customHeight="1" ht="17.25">
      <c r="G175" s="1960"/>
      <c r="H175" s="1960"/>
      <c r="I175" s="1960"/>
      <c r="M175" s="1956"/>
    </row>
    <row s="8300" customFormat="1" customHeight="1" ht="17.25">
      <c r="A176" s="1961"/>
      <c r="C176" s="1963"/>
      <c r="D176" s="2650"/>
      <c r="E176" s="2264"/>
      <c r="F176" s="2266"/>
      <c r="G176" s="2652"/>
      <c r="H176" s="2650"/>
      <c r="I176" s="2650">
        <v>1</v>
      </c>
      <c r="J176" s="2622"/>
      <c r="K176" s="2306" t="s">
        <v>66</v>
      </c>
      <c r="L176" s="2229"/>
      <c r="M176" s="2229" t="s">
        <v>123</v>
      </c>
      <c r="N176" s="2625" t="str">
        <f>IF(Z176="","",INDEX(TERRITORY_MR_LIST,MATCH(Z176,TERRITORY_LIST_ID,0)))</f>
        <v/>
      </c>
      <c r="O176" s="2306" t="s">
        <v>66</v>
      </c>
      <c r="P176" s="2229"/>
      <c r="Q176" s="2229" t="s">
        <v>123</v>
      </c>
      <c r="R176" s="2623" t="s">
        <v>28</v>
      </c>
      <c r="S176" s="2527" t="s">
        <v>19</v>
      </c>
      <c r="T176" s="1923"/>
      <c r="U176" s="1923" t="s">
        <v>123</v>
      </c>
      <c r="V176" s="1555"/>
      <c r="W176" s="2622"/>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8300" customFormat="1" customHeight="1" ht="17.25">
      <c r="A177" s="1961"/>
      <c r="C177" s="1966"/>
      <c r="D177" s="2650"/>
      <c r="E177" s="2264"/>
      <c r="F177" s="2267"/>
      <c r="G177" s="2652"/>
      <c r="H177" s="2650"/>
      <c r="I177" s="2650"/>
      <c r="J177" s="2622"/>
      <c r="K177" s="2307"/>
      <c r="L177" s="2229"/>
      <c r="M177" s="2229"/>
      <c r="N177" s="2625"/>
      <c r="O177" s="2307"/>
      <c r="P177" s="2229"/>
      <c r="Q177" s="2229"/>
      <c r="R177" s="2623"/>
      <c r="S177" s="2527"/>
      <c r="T177" s="1556"/>
      <c r="U177" s="1557"/>
      <c r="V177" s="1557"/>
      <c r="W177" s="2622"/>
      <c r="Y177" s="1380"/>
      <c r="Z177" s="1380"/>
      <c r="AA177" s="1380"/>
      <c r="AB177" s="1380"/>
      <c r="AC177" s="1380"/>
      <c r="AD177" s="1380"/>
      <c r="AE177" s="1380"/>
      <c r="AF177" s="1380"/>
      <c r="AG177" s="1380"/>
      <c r="AH177" s="1380"/>
      <c r="AI177" s="1380"/>
      <c r="AJ177" s="1380"/>
      <c r="AK177" s="1380"/>
    </row>
    <row s="8300" customFormat="1" customHeight="1" ht="17.25">
      <c r="A178" s="1961"/>
      <c r="C178" s="1966"/>
      <c r="D178" s="2624"/>
      <c r="E178" s="2651"/>
      <c r="F178" s="2267"/>
      <c r="G178" s="2653"/>
      <c r="H178" s="2624"/>
      <c r="I178" s="2624"/>
      <c r="J178" s="2654"/>
      <c r="K178" s="2307"/>
      <c r="L178" s="2624"/>
      <c r="M178" s="2624"/>
      <c r="N178" s="2626"/>
      <c r="O178" s="2233"/>
      <c r="P178" s="438"/>
      <c r="Q178" s="439"/>
      <c r="R178" s="439" t="s">
        <v>176</v>
      </c>
      <c r="S178" s="1967"/>
      <c r="T178" s="1967"/>
      <c r="U178" s="1967"/>
      <c r="V178" s="1967"/>
      <c r="W178" s="1554"/>
      <c r="Y178" s="1380"/>
      <c r="Z178" s="1380"/>
      <c r="AA178" s="1380"/>
      <c r="AB178" s="1380"/>
      <c r="AC178" s="1380"/>
      <c r="AD178" s="1380"/>
      <c r="AE178" s="1380"/>
      <c r="AF178" s="1380"/>
      <c r="AG178" s="1380"/>
      <c r="AH178" s="1380"/>
      <c r="AI178" s="1380"/>
      <c r="AJ178" s="1380"/>
      <c r="AK178" s="1380"/>
    </row>
    <row s="8300" customFormat="1" customHeight="1" ht="17.25">
      <c r="A179" s="1961"/>
      <c r="C179" s="1966"/>
      <c r="D179" s="2624"/>
      <c r="E179" s="2651"/>
      <c r="F179" s="2267"/>
      <c r="G179" s="2653"/>
      <c r="H179" s="2624"/>
      <c r="I179" s="2624"/>
      <c r="J179" s="2654"/>
      <c r="K179" s="2233"/>
      <c r="L179" s="438"/>
      <c r="M179" s="439"/>
      <c r="N179" s="439" t="s">
        <v>177</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8300" customFormat="1" customHeight="1" ht="17.25">
      <c r="A180" s="1961"/>
      <c r="C180" s="1966"/>
      <c r="D180" s="2624"/>
      <c r="E180" s="2651"/>
      <c r="F180" s="2268"/>
      <c r="G180" s="2653"/>
      <c r="H180" s="438"/>
      <c r="I180" s="439"/>
      <c r="J180" s="439" t="s">
        <v>183</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8300" customFormat="1" customHeight="1" ht="17.25">
      <c r="A182" s="1961"/>
      <c r="C182" s="1963"/>
      <c r="D182" s="1951"/>
      <c r="E182" s="1968"/>
      <c r="F182" s="1905"/>
      <c r="G182" s="1969"/>
      <c r="H182" s="2650"/>
      <c r="I182" s="2650">
        <v>1</v>
      </c>
      <c r="J182" s="2622"/>
      <c r="K182" s="2306" t="s">
        <v>66</v>
      </c>
      <c r="L182" s="2229"/>
      <c r="M182" s="2229" t="s">
        <v>123</v>
      </c>
      <c r="N182" s="2625" t="str">
        <f>IF(Z182="","",INDEX(TERRITORY_MR_LIST,MATCH(Z182,TERRITORY_LIST_ID,0)))</f>
        <v/>
      </c>
      <c r="O182" s="2306" t="s">
        <v>66</v>
      </c>
      <c r="P182" s="2229"/>
      <c r="Q182" s="2229" t="s">
        <v>123</v>
      </c>
      <c r="R182" s="2623" t="s">
        <v>28</v>
      </c>
      <c r="S182" s="2527" t="s">
        <v>19</v>
      </c>
      <c r="T182" s="1923"/>
      <c r="U182" s="1923" t="s">
        <v>123</v>
      </c>
      <c r="V182" s="1555"/>
      <c r="W182" s="2622"/>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8300" customFormat="1" customHeight="1" ht="17.25">
      <c r="A183" s="1961"/>
      <c r="C183" s="1966"/>
      <c r="D183" s="1951"/>
      <c r="E183" s="1968"/>
      <c r="F183" s="1905"/>
      <c r="G183" s="1969"/>
      <c r="H183" s="2650"/>
      <c r="I183" s="2650"/>
      <c r="J183" s="2622"/>
      <c r="K183" s="2307"/>
      <c r="L183" s="2229"/>
      <c r="M183" s="2229"/>
      <c r="N183" s="2625"/>
      <c r="O183" s="2307"/>
      <c r="P183" s="2229"/>
      <c r="Q183" s="2229"/>
      <c r="R183" s="2623"/>
      <c r="S183" s="2527"/>
      <c r="T183" s="1556"/>
      <c r="U183" s="1557"/>
      <c r="V183" s="1557"/>
      <c r="W183" s="2622"/>
      <c r="Y183" s="1380"/>
      <c r="Z183" s="1380"/>
      <c r="AA183" s="1380"/>
      <c r="AB183" s="1380"/>
      <c r="AC183" s="1380"/>
      <c r="AD183" s="1380"/>
      <c r="AE183" s="1380"/>
      <c r="AF183" s="1380"/>
      <c r="AG183" s="1380"/>
      <c r="AH183" s="1380"/>
      <c r="AI183" s="1380"/>
      <c r="AJ183" s="1380"/>
      <c r="AK183" s="1380"/>
    </row>
    <row s="8300" customFormat="1" customHeight="1" ht="17.25">
      <c r="A184" s="1961"/>
      <c r="C184" s="1966"/>
      <c r="D184" s="1951"/>
      <c r="E184" s="1968"/>
      <c r="F184" s="1905"/>
      <c r="G184" s="1969"/>
      <c r="H184" s="2624"/>
      <c r="I184" s="2624"/>
      <c r="J184" s="2654"/>
      <c r="K184" s="2307"/>
      <c r="L184" s="2624"/>
      <c r="M184" s="2624"/>
      <c r="N184" s="2626"/>
      <c r="O184" s="2233"/>
      <c r="P184" s="438"/>
      <c r="Q184" s="439"/>
      <c r="R184" s="439" t="s">
        <v>176</v>
      </c>
      <c r="S184" s="1967"/>
      <c r="T184" s="1967"/>
      <c r="U184" s="1967"/>
      <c r="V184" s="1967"/>
      <c r="W184" s="1554"/>
      <c r="Y184" s="1380"/>
      <c r="Z184" s="1380"/>
      <c r="AA184" s="1380"/>
      <c r="AB184" s="1380"/>
      <c r="AC184" s="1380"/>
      <c r="AD184" s="1380"/>
      <c r="AE184" s="1380"/>
      <c r="AF184" s="1380"/>
      <c r="AG184" s="1380"/>
      <c r="AH184" s="1380"/>
      <c r="AI184" s="1380"/>
      <c r="AJ184" s="1380"/>
      <c r="AK184" s="1380"/>
    </row>
    <row s="8300" customFormat="1" customHeight="1" ht="17.25">
      <c r="A185" s="1961"/>
      <c r="C185" s="1966"/>
      <c r="D185" s="1951"/>
      <c r="E185" s="1968"/>
      <c r="F185" s="1905"/>
      <c r="G185" s="1969"/>
      <c r="H185" s="2624"/>
      <c r="I185" s="2624"/>
      <c r="J185" s="2654"/>
      <c r="K185" s="2233"/>
      <c r="L185" s="438"/>
      <c r="M185" s="439"/>
      <c r="N185" s="439" t="s">
        <v>177</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8300" customFormat="1" customHeight="1" ht="17.25">
      <c r="A187" s="1961"/>
      <c r="C187" s="1963"/>
      <c r="D187" s="1951"/>
      <c r="E187" s="1968"/>
      <c r="F187" s="1905"/>
      <c r="G187" s="1969"/>
      <c r="H187" s="1951"/>
      <c r="I187" s="1951"/>
      <c r="J187" s="1972"/>
      <c r="K187" s="1969"/>
      <c r="L187" s="2229"/>
      <c r="M187" s="2229" t="s">
        <v>123</v>
      </c>
      <c r="N187" s="2625" t="str">
        <f>IF(Z187="","",INDEX(TERRITORY_MR_LIST,MATCH(Z187,TERRITORY_LIST_ID,0)))</f>
        <v/>
      </c>
      <c r="O187" s="2306" t="s">
        <v>66</v>
      </c>
      <c r="P187" s="2229"/>
      <c r="Q187" s="2229" t="s">
        <v>123</v>
      </c>
      <c r="R187" s="2623" t="s">
        <v>28</v>
      </c>
      <c r="S187" s="2527" t="s">
        <v>19</v>
      </c>
      <c r="T187" s="1923"/>
      <c r="U187" s="1923" t="s">
        <v>123</v>
      </c>
      <c r="V187" s="1555"/>
      <c r="W187" s="2622"/>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8300" customFormat="1" customHeight="1" ht="17.25">
      <c r="A188" s="1961"/>
      <c r="C188" s="1966"/>
      <c r="D188" s="1951"/>
      <c r="E188" s="1968"/>
      <c r="F188" s="1905"/>
      <c r="G188" s="1969"/>
      <c r="H188" s="1951"/>
      <c r="I188" s="1951"/>
      <c r="J188" s="1972"/>
      <c r="K188" s="1969"/>
      <c r="L188" s="2229"/>
      <c r="M188" s="2229"/>
      <c r="N188" s="2625"/>
      <c r="O188" s="2307"/>
      <c r="P188" s="2229"/>
      <c r="Q188" s="2229"/>
      <c r="R188" s="2623"/>
      <c r="S188" s="2527"/>
      <c r="T188" s="1556"/>
      <c r="U188" s="1557"/>
      <c r="V188" s="1557"/>
      <c r="W188" s="2622"/>
      <c r="Y188" s="1380"/>
      <c r="Z188" s="1380"/>
      <c r="AA188" s="1380"/>
      <c r="AB188" s="1380"/>
      <c r="AC188" s="1380"/>
      <c r="AD188" s="1380"/>
      <c r="AE188" s="1380"/>
      <c r="AF188" s="1380"/>
      <c r="AG188" s="1380"/>
      <c r="AH188" s="1380"/>
      <c r="AI188" s="1380"/>
      <c r="AJ188" s="1380"/>
      <c r="AK188" s="1380"/>
    </row>
    <row s="8300" customFormat="1" customHeight="1" ht="17.25">
      <c r="A189" s="1961"/>
      <c r="C189" s="1966"/>
      <c r="D189" s="1951"/>
      <c r="E189" s="1968"/>
      <c r="F189" s="1905"/>
      <c r="G189" s="1969"/>
      <c r="H189" s="1951"/>
      <c r="I189" s="1951"/>
      <c r="J189" s="1972"/>
      <c r="K189" s="1969"/>
      <c r="L189" s="2624"/>
      <c r="M189" s="2624"/>
      <c r="N189" s="2626"/>
      <c r="O189" s="2233"/>
      <c r="P189" s="438"/>
      <c r="Q189" s="439"/>
      <c r="R189" s="439" t="s">
        <v>176</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8300" customFormat="1" customHeight="1" ht="17.25">
      <c r="A191" s="1961"/>
      <c r="C191" s="1963"/>
      <c r="D191" s="1951"/>
      <c r="E191" s="1968"/>
      <c r="F191" s="1905"/>
      <c r="G191" s="1969"/>
      <c r="H191" s="1951"/>
      <c r="I191" s="1951"/>
      <c r="J191" s="1972"/>
      <c r="K191" s="1969"/>
      <c r="L191" s="1951"/>
      <c r="M191" s="1951"/>
      <c r="N191" s="2169"/>
      <c r="O191" s="1908"/>
      <c r="P191" s="2229"/>
      <c r="Q191" s="2229" t="s">
        <v>123</v>
      </c>
      <c r="R191" s="2623" t="s">
        <v>28</v>
      </c>
      <c r="S191" s="2527" t="s">
        <v>19</v>
      </c>
      <c r="T191" s="1923"/>
      <c r="U191" s="1923" t="s">
        <v>123</v>
      </c>
      <c r="V191" s="1555"/>
      <c r="W191" s="2622"/>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8300" customFormat="1" customHeight="1" ht="17.25">
      <c r="A192" s="1961"/>
      <c r="C192" s="1966"/>
      <c r="D192" s="1951"/>
      <c r="E192" s="1968"/>
      <c r="F192" s="1905"/>
      <c r="G192" s="1969"/>
      <c r="H192" s="1951"/>
      <c r="I192" s="1951"/>
      <c r="J192" s="1972"/>
      <c r="K192" s="1969"/>
      <c r="L192" s="1951"/>
      <c r="M192" s="1951"/>
      <c r="N192" s="2169"/>
      <c r="O192" s="1908"/>
      <c r="P192" s="2229"/>
      <c r="Q192" s="2229"/>
      <c r="R192" s="2623"/>
      <c r="S192" s="2527"/>
      <c r="T192" s="1556"/>
      <c r="U192" s="1557"/>
      <c r="V192" s="1557"/>
      <c r="W192" s="2622"/>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4"/>
      <c r="E194" s="2300"/>
      <c r="F194" s="2300"/>
      <c r="G194" s="2248"/>
      <c r="H194" s="2675"/>
      <c r="I194" s="2688"/>
      <c r="J194" s="2273"/>
      <c r="K194" s="2258"/>
      <c r="L194" s="2258"/>
      <c r="M194" s="2258"/>
      <c r="N194" s="2686"/>
      <c r="O194" s="2258"/>
      <c r="P194" s="2258"/>
      <c r="Q194" s="2258"/>
      <c r="R194" s="2684"/>
      <c r="S194" s="2258"/>
      <c r="T194" s="1904"/>
      <c r="U194" s="1904"/>
      <c r="V194" s="1973"/>
      <c r="W194" s="1417"/>
    </row>
    <row customHeight="1" ht="16.5">
      <c r="A195" s="1961"/>
      <c r="B195" s="1962"/>
      <c r="C195" s="1966"/>
      <c r="D195" s="2674"/>
      <c r="E195" s="2300"/>
      <c r="F195" s="2300"/>
      <c r="G195" s="2248"/>
      <c r="H195" s="2676"/>
      <c r="I195" s="2689"/>
      <c r="J195" s="2274"/>
      <c r="K195" s="2259"/>
      <c r="L195" s="2259"/>
      <c r="M195" s="2259"/>
      <c r="N195" s="2687"/>
      <c r="O195" s="2259"/>
      <c r="P195" s="2259"/>
      <c r="Q195" s="2259"/>
      <c r="R195" s="2685"/>
      <c r="S195" s="2259"/>
      <c r="T195" s="1418"/>
      <c r="U195" s="1418"/>
      <c r="V195" s="1418"/>
      <c r="W195" s="1419"/>
    </row>
    <row customHeight="1" ht="17.25">
      <c r="A196" s="1961"/>
      <c r="B196" s="1962"/>
      <c r="C196" s="1966"/>
      <c r="D196" s="2674"/>
      <c r="E196" s="2300"/>
      <c r="F196" s="2300"/>
      <c r="G196" s="2248"/>
      <c r="H196" s="2676"/>
      <c r="I196" s="2689"/>
      <c r="J196" s="2677"/>
      <c r="K196" s="2259"/>
      <c r="L196" s="2259"/>
      <c r="M196" s="2259"/>
      <c r="N196" s="2685"/>
      <c r="O196" s="2259"/>
      <c r="P196" s="1907"/>
      <c r="Q196" s="1418"/>
      <c r="R196" s="1418"/>
      <c r="S196" s="1974"/>
      <c r="T196" s="1974"/>
      <c r="U196" s="1974"/>
      <c r="V196" s="1974"/>
      <c r="W196" s="1419"/>
    </row>
    <row customHeight="1" ht="17.25">
      <c r="A197" s="1961"/>
      <c r="B197" s="1962"/>
      <c r="C197" s="1966"/>
      <c r="D197" s="2674"/>
      <c r="E197" s="2300"/>
      <c r="F197" s="2300"/>
      <c r="G197" s="2248"/>
      <c r="H197" s="2676"/>
      <c r="I197" s="2689"/>
      <c r="J197" s="2677"/>
      <c r="K197" s="2259"/>
      <c r="L197" s="1418"/>
      <c r="M197" s="1418"/>
      <c r="N197" s="1418"/>
      <c r="O197" s="1418"/>
      <c r="P197" s="1418"/>
      <c r="Q197" s="1418"/>
      <c r="R197" s="1418"/>
      <c r="S197" s="1974"/>
      <c r="T197" s="1974"/>
      <c r="U197" s="1974"/>
      <c r="V197" s="1974"/>
      <c r="W197" s="1419"/>
    </row>
    <row customHeight="1" ht="17.25">
      <c r="A198" s="1961"/>
      <c r="B198" s="1962"/>
      <c r="C198" s="1966"/>
      <c r="D198" s="2674"/>
      <c r="E198" s="2300"/>
      <c r="F198" s="2300"/>
      <c r="G198" s="2248"/>
      <c r="H198" s="1420"/>
      <c r="I198" s="1421"/>
      <c r="J198" s="1421"/>
      <c r="K198" s="1421"/>
      <c r="L198" s="1421"/>
      <c r="M198" s="1421"/>
      <c r="N198" s="1421"/>
      <c r="O198" s="1421"/>
      <c r="P198" s="1421"/>
      <c r="Q198" s="1421"/>
      <c r="R198" s="1421"/>
      <c r="S198" s="1975"/>
      <c r="T198" s="1975"/>
      <c r="U198" s="1975"/>
      <c r="V198" s="1975"/>
      <c r="W198" s="1423"/>
    </row>
    <row r="200" s="8059" customFormat="1" customHeight="1" ht="17.25">
      <c r="A200" s="1936" t="s">
        <v>1964</v>
      </c>
    </row>
    <row customHeight="1" ht="17.25">
      <c r="G201" s="1960"/>
      <c r="H201" s="1960"/>
      <c r="I201" s="1960"/>
      <c r="M201" s="1956"/>
    </row>
    <row s="8469" customFormat="1" customHeight="1" ht="15">
      <c r="D202" s="2644"/>
      <c r="E202" s="2320"/>
      <c r="F202" s="2320"/>
      <c r="G202" s="2306"/>
      <c r="H202" s="1685"/>
      <c r="I202" s="2648">
        <v>1</v>
      </c>
      <c r="J202" s="2622"/>
      <c r="K202" s="1700"/>
      <c r="L202" s="2306" t="s">
        <v>66</v>
      </c>
      <c r="M202" s="2306" t="s">
        <v>66</v>
      </c>
      <c r="N202" s="1685"/>
      <c r="O202" s="2229" t="s">
        <v>123</v>
      </c>
      <c r="P202" s="2638"/>
      <c r="Q202" s="1701"/>
      <c r="R202" s="2306" t="s">
        <v>66</v>
      </c>
      <c r="S202" s="2306" t="s">
        <v>66</v>
      </c>
      <c r="T202" s="1976"/>
      <c r="U202" s="2229" t="s">
        <v>123</v>
      </c>
      <c r="V202" s="2645" t="str">
        <f>IF(AK202="","",INDEX(TERRITORY_MR_LIST,MATCH(AK202,TERRITORY_LIST_ID,0)))</f>
        <v/>
      </c>
      <c r="W202" s="1702"/>
      <c r="X202" s="2306" t="s">
        <v>66</v>
      </c>
      <c r="Y202" s="2306" t="s">
        <v>19</v>
      </c>
      <c r="Z202" s="1685"/>
      <c r="AA202" s="2229" t="s">
        <v>123</v>
      </c>
      <c r="AB202" s="2647"/>
      <c r="AC202" s="1703"/>
      <c r="AD202" s="2306" t="s">
        <v>66</v>
      </c>
      <c r="AE202" s="2306" t="s">
        <v>19</v>
      </c>
      <c r="AF202" s="1683"/>
      <c r="AG202" s="1932" t="s">
        <v>123</v>
      </c>
      <c r="AH202" s="1693"/>
      <c r="AI202" s="1922"/>
    </row>
    <row s="8469" customFormat="1" customHeight="1" ht="15">
      <c r="D203" s="2644"/>
      <c r="E203" s="2320"/>
      <c r="F203" s="2320"/>
      <c r="G203" s="2307"/>
      <c r="H203" s="1685"/>
      <c r="I203" s="2648"/>
      <c r="J203" s="2622"/>
      <c r="K203" s="1684"/>
      <c r="L203" s="2307"/>
      <c r="M203" s="2307"/>
      <c r="N203" s="1685"/>
      <c r="O203" s="2229"/>
      <c r="P203" s="2638"/>
      <c r="Q203" s="1681"/>
      <c r="R203" s="2307"/>
      <c r="S203" s="2307"/>
      <c r="T203" s="1976"/>
      <c r="U203" s="2229"/>
      <c r="V203" s="2646"/>
      <c r="W203" s="1682"/>
      <c r="X203" s="2307"/>
      <c r="Y203" s="2307"/>
      <c r="Z203" s="1685"/>
      <c r="AA203" s="2229"/>
      <c r="AB203" s="2616"/>
      <c r="AC203" s="1686"/>
      <c r="AD203" s="2233"/>
      <c r="AE203" s="2233"/>
      <c r="AF203" s="1687"/>
      <c r="AG203" s="1688"/>
      <c r="AH203" s="2639" t="s">
        <v>1965</v>
      </c>
      <c r="AI203" s="2640"/>
    </row>
    <row s="8469" customFormat="1" customHeight="1" ht="15">
      <c r="D204" s="2644"/>
      <c r="E204" s="2320"/>
      <c r="F204" s="2320"/>
      <c r="G204" s="2307"/>
      <c r="H204" s="1685"/>
      <c r="I204" s="2648"/>
      <c r="J204" s="2622"/>
      <c r="K204" s="1684"/>
      <c r="L204" s="2307"/>
      <c r="M204" s="2307"/>
      <c r="N204" s="1685"/>
      <c r="O204" s="2229"/>
      <c r="P204" s="2638"/>
      <c r="Q204" s="1681"/>
      <c r="R204" s="2307"/>
      <c r="S204" s="2307"/>
      <c r="T204" s="1976"/>
      <c r="U204" s="2229"/>
      <c r="V204" s="2646"/>
      <c r="W204" s="1682"/>
      <c r="X204" s="2307"/>
      <c r="Y204" s="2307"/>
      <c r="Z204" s="1724"/>
      <c r="AA204" s="1690"/>
      <c r="AB204" s="2641" t="s">
        <v>1966</v>
      </c>
      <c r="AC204" s="2641"/>
      <c r="AD204" s="2641"/>
      <c r="AE204" s="2641"/>
      <c r="AF204" s="2641"/>
      <c r="AG204" s="2641"/>
      <c r="AH204" s="2641"/>
      <c r="AI204" s="2642"/>
    </row>
    <row s="8469" customFormat="1" customHeight="1" ht="15">
      <c r="D205" s="2644"/>
      <c r="E205" s="2320"/>
      <c r="F205" s="2320"/>
      <c r="G205" s="2307"/>
      <c r="H205" s="1685"/>
      <c r="I205" s="2648"/>
      <c r="J205" s="2622"/>
      <c r="K205" s="1684"/>
      <c r="L205" s="2307"/>
      <c r="M205" s="2307"/>
      <c r="N205" s="1685"/>
      <c r="O205" s="2229"/>
      <c r="P205" s="2643"/>
      <c r="Q205" s="1681"/>
      <c r="R205" s="2307"/>
      <c r="S205" s="2307"/>
      <c r="T205" s="1977"/>
      <c r="U205" s="1725"/>
      <c r="V205" s="2639" t="s">
        <v>117</v>
      </c>
      <c r="W205" s="2639"/>
      <c r="X205" s="2639"/>
      <c r="Y205" s="2639"/>
      <c r="Z205" s="2639"/>
      <c r="AA205" s="2639"/>
      <c r="AB205" s="2639"/>
      <c r="AC205" s="2639"/>
      <c r="AD205" s="2639"/>
      <c r="AE205" s="2639"/>
      <c r="AF205" s="2639"/>
      <c r="AG205" s="2639"/>
      <c r="AH205" s="2639"/>
      <c r="AI205" s="2640"/>
    </row>
    <row s="8469" customFormat="1" customHeight="1" ht="11.25">
      <c r="D206" s="2644"/>
      <c r="E206" s="2320"/>
      <c r="F206" s="2320"/>
      <c r="G206" s="2307"/>
      <c r="H206" s="1689"/>
      <c r="I206" s="2648"/>
      <c r="J206" s="2649"/>
      <c r="K206" s="1684"/>
      <c r="L206" s="2307"/>
      <c r="M206" s="2307"/>
      <c r="N206" s="1689"/>
      <c r="O206" s="1690"/>
      <c r="P206" s="2639" t="s">
        <v>1967</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s="6195" customFormat="1" customHeight="1" ht="11.25">
      <c r="D207" s="2644"/>
      <c r="E207" s="2320"/>
      <c r="F207" s="2320"/>
      <c r="G207" s="2233"/>
      <c r="H207" s="1691"/>
      <c r="I207" s="1692"/>
      <c r="J207" s="2639" t="s">
        <v>183</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695"/>
    </row>
    <row customHeight="1" ht="17.25">
      <c r="G208" s="1960"/>
      <c r="I208" s="1960"/>
      <c r="J208" s="1960"/>
      <c r="N208" s="1956"/>
    </row>
    <row s="8469" customFormat="1" customHeight="1" ht="15">
      <c r="D209" s="2644"/>
      <c r="E209" s="2320"/>
      <c r="F209" s="2320"/>
      <c r="G209" s="2300"/>
      <c r="H209" s="1720"/>
      <c r="I209" s="2302"/>
      <c r="J209" s="2273"/>
      <c r="K209" s="1906"/>
      <c r="L209" s="2258"/>
      <c r="M209" s="2258"/>
      <c r="N209" s="1705"/>
      <c r="O209" s="2258"/>
      <c r="P209" s="2273"/>
      <c r="Q209" s="1910"/>
      <c r="R209" s="2258"/>
      <c r="S209" s="2258"/>
      <c r="T209" s="1978"/>
      <c r="U209" s="2258"/>
      <c r="V209" s="2273"/>
      <c r="W209" s="1708"/>
      <c r="X209" s="2258"/>
      <c r="Y209" s="2258"/>
      <c r="Z209" s="1705"/>
      <c r="AA209" s="2258"/>
      <c r="AB209" s="2273"/>
      <c r="AC209" s="1709"/>
      <c r="AD209" s="2258"/>
      <c r="AE209" s="2258"/>
      <c r="AF209" s="1904"/>
      <c r="AG209" s="1904"/>
      <c r="AH209" s="1710"/>
      <c r="AI209" s="1417"/>
    </row>
    <row s="8469" customFormat="1" customHeight="1" ht="15">
      <c r="D210" s="2644"/>
      <c r="E210" s="2320"/>
      <c r="F210" s="2320"/>
      <c r="G210" s="2300"/>
      <c r="H210" s="1721"/>
      <c r="I210" s="2303"/>
      <c r="J210" s="2274"/>
      <c r="K210" s="1731"/>
      <c r="L210" s="2259"/>
      <c r="M210" s="2259"/>
      <c r="N210" s="1711"/>
      <c r="O210" s="2259"/>
      <c r="P210" s="2274"/>
      <c r="Q210" s="1911"/>
      <c r="R210" s="2259"/>
      <c r="S210" s="2259"/>
      <c r="T210" s="1979"/>
      <c r="U210" s="2259"/>
      <c r="V210" s="2274"/>
      <c r="W210" s="1714"/>
      <c r="X210" s="2259"/>
      <c r="Y210" s="2259"/>
      <c r="Z210" s="1711"/>
      <c r="AA210" s="2259"/>
      <c r="AB210" s="2274"/>
      <c r="AC210" s="1715"/>
      <c r="AD210" s="2259"/>
      <c r="AE210" s="2259"/>
      <c r="AF210" s="1909"/>
      <c r="AG210" s="1909"/>
      <c r="AH210" s="2298"/>
      <c r="AI210" s="2299"/>
    </row>
    <row s="8469" customFormat="1" customHeight="1" ht="15">
      <c r="D211" s="2644"/>
      <c r="E211" s="2320"/>
      <c r="F211" s="2320"/>
      <c r="G211" s="2300"/>
      <c r="H211" s="1721"/>
      <c r="I211" s="2303"/>
      <c r="J211" s="2274"/>
      <c r="K211" s="1731"/>
      <c r="L211" s="2259"/>
      <c r="M211" s="2259"/>
      <c r="N211" s="1711"/>
      <c r="O211" s="2259"/>
      <c r="P211" s="2274"/>
      <c r="Q211" s="1911"/>
      <c r="R211" s="2259"/>
      <c r="S211" s="2259"/>
      <c r="T211" s="1979"/>
      <c r="U211" s="2259"/>
      <c r="V211" s="2274"/>
      <c r="W211" s="1714"/>
      <c r="X211" s="2259"/>
      <c r="Y211" s="2259"/>
      <c r="Z211" s="1907"/>
      <c r="AA211" s="1909"/>
      <c r="AB211" s="2298"/>
      <c r="AC211" s="2298"/>
      <c r="AD211" s="2298"/>
      <c r="AE211" s="2298"/>
      <c r="AF211" s="2298"/>
      <c r="AG211" s="2298"/>
      <c r="AH211" s="2298"/>
      <c r="AI211" s="2299"/>
    </row>
    <row s="8469" customFormat="1" customHeight="1" ht="15">
      <c r="D212" s="2644"/>
      <c r="E212" s="2320"/>
      <c r="F212" s="2320"/>
      <c r="G212" s="2300"/>
      <c r="H212" s="1721"/>
      <c r="I212" s="2303"/>
      <c r="J212" s="2274"/>
      <c r="K212" s="1731"/>
      <c r="L212" s="2259"/>
      <c r="M212" s="2259"/>
      <c r="N212" s="1711"/>
      <c r="O212" s="2259"/>
      <c r="P212" s="2274"/>
      <c r="Q212" s="1911"/>
      <c r="R212" s="2259"/>
      <c r="S212" s="2259"/>
      <c r="T212" s="1980"/>
      <c r="U212" s="1718"/>
      <c r="V212" s="2298"/>
      <c r="W212" s="2298"/>
      <c r="X212" s="2298"/>
      <c r="Y212" s="2298"/>
      <c r="Z212" s="2298"/>
      <c r="AA212" s="2298"/>
      <c r="AB212" s="2298"/>
      <c r="AC212" s="2298"/>
      <c r="AD212" s="2298"/>
      <c r="AE212" s="2298"/>
      <c r="AF212" s="2298"/>
      <c r="AG212" s="2298"/>
      <c r="AH212" s="2298"/>
      <c r="AI212" s="2299"/>
    </row>
    <row s="8469" customFormat="1" customHeight="1" ht="11.25">
      <c r="D213" s="2644"/>
      <c r="E213" s="2320"/>
      <c r="F213" s="2320"/>
      <c r="G213" s="2300"/>
      <c r="H213" s="1722"/>
      <c r="I213" s="2303"/>
      <c r="J213" s="2274"/>
      <c r="K213" s="1731"/>
      <c r="L213" s="2259"/>
      <c r="M213" s="2259"/>
      <c r="N213" s="1909"/>
      <c r="O213" s="1909"/>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s="6195" customFormat="1" customHeight="1" ht="11.25">
      <c r="D214" s="2644"/>
      <c r="E214" s="2320"/>
      <c r="F214" s="2320"/>
      <c r="G214" s="2305"/>
      <c r="H214" s="1719"/>
      <c r="I214" s="1723"/>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695"/>
    </row>
    <row customHeight="1" ht="17.25">
      <c r="A215" s="197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B46F-813D-5403-B7A4-0.780C55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9" width="43.140625"/>
    <col min="2" max="2" style="8349" width="43.140625" hidden="1"/>
    <col min="3" max="3" style="8349" width="43.140625"/>
    <col min="4" max="5" style="8349" width="36.421875" customWidth="1"/>
    <col min="6" max="8" style="8350" width="36.421875" customWidth="1"/>
  </cols>
  <sheetData>
    <row customHeight="1" ht="9">
      <c r="A1" s="967" t="s">
        <v>1968</v>
      </c>
      <c r="B1" s="967"/>
      <c r="C1" s="1103" t="s">
        <v>1969</v>
      </c>
      <c r="D1" s="1101" t="s">
        <v>829</v>
      </c>
      <c r="E1" s="1101" t="s">
        <v>875</v>
      </c>
      <c r="F1" s="1101" t="s">
        <v>928</v>
      </c>
      <c r="G1" s="1101" t="s">
        <v>915</v>
      </c>
      <c r="H1" s="1101" t="s">
        <v>1644</v>
      </c>
    </row>
    <row customHeight="1" ht="9">
      <c r="A2" s="1104" t="s">
        <v>1970</v>
      </c>
      <c r="B2" s="1104"/>
      <c r="C2" s="1105" t="str">
        <f>INDEX(TEMPLATE_NUMBER_FORM_LIST,MATCH(TEMPLATE_SPHERE,TEMPLATE_SPHERE_LIST,0))</f>
        <v>16</v>
      </c>
      <c r="D2" s="1104" t="s">
        <v>1495</v>
      </c>
      <c r="E2" s="1104" t="s">
        <v>162</v>
      </c>
      <c r="F2" s="1106" t="s">
        <v>162</v>
      </c>
      <c r="G2" s="1104" t="s">
        <v>162</v>
      </c>
      <c r="H2" s="1107"/>
    </row>
    <row customHeight="1" ht="63">
      <c r="A3" s="967"/>
      <c r="B3" s="967" t="s">
        <v>123</v>
      </c>
      <c r="C3" s="11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5" t="s">
        <v>1971</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6"/>
      <c r="G3" s="1107"/>
      <c r="H3" s="967"/>
    </row>
    <row customHeight="1" ht="243">
      <c r="A4" s="967" t="s">
        <v>1972</v>
      </c>
      <c r="B4" s="967" t="s">
        <v>103</v>
      </c>
      <c r="C4" s="11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4" t="s">
        <v>1973</v>
      </c>
      <c r="E4" s="11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4"/>
      <c r="G4" s="1104"/>
      <c r="H4" s="967" t="s">
        <v>1974</v>
      </c>
    </row>
    <row customHeight="1" ht="117">
      <c r="A5" s="967" t="s">
        <v>1975</v>
      </c>
      <c r="B5" s="967" t="s">
        <v>90</v>
      </c>
      <c r="C5" s="11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7" t="s">
        <v>1976</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7"/>
      <c r="G5" s="1107"/>
      <c r="H5" s="967" t="s">
        <v>1977</v>
      </c>
    </row>
    <row customHeight="1" ht="90">
      <c r="A6" s="967" t="s">
        <v>1978</v>
      </c>
      <c r="B6" s="967" t="s">
        <v>91</v>
      </c>
      <c r="C6" s="11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7"/>
      <c r="G6" s="967"/>
      <c r="H6" s="1107"/>
    </row>
    <row customHeight="1" ht="45">
      <c r="A7" s="967" t="s">
        <v>1979</v>
      </c>
      <c r="B7" s="967" t="s">
        <v>124</v>
      </c>
      <c r="C7" s="1105" t="str">
        <f>IF(TEMPLATE_SPHERE="HEAT",D7,E7)</f>
        <v>Форма 11. Информация о расходах на капитальный и текущий ремонт основных средств</v>
      </c>
      <c r="D7" s="967" t="s">
        <v>1980</v>
      </c>
      <c r="E7" s="967" t="s">
        <v>1981</v>
      </c>
      <c r="F7" s="1107"/>
      <c r="G7" s="1107"/>
      <c r="H7" s="1107"/>
    </row>
    <row customHeight="1" ht="108">
      <c r="A8" s="967" t="s">
        <v>1982</v>
      </c>
      <c r="B8" s="967" t="s">
        <v>92</v>
      </c>
      <c r="C8" s="11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7" t="s">
        <v>1185</v>
      </c>
      <c r="E8" s="967" t="s">
        <v>1983</v>
      </c>
      <c r="F8" s="1107"/>
      <c r="G8" s="1107"/>
      <c r="H8" s="1107"/>
    </row>
    <row customHeight="1" ht="99">
      <c r="A9" s="967" t="s">
        <v>1984</v>
      </c>
      <c r="B9" s="967"/>
      <c r="C9" s="967" t="s">
        <v>1985</v>
      </c>
      <c r="D9" s="967"/>
      <c r="E9" s="967"/>
      <c r="F9" s="1107"/>
      <c r="G9" s="1107"/>
      <c r="H9" s="1107"/>
    </row>
    <row customHeight="1" ht="126">
      <c r="A10" s="967" t="s">
        <v>1986</v>
      </c>
      <c r="B10" s="967"/>
      <c r="C10" s="967" t="s">
        <v>1987</v>
      </c>
      <c r="D10" s="967"/>
      <c r="E10" s="967"/>
      <c r="F10" s="1107"/>
      <c r="G10" s="1107"/>
      <c r="H10" s="1107"/>
    </row>
    <row customHeight="1" ht="108">
      <c r="A11" s="967" t="s">
        <v>1988</v>
      </c>
      <c r="B11" s="967"/>
      <c r="C11" s="967" t="s">
        <v>1989</v>
      </c>
      <c r="D11" s="967"/>
      <c r="E11" s="967"/>
      <c r="F11" s="1107"/>
      <c r="G11" s="1107"/>
      <c r="H11" s="1107"/>
    </row>
    <row customHeight="1" ht="54">
      <c r="A12" s="967" t="s">
        <v>1990</v>
      </c>
      <c r="B12" s="967"/>
      <c r="C12" s="967" t="s">
        <v>1991</v>
      </c>
      <c r="D12" s="967"/>
      <c r="E12" s="967"/>
      <c r="F12" s="1107"/>
      <c r="G12" s="1107"/>
      <c r="H12" s="1107"/>
    </row>
    <row customHeight="1" ht="45">
      <c r="A13" s="967" t="s">
        <v>1992</v>
      </c>
      <c r="B13" s="967"/>
      <c r="C13" s="967" t="s">
        <v>1993</v>
      </c>
      <c r="D13" s="967"/>
      <c r="E13" s="967"/>
      <c r="F13" s="1107"/>
      <c r="G13" s="1107"/>
      <c r="H13" s="1107"/>
    </row>
    <row customHeight="1" ht="117">
      <c r="A14" s="967" t="s">
        <v>1994</v>
      </c>
      <c r="B14" s="967"/>
      <c r="C14" s="967" t="s">
        <v>1995</v>
      </c>
      <c r="D14" s="967"/>
      <c r="E14" s="967"/>
      <c r="F14" s="1107"/>
      <c r="G14" s="1107"/>
      <c r="H14" s="1107"/>
    </row>
    <row customHeight="1" ht="117">
      <c r="A15" s="967" t="s">
        <v>1996</v>
      </c>
      <c r="B15" s="967"/>
      <c r="C15" s="967" t="s">
        <v>1997</v>
      </c>
      <c r="D15" s="967"/>
      <c r="E15" s="967"/>
      <c r="F15" s="1107"/>
      <c r="G15" s="1107"/>
      <c r="H15" s="1107"/>
    </row>
    <row customHeight="1" ht="63">
      <c r="A16" s="967" t="s">
        <v>1998</v>
      </c>
      <c r="B16" s="967"/>
      <c r="C16" s="967" t="s">
        <v>1999</v>
      </c>
      <c r="D16" s="967"/>
      <c r="E16" s="967"/>
      <c r="F16" s="1107"/>
      <c r="G16" s="1107"/>
      <c r="H16" s="1107"/>
    </row>
    <row customHeight="1" ht="54">
      <c r="A17" s="967" t="s">
        <v>2000</v>
      </c>
      <c r="B17" s="967"/>
      <c r="C17" s="1105" t="s">
        <v>2001</v>
      </c>
      <c r="D17" s="967"/>
      <c r="E17" s="967"/>
      <c r="F17" s="1107"/>
      <c r="G17" s="1107"/>
      <c r="H17" s="1107"/>
    </row>
    <row customHeight="1" ht="27">
      <c r="A18" s="967" t="s">
        <v>2002</v>
      </c>
      <c r="B18" s="967"/>
      <c r="C18" s="1105" t="s">
        <v>2003</v>
      </c>
      <c r="D18" s="967"/>
      <c r="E18" s="967"/>
      <c r="F18" s="1107"/>
      <c r="G18" s="1107"/>
      <c r="H18" s="1107"/>
    </row>
    <row customHeight="1" ht="54">
      <c r="A19" s="967" t="s">
        <v>2004</v>
      </c>
      <c r="B19" s="967"/>
      <c r="C19" s="1105" t="s">
        <v>2005</v>
      </c>
      <c r="D19" s="967"/>
      <c r="E19" s="967"/>
      <c r="F19" s="1107"/>
      <c r="G19" s="1107"/>
      <c r="H19" s="1107"/>
    </row>
    <row customHeight="1" ht="36">
      <c r="A20" s="967" t="s">
        <v>2006</v>
      </c>
      <c r="B20" s="967"/>
      <c r="C20" s="1105" t="s">
        <v>2007</v>
      </c>
      <c r="D20" s="967"/>
      <c r="E20" s="967"/>
      <c r="F20" s="1107"/>
      <c r="G20" s="1107"/>
      <c r="H20" s="1107"/>
    </row>
    <row customHeight="1" ht="36">
      <c r="A21" s="967" t="s">
        <v>2008</v>
      </c>
      <c r="B21" s="967"/>
      <c r="C21" s="1105" t="s">
        <v>2009</v>
      </c>
      <c r="D21" s="967"/>
      <c r="E21" s="967"/>
      <c r="F21" s="1107"/>
      <c r="G21" s="1107"/>
      <c r="H21" s="1107"/>
    </row>
    <row customHeight="1" ht="27">
      <c r="A22" s="967" t="s">
        <v>2010</v>
      </c>
      <c r="B22" s="967"/>
      <c r="C22" s="1105" t="s">
        <v>2011</v>
      </c>
      <c r="D22" s="967"/>
      <c r="E22" s="967"/>
      <c r="F22" s="1107"/>
      <c r="G22" s="1107"/>
      <c r="H22" s="1107"/>
    </row>
    <row customHeight="1" ht="36">
      <c r="A23" s="967" t="s">
        <v>2012</v>
      </c>
      <c r="B23" s="967"/>
      <c r="C23" s="1105" t="s">
        <v>2013</v>
      </c>
      <c r="D23" s="967"/>
      <c r="E23" s="967"/>
      <c r="F23" s="1107"/>
      <c r="G23" s="1107"/>
      <c r="H23" s="1107"/>
    </row>
    <row customHeight="1" ht="28.5">
      <c r="A24" s="967" t="s">
        <v>2014</v>
      </c>
      <c r="B24" s="967"/>
      <c r="C24" s="1105" t="s">
        <v>2015</v>
      </c>
      <c r="D24" s="967"/>
      <c r="E24" s="967"/>
      <c r="F24" s="1107"/>
      <c r="G24" s="1107"/>
      <c r="H24" s="1107"/>
    </row>
    <row customHeight="1" ht="36">
      <c r="A25" s="967" t="s">
        <v>2016</v>
      </c>
      <c r="B25" s="967"/>
      <c r="C25" s="1105" t="s">
        <v>2017</v>
      </c>
      <c r="D25" s="967"/>
      <c r="E25" s="967"/>
      <c r="F25" s="1107"/>
      <c r="G25" s="1107"/>
      <c r="H25" s="1107"/>
    </row>
    <row customHeight="1" ht="27">
      <c r="A26" s="967" t="s">
        <v>2018</v>
      </c>
      <c r="B26" s="967"/>
      <c r="C26" s="1105" t="s">
        <v>2019</v>
      </c>
      <c r="D26" s="967"/>
      <c r="E26" s="967"/>
      <c r="F26" s="1107"/>
      <c r="G26" s="1107"/>
      <c r="H26" s="1107"/>
    </row>
    <row customHeight="1" ht="36">
      <c r="A27" s="967" t="s">
        <v>2020</v>
      </c>
      <c r="B27" s="967"/>
      <c r="C27" s="1105" t="s">
        <v>2021</v>
      </c>
      <c r="D27" s="967"/>
      <c r="E27" s="967"/>
      <c r="F27" s="1107"/>
      <c r="G27" s="1107"/>
      <c r="H27" s="1107"/>
    </row>
    <row customHeight="1" ht="28.5">
      <c r="A28" s="967" t="s">
        <v>2022</v>
      </c>
      <c r="B28" s="967"/>
      <c r="C28" s="1105" t="s">
        <v>2023</v>
      </c>
      <c r="D28" s="967"/>
      <c r="E28" s="967"/>
      <c r="F28" s="1107"/>
      <c r="G28" s="1107"/>
      <c r="H28" s="1107"/>
    </row>
    <row customHeight="1" ht="126">
      <c r="A29" s="967" t="s">
        <v>2024</v>
      </c>
      <c r="B29" s="967" t="s">
        <v>1597</v>
      </c>
      <c r="C29" s="11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7" t="s">
        <v>2025</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7"/>
      <c r="G29" s="1107"/>
      <c r="H29" s="967" t="s">
        <v>2026</v>
      </c>
    </row>
    <row customHeight="1" ht="36">
      <c r="A30" s="967" t="s">
        <v>2027</v>
      </c>
      <c r="B30" s="967"/>
      <c r="C30" s="11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7" t="s">
        <v>2028</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7"/>
      <c r="G30" s="1107"/>
      <c r="H30" s="1107"/>
    </row>
    <row customHeight="1" ht="54">
      <c r="A31" s="967" t="s">
        <v>2029</v>
      </c>
      <c r="B31" s="967"/>
      <c r="C31" s="11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7" t="s">
        <v>2030</v>
      </c>
      <c r="E31" s="97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7"/>
      <c r="G31" s="1107"/>
      <c r="H31" s="1107"/>
    </row>
    <row customHeight="1" ht="198">
      <c r="A32" s="967" t="s">
        <v>2031</v>
      </c>
      <c r="B32" s="967"/>
      <c r="C32" s="11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7" t="s">
        <v>2032</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7"/>
      <c r="G32" s="1107"/>
      <c r="H32" s="967" t="s">
        <v>2033</v>
      </c>
    </row>
    <row customHeight="1" ht="9">
      <c r="A33" s="967"/>
      <c r="B33" s="967"/>
      <c r="C33" s="1105"/>
      <c r="D33" s="967"/>
      <c r="E33" s="967"/>
      <c r="F33" s="1107"/>
      <c r="G33" s="1107"/>
      <c r="H33" s="1107"/>
    </row>
    <row customHeight="1" ht="9">
      <c r="A34" s="967"/>
      <c r="B34" s="967" t="s">
        <v>1533</v>
      </c>
      <c r="C34" s="1105">
        <f>INDEX(TEMPLATE_NAME_FORM_LIST,B34,MATCH(TEMPLATE_SPHERE,TEMPLATE_SPHERE_LIST,0))</f>
        <v>0</v>
      </c>
      <c r="D34" s="967"/>
      <c r="E34" s="967"/>
      <c r="F34" s="1107"/>
      <c r="G34" s="1107"/>
      <c r="H34" s="11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83A688-2F1A-6D27-EB5B-0.73E4AF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49" width="9.140625"/>
    <col min="3" max="7" style="8393" width="8.00390625" customWidth="1"/>
    <col min="8" max="12" style="8393" width="8.57421875" customWidth="1"/>
    <col min="13" max="14" style="8393" width="27.7109375" customWidth="1"/>
    <col min="15" max="19" style="8393" width="5.140625" customWidth="1"/>
    <col min="20" max="24" style="8393" width="27.7109375" customWidth="1"/>
    <col min="25" max="25" style="8394" width="1.8515625" customWidth="1"/>
    <col min="26" max="26" style="8349" width="27.7109375" customWidth="1"/>
    <col min="27" max="27" style="8395" width="27.7109375" customWidth="1"/>
    <col min="28" max="29" style="8349" width="27.7109375" customWidth="1"/>
    <col min="30" max="30" style="8349" width="3.8515625" customWidth="1"/>
    <col min="31" max="34" style="8349" width="9.140625"/>
  </cols>
  <sheetData>
    <row s="8351" customFormat="1" customHeight="1" ht="18">
      <c r="A1" s="1019"/>
      <c r="B1" s="1019"/>
      <c r="C1" s="1019" t="s">
        <v>2034</v>
      </c>
      <c r="D1" s="1019"/>
      <c r="E1" s="1019"/>
      <c r="F1" s="1019"/>
      <c r="G1" s="1019"/>
      <c r="H1" s="1019" t="s">
        <v>2035</v>
      </c>
      <c r="I1" s="1019"/>
      <c r="J1" s="1019"/>
      <c r="K1" s="1019"/>
      <c r="L1" s="1019"/>
      <c r="M1" s="1019" t="s">
        <v>2036</v>
      </c>
      <c r="N1" s="1019" t="s">
        <v>2037</v>
      </c>
      <c r="O1" s="2713" t="s">
        <v>2038</v>
      </c>
      <c r="P1" s="2713"/>
      <c r="Q1" s="2713"/>
      <c r="R1" s="2713"/>
      <c r="S1" s="2713"/>
      <c r="T1" s="2713" t="s">
        <v>2036</v>
      </c>
      <c r="U1" s="2713"/>
      <c r="V1" s="2713"/>
      <c r="W1" s="2713"/>
      <c r="X1" s="2713"/>
      <c r="Y1" s="1120"/>
      <c r="Z1" s="2713" t="s">
        <v>2039</v>
      </c>
      <c r="AA1" s="2713"/>
      <c r="AB1" s="2713"/>
      <c r="AC1" s="2713"/>
      <c r="AD1" s="2713"/>
    </row>
    <row customHeight="1" ht="18">
      <c r="A2" s="967"/>
      <c r="B2" s="967"/>
      <c r="C2" s="962" t="s">
        <v>829</v>
      </c>
      <c r="D2" s="962" t="s">
        <v>875</v>
      </c>
      <c r="E2" s="962" t="s">
        <v>928</v>
      </c>
      <c r="F2" s="962" t="s">
        <v>915</v>
      </c>
      <c r="G2" s="962" t="s">
        <v>1644</v>
      </c>
      <c r="H2" s="964"/>
      <c r="I2" s="964"/>
      <c r="J2" s="964"/>
      <c r="K2" s="964"/>
      <c r="L2" s="964"/>
      <c r="M2" s="964"/>
      <c r="N2" s="964"/>
      <c r="O2" s="962" t="s">
        <v>829</v>
      </c>
      <c r="P2" s="962" t="s">
        <v>875</v>
      </c>
      <c r="Q2" s="962" t="s">
        <v>915</v>
      </c>
      <c r="R2" s="962" t="s">
        <v>928</v>
      </c>
      <c r="S2" s="962" t="s">
        <v>1644</v>
      </c>
      <c r="T2" s="962" t="s">
        <v>829</v>
      </c>
      <c r="U2" s="962" t="s">
        <v>875</v>
      </c>
      <c r="V2" s="962" t="s">
        <v>915</v>
      </c>
      <c r="W2" s="962" t="s">
        <v>928</v>
      </c>
      <c r="X2" s="962" t="s">
        <v>1644</v>
      </c>
      <c r="Y2" s="962"/>
      <c r="Z2" s="962" t="s">
        <v>829</v>
      </c>
      <c r="AA2" s="971" t="s">
        <v>875</v>
      </c>
      <c r="AB2" s="962" t="s">
        <v>915</v>
      </c>
      <c r="AC2" s="962" t="s">
        <v>928</v>
      </c>
      <c r="AD2" s="962" t="s">
        <v>1644</v>
      </c>
    </row>
    <row customHeight="1" ht="162">
      <c r="A3" s="966" t="s">
        <v>26</v>
      </c>
      <c r="B3" s="966"/>
      <c r="C3" s="2717" t="s">
        <v>2040</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4"/>
      <c r="P3" s="964"/>
      <c r="Q3" s="964"/>
      <c r="R3" s="964"/>
      <c r="S3" s="964"/>
      <c r="T3" s="964"/>
      <c r="U3" s="964"/>
      <c r="V3" s="964"/>
      <c r="W3" s="964"/>
      <c r="X3" s="964"/>
      <c r="Y3" s="1121"/>
      <c r="Z3" s="967" t="s">
        <v>2041</v>
      </c>
      <c r="AA3" s="964" t="s">
        <v>2042</v>
      </c>
      <c r="AB3" s="967" t="s">
        <v>2043</v>
      </c>
      <c r="AC3" s="967" t="s">
        <v>2044</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1584</v>
      </c>
      <c r="D11" s="2720" t="s">
        <v>1580</v>
      </c>
      <c r="E11" s="2720" t="s">
        <v>105</v>
      </c>
      <c r="F11" s="2720" t="s">
        <v>2045</v>
      </c>
      <c r="G11" s="2720"/>
      <c r="H11" s="1019" t="s">
        <v>2046</v>
      </c>
      <c r="I11" s="1019"/>
      <c r="J11" s="1019"/>
      <c r="K11" s="1019"/>
      <c r="L11" s="1019"/>
      <c r="M11" s="965" t="str">
        <f>IF(TEMPLATE_SPHERE="HEAT",T11,U11)</f>
        <v>Количество поданных заявок</v>
      </c>
      <c r="N11" s="96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4"/>
      <c r="P11" s="964"/>
      <c r="Q11" s="964"/>
      <c r="R11" s="964"/>
      <c r="S11" s="964"/>
      <c r="T11" s="964" t="s">
        <v>2047</v>
      </c>
      <c r="U11" s="964" t="s">
        <v>2048</v>
      </c>
      <c r="V11" s="964"/>
      <c r="W11" s="964"/>
      <c r="X11" s="964"/>
      <c r="Y11" s="1121"/>
      <c r="Z11" s="967" t="s">
        <v>2049</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7"/>
      <c r="AC11" s="967"/>
      <c r="AD11" s="967"/>
    </row>
    <row customHeight="1" ht="45">
      <c r="A12" s="2714"/>
      <c r="B12" s="1020">
        <v>2</v>
      </c>
      <c r="C12" s="2721"/>
      <c r="D12" s="2721"/>
      <c r="E12" s="2721"/>
      <c r="F12" s="2721"/>
      <c r="G12" s="2721"/>
      <c r="H12" s="1019" t="s">
        <v>2050</v>
      </c>
      <c r="I12" s="1019"/>
      <c r="J12" s="1019"/>
      <c r="K12" s="1019"/>
      <c r="L12" s="1019"/>
      <c r="M12" s="965" t="str">
        <f>IF(TEMPLATE_SPHERE="HEAT",T12,U12)</f>
        <v>Количество рассмотренных заявок</v>
      </c>
      <c r="N12" s="96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4"/>
      <c r="P12" s="964"/>
      <c r="Q12" s="964"/>
      <c r="R12" s="964"/>
      <c r="S12" s="964"/>
      <c r="T12" s="964" t="s">
        <v>2051</v>
      </c>
      <c r="U12" s="964" t="s">
        <v>2052</v>
      </c>
      <c r="V12" s="964"/>
      <c r="W12" s="964"/>
      <c r="X12" s="964"/>
      <c r="Y12" s="1121"/>
      <c r="Z12" s="967" t="s">
        <v>2053</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7"/>
      <c r="AC12" s="967"/>
      <c r="AD12" s="967"/>
    </row>
    <row customHeight="1" ht="72">
      <c r="A13" s="2714"/>
      <c r="B13" s="1020">
        <v>3</v>
      </c>
      <c r="C13" s="2721"/>
      <c r="D13" s="2721"/>
      <c r="E13" s="2721"/>
      <c r="F13" s="2721"/>
      <c r="G13" s="2721"/>
      <c r="H13" s="2713" t="s">
        <v>2054</v>
      </c>
      <c r="I13" s="1019"/>
      <c r="J13" s="1019"/>
      <c r="K13" s="1019"/>
      <c r="L13" s="1019"/>
      <c r="M13" s="96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5" t="str">
        <f>IF(TEMPLATE_SPHERE="HEAT",Z13,AA13)</f>
        <v>Указывается количество заявок с решением об отказе в течение отчетного квартала.</v>
      </c>
      <c r="O13" s="964"/>
      <c r="P13" s="965"/>
      <c r="Q13" s="965"/>
      <c r="R13" s="965"/>
      <c r="S13" s="964"/>
      <c r="T13" s="964" t="s">
        <v>2055</v>
      </c>
      <c r="U13" s="965" t="s">
        <v>2056</v>
      </c>
      <c r="V13" s="965"/>
      <c r="W13" s="965"/>
      <c r="X13" s="964"/>
      <c r="Y13" s="1121"/>
      <c r="Z13" s="967" t="s">
        <v>2057</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системе теплоснабжения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2058</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5"/>
      <c r="W14" s="965"/>
      <c r="X14" s="964"/>
      <c r="Y14" s="1121"/>
      <c r="Z14" s="967" t="s">
        <v>2059</v>
      </c>
      <c r="AA14" s="970" t="s">
        <v>2059</v>
      </c>
      <c r="AB14" s="967"/>
      <c r="AC14" s="967"/>
      <c r="AD14" s="967"/>
    </row>
    <row customHeight="1" ht="108">
      <c r="A15" s="2714"/>
      <c r="B15" s="1020">
        <v>5</v>
      </c>
      <c r="C15" s="2721"/>
      <c r="D15" s="2721"/>
      <c r="E15" s="2721"/>
      <c r="F15" s="2721"/>
      <c r="G15" s="2721"/>
      <c r="H15" s="2715" t="s">
        <v>2060</v>
      </c>
      <c r="I15" s="1021"/>
      <c r="J15" s="1021"/>
      <c r="K15" s="1021"/>
      <c r="L15" s="1021"/>
      <c r="M15" s="970" t="str">
        <f>IF(TEMPLATE_SPHERE="HEAT",T15,U15)</f>
        <v>Резерв мощности источников тепловой энергии, входящих в систему теплоснабжения, в течение одного квартала, в том числе:</v>
      </c>
      <c r="N15" s="96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4"/>
      <c r="P15" s="965"/>
      <c r="Q15" s="965"/>
      <c r="R15" s="965"/>
      <c r="S15" s="964"/>
      <c r="T15" s="964" t="s">
        <v>2061</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5"/>
      <c r="W15" s="965"/>
      <c r="X15" s="964"/>
      <c r="Y15" s="1121"/>
      <c r="Z15" s="967" t="s">
        <v>2062</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4"/>
      <c r="P16" s="965"/>
      <c r="Q16" s="965"/>
      <c r="R16" s="965"/>
      <c r="S16" s="964"/>
      <c r="T16" s="964"/>
      <c r="U16" s="965"/>
      <c r="V16" s="965"/>
      <c r="W16" s="965"/>
      <c r="X16" s="964"/>
      <c r="Y16" s="1121"/>
      <c r="Z16" s="967" t="s">
        <v>2062</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1679</v>
      </c>
      <c r="B18" s="1020">
        <v>1</v>
      </c>
      <c r="C18" s="964" t="s">
        <v>2046</v>
      </c>
      <c r="D18" s="1088" t="s">
        <v>2046</v>
      </c>
      <c r="E18" s="964" t="s">
        <v>2046</v>
      </c>
      <c r="F18" s="964" t="s">
        <v>2046</v>
      </c>
      <c r="G18" s="964"/>
      <c r="H18" s="1123"/>
      <c r="I18" s="1126">
        <f>INDEX(TEMPLATE_NUMBER_POINT_FHD,B18,MATCH(TEMPLATE_SPHERE,TEMPLATE_SPHERE_LIST_FOR_NOTE,0))</f>
        <v>1</v>
      </c>
      <c r="J18" s="1126" t="str">
        <f>INDEX(TEMPLATE_DATA_POINT_FHD,B18,MATCH(TEMPLATE_SPHERE,TEMPLATE_SPHERE_LIST_FOR_NOTE,0))</f>
        <v>Выручка от регулируемого вида деятельности с распределением по видам деятельности</v>
      </c>
      <c r="K18" s="11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5">
        <f>IF(I18=0,"",I18)</f>
        <v>1</v>
      </c>
      <c r="M18" s="965" t="str">
        <f>IF(J18=0,"",J18)</f>
        <v>Выручка от регулируемого вида деятельности с распределением по видам деятельности</v>
      </c>
      <c r="N18" s="965" t="str">
        <f>IF(K18=0,"",K18)</f>
        <v>Указывается выручка от регулируемого вида деятельности с распределением по видам деятельности.</v>
      </c>
      <c r="O18" s="1078">
        <v>1</v>
      </c>
      <c r="P18" s="1078">
        <v>1</v>
      </c>
      <c r="Q18" s="1078">
        <v>1</v>
      </c>
      <c r="R18" s="1078">
        <v>1</v>
      </c>
      <c r="S18" s="1078"/>
      <c r="T18" s="1085" t="s">
        <v>2063</v>
      </c>
      <c r="U18" s="967" t="s">
        <v>2064</v>
      </c>
      <c r="V18" s="967" t="s">
        <v>2065</v>
      </c>
      <c r="W18" s="967" t="s">
        <v>2066</v>
      </c>
      <c r="X18" s="964"/>
      <c r="Y18" s="1121"/>
      <c r="Z18" s="967" t="s">
        <v>2067</v>
      </c>
      <c r="AA18" s="970" t="s">
        <v>2068</v>
      </c>
      <c r="AB18" s="970" t="s">
        <v>2068</v>
      </c>
      <c r="AC18" s="970" t="s">
        <v>2068</v>
      </c>
      <c r="AD18" s="967"/>
    </row>
    <row customHeight="1" ht="36">
      <c r="A19" s="966"/>
      <c r="B19" s="1020">
        <v>2</v>
      </c>
      <c r="C19" s="964" t="s">
        <v>2050</v>
      </c>
      <c r="D19" s="1088" t="s">
        <v>2050</v>
      </c>
      <c r="E19" s="964" t="s">
        <v>2050</v>
      </c>
      <c r="F19" s="964" t="s">
        <v>2050</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регулируемому виду деятельности, включая:</v>
      </c>
      <c r="N19" s="965" t="str">
        <f>IF(K19=0,"",K19)</f>
        <v>Указывается суммарная себестоимость производимых товаров.</v>
      </c>
      <c r="O19" s="1078">
        <v>2</v>
      </c>
      <c r="P19" s="1078">
        <v>2</v>
      </c>
      <c r="Q19" s="1078">
        <v>2</v>
      </c>
      <c r="R19" s="1078">
        <v>2</v>
      </c>
      <c r="S19" s="1078"/>
      <c r="T19" s="1085" t="s">
        <v>2069</v>
      </c>
      <c r="U19" s="967" t="s">
        <v>2070</v>
      </c>
      <c r="V19" s="967" t="s">
        <v>2071</v>
      </c>
      <c r="W19" s="967" t="s">
        <v>2072</v>
      </c>
      <c r="X19" s="964"/>
      <c r="Y19" s="1121"/>
      <c r="Z19" s="967" t="s">
        <v>2073</v>
      </c>
      <c r="AA19" s="970" t="s">
        <v>2073</v>
      </c>
      <c r="AB19" s="970" t="s">
        <v>2073</v>
      </c>
      <c r="AC19" s="970" t="s">
        <v>2073</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теплоноситель</v>
      </c>
      <c r="K20" s="1126">
        <f>INDEX(TEMPLATE_NOTE_POINT_FHD,B20,MATCH(TEMPLATE_SPHERE,TEMPLATE_SPHERE_LIST_FOR_NOTE,0))</f>
        <v>0</v>
      </c>
      <c r="L20" s="965" t="str">
        <f>IF(I20=0,"",I20)</f>
        <v>2.1</v>
      </c>
      <c r="M20" s="965" t="str">
        <f>IF(J20=0,"",J20)</f>
        <v>Расходы на приобретаемую тепловую энергию (мощность), теплоноситель</v>
      </c>
      <c r="N20" s="965" t="str">
        <f>IF(K20=0,"",K20)</f>
        <v/>
      </c>
      <c r="O20" s="1078" t="s">
        <v>730</v>
      </c>
      <c r="P20" s="1078" t="s">
        <v>730</v>
      </c>
      <c r="Q20" s="1078" t="s">
        <v>730</v>
      </c>
      <c r="R20" s="1078" t="s">
        <v>730</v>
      </c>
      <c r="S20" s="1078"/>
      <c r="T20" s="1085" t="s">
        <v>2074</v>
      </c>
      <c r="U20" s="967" t="s">
        <v>2075</v>
      </c>
      <c r="V20" s="967" t="s">
        <v>2076</v>
      </c>
      <c r="W20" s="967" t="s">
        <v>2077</v>
      </c>
      <c r="X20" s="964"/>
      <c r="Y20" s="1121"/>
      <c r="Z20" s="967"/>
      <c r="AA20" s="970"/>
      <c r="AB20" s="967"/>
      <c r="AC20" s="967"/>
      <c r="AD20" s="967"/>
    </row>
    <row customHeight="1" ht="36">
      <c r="A21" s="966"/>
      <c r="B21" s="1020">
        <v>4</v>
      </c>
      <c r="C21" s="964">
        <v>2</v>
      </c>
      <c r="D21" s="1088"/>
      <c r="E21" s="964"/>
      <c r="F21" s="964"/>
      <c r="G21" s="964"/>
      <c r="H21" s="1123"/>
      <c r="I21" s="1126" t="str">
        <f>INDEX(TEMPLATE_NUMBER_POINT_FHD,B21,MATCH(TEMPLATE_SPHERE,TEMPLATE_SPHERE_LIST_FOR_NOTE,0))</f>
        <v>2.2</v>
      </c>
      <c r="J21" s="11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6" t="str">
        <f>INDEX(TEMPLATE_NOTE_POINT_FHD,B21,MATCH(TEMPLATE_SPHERE,TEMPLATE_SPHERE_LIST_FOR_NOTE,0))</f>
        <v>Указываются суммарные расходы на приобретение топлива всех видов.</v>
      </c>
      <c r="L21" s="965" t="str">
        <f>IF(I21=0,"",I21)</f>
        <v>2.2</v>
      </c>
      <c r="M21" s="96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5" t="str">
        <f>IF(K21=0,"",K21)</f>
        <v>Указываются суммарные расходы на приобретение топлива всех видов.</v>
      </c>
      <c r="O21" s="1078" t="s">
        <v>331</v>
      </c>
      <c r="P21" s="1078"/>
      <c r="Q21" s="1078"/>
      <c r="R21" s="1078"/>
      <c r="S21" s="1078"/>
      <c r="T21" s="1085" t="s">
        <v>2078</v>
      </c>
      <c r="U21" s="967"/>
      <c r="V21" s="967"/>
      <c r="W21" s="967"/>
      <c r="X21" s="964"/>
      <c r="Y21" s="1121"/>
      <c r="Z21" s="967" t="s">
        <v>2079</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331</v>
      </c>
      <c r="R22" s="1078"/>
      <c r="S22" s="1078"/>
      <c r="T22" s="1085"/>
      <c r="U22" s="967"/>
      <c r="V22" s="967" t="s">
        <v>2080</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334</v>
      </c>
      <c r="R23" s="1078"/>
      <c r="S23" s="1078"/>
      <c r="T23" s="1085"/>
      <c r="U23" s="967"/>
      <c r="V23" s="967" t="s">
        <v>2081</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750</v>
      </c>
      <c r="R24" s="1078"/>
      <c r="S24" s="1078"/>
      <c r="T24" s="1085"/>
      <c r="U24" s="967"/>
      <c r="V24" s="967" t="s">
        <v>2082</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2.3</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2.3</v>
      </c>
      <c r="M25" s="965" t="str">
        <f>IF(J25=0,"",J25)</f>
        <v>Расходы на приобретаемую электрическую энергию (мощность), используемую в технологическом процессе</v>
      </c>
      <c r="N25" s="965" t="str">
        <f>IF(K25=0,"",K25)</f>
        <v/>
      </c>
      <c r="O25" s="1078" t="s">
        <v>334</v>
      </c>
      <c r="P25" s="1078" t="s">
        <v>331</v>
      </c>
      <c r="Q25" s="1078" t="s">
        <v>757</v>
      </c>
      <c r="R25" s="1078" t="s">
        <v>331</v>
      </c>
      <c r="S25" s="1078"/>
      <c r="T25" s="1085" t="s">
        <v>2083</v>
      </c>
      <c r="U25" s="967" t="s">
        <v>2083</v>
      </c>
      <c r="V25" s="967" t="s">
        <v>2083</v>
      </c>
      <c r="W25" s="967" t="s">
        <v>2083</v>
      </c>
      <c r="X25" s="964"/>
      <c r="Y25" s="1121"/>
      <c r="Z25" s="967"/>
      <c r="AA25" s="970"/>
      <c r="AB25" s="967"/>
      <c r="AC25" s="967"/>
      <c r="AD25" s="967"/>
    </row>
    <row customHeight="1" ht="18">
      <c r="A26" s="966"/>
      <c r="B26" s="1020">
        <v>9</v>
      </c>
      <c r="C26" s="964" t="s">
        <v>674</v>
      </c>
      <c r="D26" s="1088"/>
      <c r="E26" s="964"/>
      <c r="F26" s="964"/>
      <c r="G26" s="1012"/>
      <c r="H26" s="1079"/>
      <c r="I26" s="1126" t="str">
        <f>INDEX(TEMPLATE_NUMBER_POINT_FHD,B26,MATCH(TEMPLATE_SPHERE,TEMPLATE_SPHERE_LIST_FOR_NOTE,0))</f>
        <v>2.3.1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2.3.1</v>
      </c>
      <c r="M26" s="965" t="str">
        <f>IF(J26=0,"",J26)</f>
        <v>Средневзвешенная стоимость 1 кВт.ч (с учетом мощности)</v>
      </c>
      <c r="N26" s="965" t="str">
        <f>IF(K26=0,"",K26)</f>
        <v/>
      </c>
      <c r="O26" s="1078" t="s">
        <v>746</v>
      </c>
      <c r="P26" s="1078" t="s">
        <v>740</v>
      </c>
      <c r="Q26" s="1078" t="s">
        <v>2084</v>
      </c>
      <c r="R26" s="1078" t="s">
        <v>740</v>
      </c>
      <c r="S26" s="1078"/>
      <c r="T26" s="10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5" t="s">
        <v>2085</v>
      </c>
      <c r="V26" s="1085" t="s">
        <v>2085</v>
      </c>
      <c r="W26" s="1085" t="s">
        <v>2085</v>
      </c>
      <c r="X26" s="964"/>
      <c r="Y26" s="1121"/>
      <c r="Z26" s="967"/>
      <c r="AA26" s="970"/>
      <c r="AB26" s="967"/>
      <c r="AC26" s="967"/>
      <c r="AD26" s="967"/>
    </row>
    <row customHeight="1" ht="18">
      <c r="A27" s="966"/>
      <c r="B27" s="1020">
        <v>10</v>
      </c>
      <c r="C27" s="964" t="s">
        <v>678</v>
      </c>
      <c r="D27" s="1088"/>
      <c r="E27" s="964"/>
      <c r="F27" s="964"/>
      <c r="G27" s="1012"/>
      <c r="H27" s="1079"/>
      <c r="I27" s="1126" t="str">
        <f>INDEX(TEMPLATE_NUMBER_POINT_FHD,B27,MATCH(TEMPLATE_SPHERE,TEMPLATE_SPHERE_LIST_FOR_NOTE,0))</f>
        <v>2.3.2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2.3.2</v>
      </c>
      <c r="M27" s="965" t="str">
        <f>IF(J27=0,"",J27)</f>
        <v>Объём приобретения электрической энергии</v>
      </c>
      <c r="N27" s="965" t="str">
        <f>IF(K27=0,"",K27)</f>
        <v/>
      </c>
      <c r="O27" s="1078" t="s">
        <v>748</v>
      </c>
      <c r="P27" s="1078" t="s">
        <v>742</v>
      </c>
      <c r="Q27" s="1078" t="s">
        <v>2086</v>
      </c>
      <c r="R27" s="1078" t="s">
        <v>742</v>
      </c>
      <c r="S27" s="1078"/>
      <c r="T27" s="1085" t="s">
        <v>2087</v>
      </c>
      <c r="U27" s="1085" t="s">
        <v>2087</v>
      </c>
      <c r="V27" s="1085" t="s">
        <v>2087</v>
      </c>
      <c r="W27" s="1085" t="s">
        <v>2087</v>
      </c>
      <c r="X27" s="964"/>
      <c r="Y27" s="1121"/>
      <c r="Z27" s="967"/>
      <c r="AA27" s="970"/>
      <c r="AB27" s="967"/>
      <c r="AC27" s="967"/>
      <c r="AD27" s="967"/>
    </row>
    <row customHeight="1" ht="27">
      <c r="A28" s="966"/>
      <c r="B28" s="1020">
        <v>11</v>
      </c>
      <c r="C28" s="964">
        <v>7</v>
      </c>
      <c r="D28" s="1088"/>
      <c r="E28" s="964"/>
      <c r="F28" s="964"/>
      <c r="G28" s="1012"/>
      <c r="H28" s="1079"/>
      <c r="I28" s="1126" t="str">
        <f>INDEX(TEMPLATE_NUMBER_POINT_FHD,B28,MATCH(TEMPLATE_SPHERE,TEMPLATE_SPHERE_LIST_FOR_NOTE,0))</f>
        <v>2.4</v>
      </c>
      <c r="J28" s="1126" t="str">
        <f>INDEX(TEMPLATE_DATA_POINT_FHD,B28,MATCH(TEMPLATE_SPHERE,TEMPLATE_SPHERE_LIST_FOR_NOTE,0))</f>
        <v>Расходы на приобретение холодной воды, используемой в технологическом процессе</v>
      </c>
      <c r="K28" s="1126">
        <f>INDEX(TEMPLATE_NOTE_POINT_FHD,B28,MATCH(TEMPLATE_SPHERE,TEMPLATE_SPHERE_LIST_FOR_NOTE,0))</f>
        <v>0</v>
      </c>
      <c r="L28" s="965" t="str">
        <f>IF(I28=0,"",I28)</f>
        <v>2.4</v>
      </c>
      <c r="M28" s="965" t="str">
        <f>IF(J28=0,"",J28)</f>
        <v>Расходы на приобретение холодной воды, используемой в технологическом процессе</v>
      </c>
      <c r="N28" s="965" t="str">
        <f>IF(K28=0,"",K28)</f>
        <v/>
      </c>
      <c r="O28" s="1078" t="s">
        <v>750</v>
      </c>
      <c r="P28" s="1078"/>
      <c r="Q28" s="1078"/>
      <c r="R28" s="1078"/>
      <c r="S28" s="1078"/>
      <c r="T28" s="1085" t="s">
        <v>2088</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2.5</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2.5</v>
      </c>
      <c r="M29" s="965" t="str">
        <f>IF(J29=0,"",J29)</f>
        <v>Расходы на  химические реагенты, используемые в технологическом процессе</v>
      </c>
      <c r="N29" s="965" t="str">
        <f>IF(K29=0,"",K29)</f>
        <v/>
      </c>
      <c r="O29" s="1078" t="s">
        <v>757</v>
      </c>
      <c r="P29" s="1078" t="s">
        <v>334</v>
      </c>
      <c r="Q29" s="1078"/>
      <c r="R29" s="1078" t="s">
        <v>334</v>
      </c>
      <c r="S29" s="1078"/>
      <c r="T29" s="10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7" t="s">
        <v>2089</v>
      </c>
      <c r="V29" s="967"/>
      <c r="W29" s="967" t="s">
        <v>2089</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f>INDEX(TEMPLATE_NOTE_POINT_FHD,B30,MATCH(TEMPLATE_SPHERE,TEMPLATE_SPHERE_LIST_FOR_NOTE,0))</f>
        <v>0</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
      </c>
      <c r="O30" s="1078" t="s">
        <v>759</v>
      </c>
      <c r="P30" s="1078" t="s">
        <v>750</v>
      </c>
      <c r="Q30" s="1078" t="s">
        <v>759</v>
      </c>
      <c r="R30" s="1078" t="s">
        <v>750</v>
      </c>
      <c r="S30" s="1078"/>
      <c r="T30" s="1085" t="s">
        <v>2090</v>
      </c>
      <c r="U30" s="967" t="s">
        <v>2090</v>
      </c>
      <c r="V30" s="967" t="s">
        <v>2090</v>
      </c>
      <c r="W30" s="967" t="s">
        <v>2090</v>
      </c>
      <c r="X30" s="964"/>
      <c r="Y30" s="1121"/>
      <c r="Z30" s="967"/>
      <c r="AA30" s="970" t="s">
        <v>2091</v>
      </c>
      <c r="AB30" s="970" t="s">
        <v>2091</v>
      </c>
      <c r="AC30" s="970" t="s">
        <v>2091</v>
      </c>
      <c r="AD30" s="967"/>
    </row>
    <row customHeight="1" ht="18">
      <c r="A31" s="966"/>
      <c r="B31" s="1020">
        <v>14</v>
      </c>
      <c r="C31" s="964" t="s">
        <v>2092</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2093</v>
      </c>
      <c r="P31" s="1078" t="s">
        <v>753</v>
      </c>
      <c r="Q31" s="1078" t="s">
        <v>2093</v>
      </c>
      <c r="R31" s="1078" t="s">
        <v>753</v>
      </c>
      <c r="S31" s="1078"/>
      <c r="T31" s="1086" t="s">
        <v>2094</v>
      </c>
      <c r="U31" s="967" t="s">
        <v>2094</v>
      </c>
      <c r="V31" s="967" t="s">
        <v>2094</v>
      </c>
      <c r="W31" s="967" t="s">
        <v>2094</v>
      </c>
      <c r="X31" s="964"/>
      <c r="Y31" s="1121"/>
      <c r="Z31" s="967"/>
      <c r="AA31" s="970"/>
      <c r="AB31" s="970"/>
      <c r="AC31" s="970"/>
      <c r="AD31" s="967"/>
    </row>
    <row customHeight="1" ht="36">
      <c r="A32" s="966"/>
      <c r="B32" s="1020">
        <v>15</v>
      </c>
      <c r="C32" s="964" t="s">
        <v>2095</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2096</v>
      </c>
      <c r="P32" s="1078" t="s">
        <v>755</v>
      </c>
      <c r="Q32" s="1078" t="s">
        <v>2096</v>
      </c>
      <c r="R32" s="1078" t="s">
        <v>755</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7" t="s">
        <v>2097</v>
      </c>
      <c r="V32" s="967" t="s">
        <v>2097</v>
      </c>
      <c r="W32" s="967" t="s">
        <v>2097</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f>INDEX(TEMPLATE_NOTE_POINT_FHD,B33,MATCH(TEMPLATE_SPHERE,TEMPLATE_SPHERE_LIST_FOR_NOTE,0))</f>
        <v>0</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
      </c>
      <c r="O33" s="1078" t="s">
        <v>761</v>
      </c>
      <c r="P33" s="1078" t="s">
        <v>757</v>
      </c>
      <c r="Q33" s="1078" t="s">
        <v>761</v>
      </c>
      <c r="R33" s="1078" t="s">
        <v>757</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7" t="s">
        <v>2098</v>
      </c>
      <c r="V33" s="967" t="s">
        <v>2098</v>
      </c>
      <c r="W33" s="967" t="s">
        <v>2099</v>
      </c>
      <c r="X33" s="964"/>
      <c r="Y33" s="1121"/>
      <c r="Z33" s="967"/>
      <c r="AA33" s="970" t="s">
        <v>2100</v>
      </c>
      <c r="AB33" s="970" t="s">
        <v>2100</v>
      </c>
      <c r="AC33" s="970" t="s">
        <v>2100</v>
      </c>
      <c r="AD33" s="967"/>
    </row>
    <row customHeight="1" ht="27">
      <c r="A34" s="966"/>
      <c r="B34" s="1020">
        <v>17</v>
      </c>
      <c r="C34" s="964" t="s">
        <v>2101</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2102</v>
      </c>
      <c r="P34" s="1078" t="s">
        <v>2084</v>
      </c>
      <c r="Q34" s="1078" t="s">
        <v>2102</v>
      </c>
      <c r="R34" s="1078" t="s">
        <v>2084</v>
      </c>
      <c r="S34" s="1078"/>
      <c r="T34" s="1087" t="s">
        <v>2103</v>
      </c>
      <c r="U34" s="967" t="s">
        <v>2103</v>
      </c>
      <c r="V34" s="967" t="s">
        <v>2103</v>
      </c>
      <c r="W34" s="967" t="s">
        <v>2104</v>
      </c>
      <c r="X34" s="964"/>
      <c r="Y34" s="1121"/>
      <c r="Z34" s="967"/>
      <c r="AA34" s="970"/>
      <c r="AB34" s="967"/>
      <c r="AC34" s="967"/>
      <c r="AD34" s="967"/>
    </row>
    <row customHeight="1" ht="45">
      <c r="A35" s="966"/>
      <c r="B35" s="1020">
        <v>18</v>
      </c>
      <c r="C35" s="964" t="s">
        <v>2105</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2106</v>
      </c>
      <c r="P35" s="1078" t="s">
        <v>2086</v>
      </c>
      <c r="Q35" s="1078" t="s">
        <v>2106</v>
      </c>
      <c r="R35" s="1078" t="s">
        <v>2086</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7" t="s">
        <v>2107</v>
      </c>
      <c r="V35" s="967" t="s">
        <v>2107</v>
      </c>
      <c r="W35" s="967" t="s">
        <v>2107</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763</v>
      </c>
      <c r="P36" s="1078" t="s">
        <v>759</v>
      </c>
      <c r="Q36" s="1078" t="s">
        <v>763</v>
      </c>
      <c r="R36" s="1078" t="s">
        <v>759</v>
      </c>
      <c r="S36" s="1078"/>
      <c r="T36" s="1085" t="s">
        <v>2108</v>
      </c>
      <c r="U36" s="967" t="s">
        <v>2108</v>
      </c>
      <c r="V36" s="967" t="s">
        <v>2108</v>
      </c>
      <c r="W36" s="967" t="s">
        <v>2108</v>
      </c>
      <c r="X36" s="964"/>
      <c r="Y36" s="1121"/>
      <c r="Z36" s="967"/>
      <c r="AA36" s="970"/>
      <c r="AB36" s="967"/>
      <c r="AC36" s="967"/>
      <c r="AD36" s="967"/>
    </row>
    <row customHeight="1" ht="18">
      <c r="A37" s="966"/>
      <c r="B37" s="1020">
        <v>20</v>
      </c>
      <c r="C37" s="964" t="s">
        <v>2109</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2110</v>
      </c>
      <c r="P37" s="1078" t="s">
        <v>2093</v>
      </c>
      <c r="Q37" s="1078" t="s">
        <v>2110</v>
      </c>
      <c r="R37" s="1078" t="s">
        <v>2093</v>
      </c>
      <c r="S37" s="1078"/>
      <c r="T37" s="1085" t="s">
        <v>2111</v>
      </c>
      <c r="U37" s="967" t="s">
        <v>2111</v>
      </c>
      <c r="V37" s="967" t="s">
        <v>2111</v>
      </c>
      <c r="W37" s="967" t="s">
        <v>2111</v>
      </c>
      <c r="X37" s="964"/>
      <c r="Y37" s="1121"/>
      <c r="Z37" s="967"/>
      <c r="AA37" s="970"/>
      <c r="AB37" s="967"/>
      <c r="AC37" s="967"/>
      <c r="AD37" s="967"/>
    </row>
    <row customHeight="1" ht="18">
      <c r="A38" s="966"/>
      <c r="B38" s="1020">
        <v>21</v>
      </c>
      <c r="C38" s="964" t="s">
        <v>2112</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2113</v>
      </c>
      <c r="P38" s="1078" t="s">
        <v>2096</v>
      </c>
      <c r="Q38" s="1078" t="s">
        <v>2113</v>
      </c>
      <c r="R38" s="1078" t="s">
        <v>2096</v>
      </c>
      <c r="S38" s="1078"/>
      <c r="T38" s="1085" t="s">
        <v>2114</v>
      </c>
      <c r="U38" s="967" t="s">
        <v>2114</v>
      </c>
      <c r="V38" s="967" t="s">
        <v>2114</v>
      </c>
      <c r="W38" s="967" t="s">
        <v>2114</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регулируемого вида деятельности</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регулируемого вида деятельности</v>
      </c>
      <c r="N39" s="965" t="str">
        <f>IF(K39=0,"",K39)</f>
        <v/>
      </c>
      <c r="O39" s="1078" t="s">
        <v>767</v>
      </c>
      <c r="P39" s="1078" t="s">
        <v>761</v>
      </c>
      <c r="Q39" s="1078" t="s">
        <v>767</v>
      </c>
      <c r="R39" s="1078" t="s">
        <v>761</v>
      </c>
      <c r="S39" s="1078"/>
      <c r="T39" s="1085" t="s">
        <v>2115</v>
      </c>
      <c r="U39" s="967" t="s">
        <v>2116</v>
      </c>
      <c r="V39" s="967" t="s">
        <v>2117</v>
      </c>
      <c r="W39" s="967" t="s">
        <v>2118</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2119</v>
      </c>
      <c r="P40" s="1078" t="s">
        <v>763</v>
      </c>
      <c r="Q40" s="1078" t="s">
        <v>2119</v>
      </c>
      <c r="R40" s="1078" t="s">
        <v>763</v>
      </c>
      <c r="S40" s="1078"/>
      <c r="T40" s="964" t="s">
        <v>2120</v>
      </c>
      <c r="U40" s="964" t="s">
        <v>2120</v>
      </c>
      <c r="V40" s="964" t="s">
        <v>2120</v>
      </c>
      <c r="W40" s="964" t="s">
        <v>2120</v>
      </c>
      <c r="X40" s="964"/>
      <c r="Y40" s="1121"/>
      <c r="Z40" s="967" t="s">
        <v>2121</v>
      </c>
      <c r="AA40" s="970" t="s">
        <v>2121</v>
      </c>
      <c r="AB40" s="970" t="s">
        <v>2121</v>
      </c>
      <c r="AC40" s="970" t="s">
        <v>2121</v>
      </c>
      <c r="AD40" s="967"/>
    </row>
    <row customHeight="1" ht="27">
      <c r="A41" s="966"/>
      <c r="B41" s="1020">
        <v>24</v>
      </c>
      <c r="C41" s="964" t="s">
        <v>2122</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2123</v>
      </c>
      <c r="P41" s="1078" t="s">
        <v>2110</v>
      </c>
      <c r="Q41" s="1078" t="s">
        <v>2123</v>
      </c>
      <c r="R41" s="1078" t="s">
        <v>2110</v>
      </c>
      <c r="S41" s="1078"/>
      <c r="T41" s="964" t="s">
        <v>2124</v>
      </c>
      <c r="U41" s="964" t="s">
        <v>2124</v>
      </c>
      <c r="V41" s="964" t="s">
        <v>2124</v>
      </c>
      <c r="W41" s="964" t="s">
        <v>2124</v>
      </c>
      <c r="X41" s="964"/>
      <c r="Y41" s="1121"/>
      <c r="Z41" s="967" t="s">
        <v>2125</v>
      </c>
      <c r="AA41" s="967" t="s">
        <v>2125</v>
      </c>
      <c r="AB41" s="967" t="s">
        <v>2125</v>
      </c>
      <c r="AC41" s="967" t="s">
        <v>2125</v>
      </c>
      <c r="AD41" s="967"/>
    </row>
    <row customHeight="1" ht="27">
      <c r="A42" s="966"/>
      <c r="B42" s="1020">
        <v>25</v>
      </c>
      <c r="C42" s="964" t="s">
        <v>2126</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2127</v>
      </c>
      <c r="P42" s="1078" t="s">
        <v>2113</v>
      </c>
      <c r="Q42" s="1078" t="s">
        <v>2127</v>
      </c>
      <c r="R42" s="1078" t="s">
        <v>2113</v>
      </c>
      <c r="S42" s="1078"/>
      <c r="T42" s="964" t="s">
        <v>2128</v>
      </c>
      <c r="U42" s="964" t="s">
        <v>2128</v>
      </c>
      <c r="V42" s="964" t="s">
        <v>2128</v>
      </c>
      <c r="W42" s="964" t="s">
        <v>2128</v>
      </c>
      <c r="X42" s="964"/>
      <c r="Y42" s="1121"/>
      <c r="Z42" s="967" t="s">
        <v>2129</v>
      </c>
      <c r="AA42" s="967" t="s">
        <v>2129</v>
      </c>
      <c r="AB42" s="967" t="s">
        <v>2129</v>
      </c>
      <c r="AC42" s="967" t="s">
        <v>2129</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2130</v>
      </c>
      <c r="P43" s="1078" t="s">
        <v>767</v>
      </c>
      <c r="Q43" s="1078" t="s">
        <v>2130</v>
      </c>
      <c r="R43" s="1078" t="s">
        <v>767</v>
      </c>
      <c r="S43" s="1078"/>
      <c r="T43" s="964" t="s">
        <v>2131</v>
      </c>
      <c r="U43" s="964" t="s">
        <v>2131</v>
      </c>
      <c r="V43" s="964" t="s">
        <v>2131</v>
      </c>
      <c r="W43" s="964" t="s">
        <v>2131</v>
      </c>
      <c r="X43" s="964"/>
      <c r="Y43" s="1121"/>
      <c r="Z43" s="967" t="s">
        <v>2132</v>
      </c>
      <c r="AA43" s="967" t="s">
        <v>2132</v>
      </c>
      <c r="AB43" s="967" t="s">
        <v>2132</v>
      </c>
      <c r="AC43" s="967" t="s">
        <v>2132</v>
      </c>
      <c r="AD43" s="967"/>
    </row>
    <row customHeight="1" ht="27">
      <c r="A44" s="966"/>
      <c r="B44" s="1020">
        <v>27</v>
      </c>
      <c r="C44" s="964" t="s">
        <v>2133</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2134</v>
      </c>
      <c r="P44" s="1078" t="s">
        <v>2135</v>
      </c>
      <c r="Q44" s="1078" t="s">
        <v>2134</v>
      </c>
      <c r="R44" s="1078" t="s">
        <v>2135</v>
      </c>
      <c r="S44" s="1078"/>
      <c r="T44" s="964" t="s">
        <v>2124</v>
      </c>
      <c r="U44" s="964" t="s">
        <v>2124</v>
      </c>
      <c r="V44" s="964" t="s">
        <v>2124</v>
      </c>
      <c r="W44" s="964" t="s">
        <v>2124</v>
      </c>
      <c r="X44" s="964"/>
      <c r="Y44" s="1121"/>
      <c r="Z44" s="967" t="s">
        <v>2136</v>
      </c>
      <c r="AA44" s="967" t="s">
        <v>2136</v>
      </c>
      <c r="AB44" s="967" t="s">
        <v>2136</v>
      </c>
      <c r="AC44" s="967" t="s">
        <v>2136</v>
      </c>
      <c r="AD44" s="967"/>
    </row>
    <row customHeight="1" ht="27">
      <c r="A45" s="966"/>
      <c r="B45" s="1020">
        <v>28</v>
      </c>
      <c r="C45" s="964" t="s">
        <v>2137</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2138</v>
      </c>
      <c r="P45" s="1078" t="s">
        <v>2139</v>
      </c>
      <c r="Q45" s="1078" t="s">
        <v>2138</v>
      </c>
      <c r="R45" s="1078" t="s">
        <v>2139</v>
      </c>
      <c r="S45" s="1078"/>
      <c r="T45" s="964" t="s">
        <v>2128</v>
      </c>
      <c r="U45" s="964" t="s">
        <v>2128</v>
      </c>
      <c r="V45" s="964" t="s">
        <v>2128</v>
      </c>
      <c r="W45" s="964" t="s">
        <v>2128</v>
      </c>
      <c r="X45" s="964"/>
      <c r="Y45" s="1121"/>
      <c r="Z45" s="967" t="s">
        <v>2140</v>
      </c>
      <c r="AA45" s="967" t="s">
        <v>2140</v>
      </c>
      <c r="AB45" s="967" t="s">
        <v>2140</v>
      </c>
      <c r="AC45" s="967" t="s">
        <v>2140</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2141</v>
      </c>
      <c r="P46" s="1078" t="s">
        <v>2119</v>
      </c>
      <c r="Q46" s="1078" t="s">
        <v>2141</v>
      </c>
      <c r="R46" s="1078" t="s">
        <v>2119</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4" t="s">
        <v>2142</v>
      </c>
      <c r="V46" s="964" t="s">
        <v>2142</v>
      </c>
      <c r="W46" s="964" t="s">
        <v>2142</v>
      </c>
      <c r="X46" s="964"/>
      <c r="Y46" s="1121"/>
      <c r="Z46" s="967" t="s">
        <v>2143</v>
      </c>
      <c r="AA46" s="967" t="s">
        <v>2144</v>
      </c>
      <c r="AB46" s="967" t="s">
        <v>2144</v>
      </c>
      <c r="AC46" s="967" t="s">
        <v>2144</v>
      </c>
      <c r="AD46" s="967"/>
    </row>
    <row customHeight="1" ht="54">
      <c r="A47" s="966"/>
      <c r="B47" s="1020">
        <v>30</v>
      </c>
      <c r="C47" s="964" t="s">
        <v>2145</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2146</v>
      </c>
      <c r="P47" s="1078" t="s">
        <v>2123</v>
      </c>
      <c r="Q47" s="1078" t="s">
        <v>2146</v>
      </c>
      <c r="R47" s="1078" t="s">
        <v>2123</v>
      </c>
      <c r="S47" s="1078"/>
      <c r="T47" s="964" t="s">
        <v>2147</v>
      </c>
      <c r="U47" s="964" t="s">
        <v>2147</v>
      </c>
      <c r="V47" s="964" t="s">
        <v>2147</v>
      </c>
      <c r="W47" s="964" t="s">
        <v>2147</v>
      </c>
      <c r="X47" s="964"/>
      <c r="Y47" s="1121"/>
      <c r="Z47" s="967"/>
      <c r="AA47" s="970"/>
      <c r="AB47" s="970"/>
      <c r="AC47" s="970"/>
      <c r="AD47" s="967"/>
    </row>
    <row customHeight="1" ht="54">
      <c r="A48" s="966"/>
      <c r="B48" s="1020">
        <v>31</v>
      </c>
      <c r="C48" s="964">
        <v>16</v>
      </c>
      <c r="D48" s="1088"/>
      <c r="E48" s="964"/>
      <c r="F48" s="964"/>
      <c r="G48" s="964"/>
      <c r="H48" s="1012"/>
      <c r="I48" s="1126">
        <f>INDEX(TEMPLATE_NUMBER_POINT_FHD,B48,MATCH(TEMPLATE_SPHERE,TEMPLATE_SPHERE_LIST_FOR_NOTE,0))</f>
        <v>0</v>
      </c>
      <c r="J48" s="1126">
        <f>INDEX(TEMPLATE_DATA_POINT_FHD,B48,MATCH(TEMPLATE_SPHERE,TEMPLATE_SPHERE_LIST_FOR_NOTE,0))</f>
        <v>0</v>
      </c>
      <c r="K48" s="1126">
        <f>INDEX(TEMPLATE_NOTE_POINT_FHD,B48,MATCH(TEMPLATE_SPHERE,TEMPLATE_SPHERE_LIST_FOR_NOTE,0))</f>
        <v>0</v>
      </c>
      <c r="L48" s="965" t="str">
        <f>IF(I48=0,"",I48)</f>
        <v/>
      </c>
      <c r="M48" s="965" t="str">
        <f>IF(J48=0,"",J48)</f>
        <v/>
      </c>
      <c r="N48" s="965" t="str">
        <f>IF(K48=0,"",K48)</f>
        <v/>
      </c>
      <c r="O48" s="1078"/>
      <c r="P48" s="1078" t="s">
        <v>2130</v>
      </c>
      <c r="Q48" s="1078" t="s">
        <v>2148</v>
      </c>
      <c r="R48" s="1078" t="s">
        <v>2130</v>
      </c>
      <c r="S48" s="1078"/>
      <c r="T48" s="964"/>
      <c r="U48" s="964" t="s">
        <v>2149</v>
      </c>
      <c r="V48" s="964" t="s">
        <v>2150</v>
      </c>
      <c r="W48" s="964" t="s">
        <v>2150</v>
      </c>
      <c r="X48" s="964"/>
      <c r="Y48" s="1121"/>
      <c r="Z48" s="967"/>
      <c r="AA48" s="970" t="s">
        <v>2144</v>
      </c>
      <c r="AB48" s="970" t="s">
        <v>2144</v>
      </c>
      <c r="AC48" s="970" t="s">
        <v>2144</v>
      </c>
      <c r="AD48" s="967"/>
    </row>
    <row customHeight="1" ht="54">
      <c r="A49" s="966"/>
      <c r="B49" s="1020">
        <v>32</v>
      </c>
      <c r="C49" s="964" t="s">
        <v>2151</v>
      </c>
      <c r="D49" s="1088"/>
      <c r="E49" s="964"/>
      <c r="F49" s="964"/>
      <c r="G49" s="964"/>
      <c r="H49" s="1012"/>
      <c r="I49" s="1126">
        <f>INDEX(TEMPLATE_NUMBER_POINT_FHD,B49,MATCH(TEMPLATE_SPHERE,TEMPLATE_SPHERE_LIST_FOR_NOTE,0))</f>
        <v>0</v>
      </c>
      <c r="J49" s="1126">
        <f>INDEX(TEMPLATE_DATA_POINT_FHD,B49,MATCH(TEMPLATE_SPHERE,TEMPLATE_SPHERE_LIST_FOR_NOTE,0))</f>
        <v>0</v>
      </c>
      <c r="K49" s="1126">
        <f>INDEX(TEMPLATE_NOTE_POINT_FHD,B49,MATCH(TEMPLATE_SPHERE,TEMPLATE_SPHERE_LIST_FOR_NOTE,0))</f>
        <v>0</v>
      </c>
      <c r="L49" s="965" t="str">
        <f>IF(I49=0,"",I49)</f>
        <v/>
      </c>
      <c r="M49" s="965" t="str">
        <f>IF(J49=0,"",J49)</f>
        <v/>
      </c>
      <c r="N49" s="965" t="str">
        <f>IF(K49=0,"",K49)</f>
        <v/>
      </c>
      <c r="O49" s="1078"/>
      <c r="P49" s="1078" t="s">
        <v>2134</v>
      </c>
      <c r="Q49" s="1078" t="s">
        <v>2152</v>
      </c>
      <c r="R49" s="1078" t="s">
        <v>2134</v>
      </c>
      <c r="S49" s="1078"/>
      <c r="T49" s="964"/>
      <c r="U49" s="964" t="s">
        <v>2147</v>
      </c>
      <c r="V49" s="964" t="s">
        <v>2147</v>
      </c>
      <c r="W49" s="964" t="s">
        <v>2147</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2.13</v>
      </c>
      <c r="J50" s="11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5" t="str">
        <f>IF(I50=0,"",I50)</f>
        <v>2.13</v>
      </c>
      <c r="M50" s="96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8" t="s">
        <v>2148</v>
      </c>
      <c r="P50" s="1078" t="s">
        <v>2141</v>
      </c>
      <c r="Q50" s="1078" t="s">
        <v>2153</v>
      </c>
      <c r="R50" s="1078" t="s">
        <v>2141</v>
      </c>
      <c r="S50" s="1078"/>
      <c r="T50" s="964" t="s">
        <v>2154</v>
      </c>
      <c r="U50" s="964" t="s">
        <v>2155</v>
      </c>
      <c r="V50" s="964" t="s">
        <v>2156</v>
      </c>
      <c r="W50" s="964" t="s">
        <v>2157</v>
      </c>
      <c r="X50" s="964"/>
      <c r="Y50" s="1121"/>
      <c r="Z50" s="967" t="s">
        <v>2158</v>
      </c>
      <c r="AA50" s="970" t="s">
        <v>2159</v>
      </c>
      <c r="AB50" s="970" t="s">
        <v>2159</v>
      </c>
      <c r="AC50" s="970" t="s">
        <v>2159</v>
      </c>
      <c r="AD50" s="967"/>
    </row>
    <row customHeight="1" ht="27">
      <c r="A51" s="966"/>
      <c r="B51" s="1020">
        <v>34</v>
      </c>
      <c r="C51" s="964" t="s">
        <v>2160</v>
      </c>
      <c r="D51" s="1088"/>
      <c r="E51" s="964"/>
      <c r="F51" s="964"/>
      <c r="G51" s="964"/>
      <c r="H51" s="1012"/>
      <c r="I51" s="1126" t="str">
        <f>INDEX(TEMPLATE_NUMBER_POINT_FHD,B51,MATCH(TEMPLATE_SPHERE,TEMPLATE_SPHERE_LIST_FOR_NOTE,0))</f>
        <v>3</v>
      </c>
      <c r="J51" s="11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6">
        <f>INDEX(TEMPLATE_NOTE_POINT_FHD,B51,MATCH(TEMPLATE_SPHERE,TEMPLATE_SPHERE_LIST_FOR_NOTE,0))</f>
        <v>0</v>
      </c>
      <c r="L51" s="965" t="str">
        <f>IF(I51=0,"",I51)</f>
        <v>3</v>
      </c>
      <c r="M51" s="965" t="str">
        <f>IF(J51=0,"",J51)</f>
        <v>Валовая прибыль (убытки) от реализации товаров и оказания услуг по регулируемому виду деятельности</v>
      </c>
      <c r="N51" s="965" t="str">
        <f>IF(K51=0,"",K51)</f>
        <v/>
      </c>
      <c r="O51" s="1078" t="s">
        <v>90</v>
      </c>
      <c r="P51" s="1078"/>
      <c r="Q51" s="1078"/>
      <c r="R51" s="1078"/>
      <c r="S51" s="1078"/>
      <c r="T51" s="964" t="s">
        <v>2161</v>
      </c>
      <c r="U51" s="964"/>
      <c r="V51" s="964"/>
      <c r="W51" s="964"/>
      <c r="X51" s="964"/>
      <c r="Y51" s="1121"/>
      <c r="Z51" s="967"/>
      <c r="AA51" s="970"/>
      <c r="AB51" s="970"/>
      <c r="AC51" s="970"/>
      <c r="AD51" s="967"/>
    </row>
    <row customHeight="1" ht="36">
      <c r="A52" s="966"/>
      <c r="B52" s="1020">
        <v>35</v>
      </c>
      <c r="C52" s="964" t="s">
        <v>2054</v>
      </c>
      <c r="D52" s="1088" t="s">
        <v>2054</v>
      </c>
      <c r="E52" s="964" t="s">
        <v>2054</v>
      </c>
      <c r="F52" s="964" t="s">
        <v>2054</v>
      </c>
      <c r="G52" s="964"/>
      <c r="H52" s="1012"/>
      <c r="I52" s="1126" t="str">
        <f>INDEX(TEMPLATE_NUMBER_POINT_FHD,B52,MATCH(TEMPLATE_SPHERE,TEMPLATE_SPHERE_LIST_FOR_NOTE,0))</f>
        <v>4</v>
      </c>
      <c r="J52" s="1126" t="str">
        <f>INDEX(TEMPLATE_DATA_POINT_FHD,B52,MATCH(TEMPLATE_SPHERE,TEMPLATE_SPHERE_LIST_FOR_NOTE,0))</f>
        <v>Чистая прибыль, полученная от регулируемого вида деятельности,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4</v>
      </c>
      <c r="M52" s="965" t="str">
        <f>IF(J52=0,"",J52)</f>
        <v>Чистая прибыль, полученная от регулируемого вида деятельности, в том числе:</v>
      </c>
      <c r="N52" s="965" t="str">
        <f>IF(K52=0,"",K52)</f>
        <v>Указывается общая сумма чистой прибыли, полученной от регулируемого вида деятельности.</v>
      </c>
      <c r="O52" s="1078" t="s">
        <v>91</v>
      </c>
      <c r="P52" s="1078" t="s">
        <v>90</v>
      </c>
      <c r="Q52" s="1078" t="s">
        <v>90</v>
      </c>
      <c r="R52" s="1078" t="s">
        <v>90</v>
      </c>
      <c r="S52" s="1078"/>
      <c r="T52" s="964" t="s">
        <v>2162</v>
      </c>
      <c r="U52" s="964" t="s">
        <v>2163</v>
      </c>
      <c r="V52" s="964" t="s">
        <v>2164</v>
      </c>
      <c r="W52" s="964" t="s">
        <v>2165</v>
      </c>
      <c r="X52" s="964"/>
      <c r="Y52" s="1121"/>
      <c r="Z52" s="967" t="s">
        <v>771</v>
      </c>
      <c r="AA52" s="970" t="s">
        <v>771</v>
      </c>
      <c r="AB52" s="970" t="s">
        <v>771</v>
      </c>
      <c r="AC52" s="970" t="s">
        <v>771</v>
      </c>
      <c r="AD52" s="967"/>
    </row>
    <row customHeight="1" ht="36">
      <c r="A53" s="966"/>
      <c r="B53" s="1020">
        <v>36</v>
      </c>
      <c r="C53" s="964">
        <v>1</v>
      </c>
      <c r="D53" s="1088"/>
      <c r="E53" s="964"/>
      <c r="F53" s="964"/>
      <c r="G53" s="964"/>
      <c r="H53" s="1012"/>
      <c r="I53" s="1126" t="str">
        <f>INDEX(TEMPLATE_NUMBER_POINT_FHD,B53,MATCH(TEMPLATE_SPHERE,TEMPLATE_SPHERE_LIST_FOR_NOTE,0))</f>
        <v>4.1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4.1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775</v>
      </c>
      <c r="P53" s="1078" t="s">
        <v>348</v>
      </c>
      <c r="Q53" s="1078" t="s">
        <v>348</v>
      </c>
      <c r="R53" s="1078" t="s">
        <v>348</v>
      </c>
      <c r="S53" s="1078"/>
      <c r="T53" s="964" t="s">
        <v>2166</v>
      </c>
      <c r="U53" s="964" t="s">
        <v>2166</v>
      </c>
      <c r="V53" s="964" t="s">
        <v>2166</v>
      </c>
      <c r="W53" s="964" t="s">
        <v>2166</v>
      </c>
      <c r="X53" s="964"/>
      <c r="Y53" s="1121"/>
      <c r="Z53" s="967"/>
      <c r="AA53" s="970"/>
      <c r="AB53" s="967"/>
      <c r="AC53" s="967"/>
      <c r="AD53" s="967"/>
    </row>
    <row customHeight="1" ht="18">
      <c r="A54" s="966"/>
      <c r="B54" s="1020">
        <v>37</v>
      </c>
      <c r="C54" s="964" t="s">
        <v>2060</v>
      </c>
      <c r="D54" s="1088" t="s">
        <v>2060</v>
      </c>
      <c r="E54" s="964" t="s">
        <v>2060</v>
      </c>
      <c r="F54" s="964" t="s">
        <v>2060</v>
      </c>
      <c r="G54" s="964"/>
      <c r="H54" s="1012"/>
      <c r="I54" s="1126" t="str">
        <f>INDEX(TEMPLATE_NUMBER_POINT_FHD,B54,MATCH(TEMPLATE_SPHERE,TEMPLATE_SPHERE_LIST_FOR_NOTE,0))</f>
        <v>5</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5</v>
      </c>
      <c r="M54" s="965" t="str">
        <f>IF(J54=0,"",J54)</f>
        <v>Изменение стоимости основных фондов, в том числе:</v>
      </c>
      <c r="N54" s="965" t="str">
        <f>IF(K54=0,"",K54)</f>
        <v>Указывается общее изменение стоимости основных фондов.</v>
      </c>
      <c r="O54" s="1078" t="s">
        <v>124</v>
      </c>
      <c r="P54" s="1078" t="s">
        <v>91</v>
      </c>
      <c r="Q54" s="1078" t="s">
        <v>91</v>
      </c>
      <c r="R54" s="1078" t="s">
        <v>91</v>
      </c>
      <c r="S54" s="1078"/>
      <c r="T54" s="964" t="s">
        <v>773</v>
      </c>
      <c r="U54" s="964" t="s">
        <v>773</v>
      </c>
      <c r="V54" s="964" t="s">
        <v>773</v>
      </c>
      <c r="W54" s="964" t="s">
        <v>773</v>
      </c>
      <c r="X54" s="964"/>
      <c r="Y54" s="1121"/>
      <c r="Z54" s="967" t="s">
        <v>774</v>
      </c>
      <c r="AA54" s="967" t="s">
        <v>774</v>
      </c>
      <c r="AB54" s="967" t="s">
        <v>774</v>
      </c>
      <c r="AC54" s="967" t="s">
        <v>774</v>
      </c>
      <c r="AD54" s="967"/>
    </row>
    <row customHeight="1" ht="36">
      <c r="A55" s="966"/>
      <c r="B55" s="1020">
        <v>38</v>
      </c>
      <c r="C55" s="964">
        <v>1</v>
      </c>
      <c r="D55" s="1088"/>
      <c r="E55" s="964"/>
      <c r="F55" s="964"/>
      <c r="G55" s="964"/>
      <c r="H55" s="1012"/>
      <c r="I55" s="1126" t="str">
        <f>INDEX(TEMPLATE_NUMBER_POINT_FHD,B55,MATCH(TEMPLATE_SPHERE,TEMPLATE_SPHERE_LIST_FOR_NOTE,0))</f>
        <v>5.1</v>
      </c>
      <c r="J55" s="1126" t="str">
        <f>INDEX(TEMPLATE_DATA_POINT_FHD,B55,MATCH(TEMPLATE_SPHERE,TEMPLATE_SPHERE_LIST_FOR_NOTE,0))</f>
        <v>Изменение стоимости основных фондов за счет:</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5.1</v>
      </c>
      <c r="M55" s="965" t="str">
        <f>IF(J55=0,"",J55)</f>
        <v>Изменение стоимости основных фондов за счет:</v>
      </c>
      <c r="N55" s="965" t="str">
        <f>IF(K55=0,"",K55)</f>
        <v>Указываются общее изменение стоимости основных фондов за счет их ввода в эксплуатацию и вывода из эксплуатации.</v>
      </c>
      <c r="O55" s="1078" t="s">
        <v>337</v>
      </c>
      <c r="P55" s="1078" t="s">
        <v>775</v>
      </c>
      <c r="Q55" s="1078" t="s">
        <v>775</v>
      </c>
      <c r="R55" s="1078" t="s">
        <v>775</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4" t="s">
        <v>2167</v>
      </c>
      <c r="V55" s="964" t="s">
        <v>2167</v>
      </c>
      <c r="W55" s="964" t="s">
        <v>2167</v>
      </c>
      <c r="X55" s="964"/>
      <c r="Y55" s="1121"/>
      <c r="Z55" s="967" t="s">
        <v>2168</v>
      </c>
      <c r="AA55" s="967" t="s">
        <v>2168</v>
      </c>
      <c r="AB55" s="967" t="s">
        <v>2168</v>
      </c>
      <c r="AC55" s="967" t="s">
        <v>2168</v>
      </c>
      <c r="AD55" s="967"/>
    </row>
    <row customHeight="1" ht="27">
      <c r="A56" s="966"/>
      <c r="B56" s="1020">
        <v>39</v>
      </c>
      <c r="C56" s="964" t="s">
        <v>1043</v>
      </c>
      <c r="D56" s="1088"/>
      <c r="E56" s="964"/>
      <c r="F56" s="964"/>
      <c r="G56" s="964"/>
      <c r="H56" s="1012"/>
      <c r="I56" s="1126" t="str">
        <f>INDEX(TEMPLATE_NUMBER_POINT_FHD,B56,MATCH(TEMPLATE_SPHERE,TEMPLATE_SPHERE_LIST_FOR_NOTE,0))</f>
        <v>5.1.1</v>
      </c>
      <c r="J56" s="1126" t="str">
        <f>INDEX(TEMPLATE_DATA_POINT_FHD,B56,MATCH(TEMPLATE_SPHERE,TEMPLATE_SPHERE_LIST_FOR_NOTE,0))</f>
        <v>Изменения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5.1.1</v>
      </c>
      <c r="M56" s="965" t="str">
        <f>IF(J56=0,"",J56)</f>
        <v>Изменения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1160</v>
      </c>
      <c r="P56" s="1078" t="s">
        <v>778</v>
      </c>
      <c r="Q56" s="1078" t="s">
        <v>778</v>
      </c>
      <c r="R56" s="1078" t="s">
        <v>778</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4" t="s">
        <v>2169</v>
      </c>
      <c r="V56" s="964" t="s">
        <v>2169</v>
      </c>
      <c r="W56" s="964" t="s">
        <v>2169</v>
      </c>
      <c r="X56" s="964"/>
      <c r="Y56" s="1121"/>
      <c r="Z56" s="967" t="s">
        <v>780</v>
      </c>
      <c r="AA56" s="967" t="s">
        <v>780</v>
      </c>
      <c r="AB56" s="967" t="s">
        <v>780</v>
      </c>
      <c r="AC56" s="967" t="s">
        <v>780</v>
      </c>
      <c r="AD56" s="967"/>
    </row>
    <row customHeight="1" ht="27">
      <c r="A57" s="966"/>
      <c r="B57" s="1020">
        <v>40</v>
      </c>
      <c r="C57" s="964" t="s">
        <v>1045</v>
      </c>
      <c r="D57" s="1088"/>
      <c r="E57" s="964"/>
      <c r="F57" s="964"/>
      <c r="G57" s="964"/>
      <c r="H57" s="1012"/>
      <c r="I57" s="1126" t="str">
        <f>INDEX(TEMPLATE_NUMBER_POINT_FHD,B57,MATCH(TEMPLATE_SPHERE,TEMPLATE_SPHERE_LIST_FOR_NOTE,0))</f>
        <v>5.1.2</v>
      </c>
      <c r="J57" s="1126" t="str">
        <f>INDEX(TEMPLATE_DATA_POINT_FHD,B57,MATCH(TEMPLATE_SPHERE,TEMPLATE_SPHERE_LIST_FOR_NOTE,0))</f>
        <v>Изменения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5.1.2</v>
      </c>
      <c r="M57" s="965" t="str">
        <f>IF(J57=0,"",J57)</f>
        <v>Изменения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2170</v>
      </c>
      <c r="P57" s="1078" t="s">
        <v>781</v>
      </c>
      <c r="Q57" s="1078" t="s">
        <v>781</v>
      </c>
      <c r="R57" s="1078" t="s">
        <v>781</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4" t="s">
        <v>2171</v>
      </c>
      <c r="V57" s="964" t="s">
        <v>2171</v>
      </c>
      <c r="W57" s="964" t="s">
        <v>2171</v>
      </c>
      <c r="X57" s="964"/>
      <c r="Y57" s="1121"/>
      <c r="Z57" s="967" t="s">
        <v>783</v>
      </c>
      <c r="AA57" s="967" t="s">
        <v>783</v>
      </c>
      <c r="AB57" s="967" t="s">
        <v>783</v>
      </c>
      <c r="AC57" s="967" t="s">
        <v>783</v>
      </c>
      <c r="AD57" s="967"/>
    </row>
    <row customHeight="1" ht="18">
      <c r="A58" s="966"/>
      <c r="B58" s="1020">
        <v>41</v>
      </c>
      <c r="C58" s="964">
        <v>2</v>
      </c>
      <c r="D58" s="1088"/>
      <c r="E58" s="964"/>
      <c r="F58" s="964"/>
      <c r="G58" s="964"/>
      <c r="H58" s="1012"/>
      <c r="I58" s="1126" t="str">
        <f>INDEX(TEMPLATE_NUMBER_POINT_FHD,B58,MATCH(TEMPLATE_SPHERE,TEMPLATE_SPHERE_LIST_FOR_NOTE,0))</f>
        <v>5.2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5.2</v>
      </c>
      <c r="M58" s="965" t="str">
        <f>IF(J58=0,"",J58)</f>
        <v>Изменение стоимости основных фондов за счет их переоценки</v>
      </c>
      <c r="N58" s="965" t="str">
        <f>IF(K58=0,"",K58)</f>
        <v/>
      </c>
      <c r="O58" s="1078" t="s">
        <v>903</v>
      </c>
      <c r="P58" s="1078" t="s">
        <v>817</v>
      </c>
      <c r="Q58" s="1078" t="s">
        <v>817</v>
      </c>
      <c r="R58" s="1078" t="s">
        <v>817</v>
      </c>
      <c r="S58" s="1078"/>
      <c r="T58" s="96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4" t="s">
        <v>2172</v>
      </c>
      <c r="V58" s="964" t="s">
        <v>2172</v>
      </c>
      <c r="W58" s="964" t="s">
        <v>2172</v>
      </c>
      <c r="X58" s="964"/>
      <c r="Y58" s="1121"/>
      <c r="Z58" s="967"/>
      <c r="AA58" s="970"/>
      <c r="AB58" s="967"/>
      <c r="AC58" s="967"/>
      <c r="AD58" s="967"/>
    </row>
    <row customHeight="1" ht="36">
      <c r="A59" s="966"/>
      <c r="B59" s="1020">
        <v>42</v>
      </c>
      <c r="C59" s="964">
        <v>3</v>
      </c>
      <c r="D59" s="1088" t="s">
        <v>2160</v>
      </c>
      <c r="E59" s="964" t="s">
        <v>2160</v>
      </c>
      <c r="F59" s="964" t="s">
        <v>2160</v>
      </c>
      <c r="G59" s="964"/>
      <c r="H59" s="1012"/>
      <c r="I59" s="1126">
        <f>INDEX(TEMPLATE_NUMBER_POINT_FHD,B59,MATCH(TEMPLATE_SPHERE,TEMPLATE_SPHERE_LIST_FOR_NOTE,0))</f>
        <v>0</v>
      </c>
      <c r="J59" s="1126">
        <f>INDEX(TEMPLATE_DATA_POINT_FHD,B59,MATCH(TEMPLATE_SPHERE,TEMPLATE_SPHERE_LIST_FOR_NOTE,0))</f>
        <v>0</v>
      </c>
      <c r="K59" s="1126">
        <f>INDEX(TEMPLATE_NOTE_POINT_FHD,B59,MATCH(TEMPLATE_SPHERE,TEMPLATE_SPHERE_LIST_FOR_NOTE,0))</f>
        <v>0</v>
      </c>
      <c r="L59" s="965" t="str">
        <f>IF(I59=0,"",I59)</f>
        <v/>
      </c>
      <c r="M59" s="965" t="str">
        <f>IF(J59=0,"",J59)</f>
        <v/>
      </c>
      <c r="N59" s="965" t="str">
        <f>IF(K59=0,"",K59)</f>
        <v/>
      </c>
      <c r="O59" s="1078"/>
      <c r="P59" s="1078" t="s">
        <v>124</v>
      </c>
      <c r="Q59" s="1078" t="s">
        <v>124</v>
      </c>
      <c r="R59" s="1078" t="s">
        <v>124</v>
      </c>
      <c r="S59" s="1078"/>
      <c r="T59" s="964"/>
      <c r="U59" s="964" t="s">
        <v>2173</v>
      </c>
      <c r="V59" s="964" t="s">
        <v>2174</v>
      </c>
      <c r="W59" s="964" t="s">
        <v>2175</v>
      </c>
      <c r="X59" s="964"/>
      <c r="Y59" s="1121"/>
      <c r="Z59" s="967"/>
      <c r="AA59" s="970"/>
      <c r="AB59" s="967"/>
      <c r="AC59" s="967"/>
      <c r="AD59" s="967"/>
    </row>
    <row customHeight="1" ht="81">
      <c r="A60" s="966"/>
      <c r="B60" s="1020">
        <v>43</v>
      </c>
      <c r="C60" s="964" t="s">
        <v>2176</v>
      </c>
      <c r="D60" s="1088" t="s">
        <v>2176</v>
      </c>
      <c r="E60" s="964" t="s">
        <v>2176</v>
      </c>
      <c r="F60" s="964" t="s">
        <v>2176</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8" t="s">
        <v>92</v>
      </c>
      <c r="P60" s="1078" t="s">
        <v>92</v>
      </c>
      <c r="Q60" s="1078" t="s">
        <v>92</v>
      </c>
      <c r="R60" s="1078" t="s">
        <v>92</v>
      </c>
      <c r="S60" s="1078"/>
      <c r="T60" s="964" t="s">
        <v>651</v>
      </c>
      <c r="U60" s="964" t="s">
        <v>651</v>
      </c>
      <c r="V60" s="964" t="s">
        <v>651</v>
      </c>
      <c r="W60" s="964" t="s">
        <v>651</v>
      </c>
      <c r="X60" s="964"/>
      <c r="Y60" s="1121"/>
      <c r="Z60" s="967" t="s">
        <v>2177</v>
      </c>
      <c r="AA60" s="970" t="s">
        <v>2178</v>
      </c>
      <c r="AB60" s="967" t="s">
        <v>2179</v>
      </c>
      <c r="AC60" s="967" t="s">
        <v>2178</v>
      </c>
      <c r="AD60" s="967"/>
    </row>
    <row customHeight="1" ht="9">
      <c r="A61" s="966"/>
      <c r="B61" s="1020">
        <v>44</v>
      </c>
      <c r="C61" s="964"/>
      <c r="D61" s="1088" t="s">
        <v>2180</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93</v>
      </c>
      <c r="Q61" s="1078"/>
      <c r="R61" s="1078"/>
      <c r="S61" s="1078"/>
      <c r="T61" s="964"/>
      <c r="U61" s="964" t="s">
        <v>2181</v>
      </c>
      <c r="V61" s="964"/>
      <c r="W61" s="964"/>
      <c r="X61" s="964"/>
      <c r="Y61" s="1121"/>
      <c r="Z61" s="967"/>
      <c r="AA61" s="970"/>
      <c r="AB61" s="967"/>
      <c r="AC61" s="967"/>
      <c r="AD61" s="967"/>
    </row>
    <row customHeight="1" ht="9">
      <c r="A62" s="966"/>
      <c r="B62" s="1020">
        <v>45</v>
      </c>
      <c r="C62" s="964"/>
      <c r="D62" s="1088" t="s">
        <v>2182</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125</v>
      </c>
      <c r="Q62" s="1078"/>
      <c r="R62" s="1078"/>
      <c r="S62" s="1078"/>
      <c r="T62" s="964"/>
      <c r="U62" s="964" t="s">
        <v>2183</v>
      </c>
      <c r="V62" s="964"/>
      <c r="W62" s="964"/>
      <c r="X62" s="964"/>
      <c r="Y62" s="1121"/>
      <c r="Z62" s="967"/>
      <c r="AA62" s="970"/>
      <c r="AB62" s="967"/>
      <c r="AC62" s="967"/>
      <c r="AD62" s="967"/>
    </row>
    <row customHeight="1" ht="18">
      <c r="A63" s="966"/>
      <c r="B63" s="1020">
        <v>46</v>
      </c>
      <c r="C63" s="964"/>
      <c r="D63" s="1088" t="s">
        <v>2184</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161</v>
      </c>
      <c r="Q63" s="1078"/>
      <c r="R63" s="1078"/>
      <c r="S63" s="1078"/>
      <c r="T63" s="964"/>
      <c r="U63" s="964" t="s">
        <v>2185</v>
      </c>
      <c r="V63" s="964"/>
      <c r="W63" s="964"/>
      <c r="X63" s="964"/>
      <c r="Y63" s="1121"/>
      <c r="Z63" s="967"/>
      <c r="AA63" s="970"/>
      <c r="AB63" s="967"/>
      <c r="AC63" s="967"/>
      <c r="AD63" s="967"/>
    </row>
    <row customHeight="1" ht="18">
      <c r="A64" s="966"/>
      <c r="B64" s="1020">
        <v>47</v>
      </c>
      <c r="C64" s="964"/>
      <c r="D64" s="1088" t="s">
        <v>2186</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162</v>
      </c>
      <c r="Q64" s="1078"/>
      <c r="R64" s="1078"/>
      <c r="S64" s="1078"/>
      <c r="T64" s="964"/>
      <c r="U64" s="964" t="s">
        <v>2187</v>
      </c>
      <c r="V64" s="964"/>
      <c r="W64" s="964"/>
      <c r="X64" s="964"/>
      <c r="Y64" s="1121"/>
      <c r="Z64" s="967"/>
      <c r="AA64" s="970" t="s">
        <v>2188</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2101</v>
      </c>
      <c r="Q65" s="1078"/>
      <c r="R65" s="1078"/>
      <c r="S65" s="1078"/>
      <c r="T65" s="964"/>
      <c r="U65" s="964" t="s">
        <v>2189</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2105</v>
      </c>
      <c r="Q66" s="1078"/>
      <c r="R66" s="1078"/>
      <c r="S66" s="1078"/>
      <c r="T66" s="964"/>
      <c r="U66" s="964" t="s">
        <v>2190</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2191</v>
      </c>
      <c r="Q67" s="1078"/>
      <c r="R67" s="1078"/>
      <c r="S67" s="1078"/>
      <c r="T67" s="964"/>
      <c r="U67" s="964" t="s">
        <v>2192</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2193</v>
      </c>
      <c r="Q68" s="1078"/>
      <c r="R68" s="1078"/>
      <c r="S68" s="1078"/>
      <c r="T68" s="964"/>
      <c r="U68" s="964" t="s">
        <v>2194</v>
      </c>
      <c r="V68" s="964"/>
      <c r="W68" s="964"/>
      <c r="X68" s="964"/>
      <c r="Y68" s="1121"/>
      <c r="Z68" s="967"/>
      <c r="AA68" s="970"/>
      <c r="AB68" s="967"/>
      <c r="AC68" s="967"/>
      <c r="AD68" s="967"/>
    </row>
    <row customHeight="1" ht="9">
      <c r="A69" s="966"/>
      <c r="B69" s="1020">
        <v>52</v>
      </c>
      <c r="C69" s="964"/>
      <c r="D69" s="1088" t="s">
        <v>2195</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163</v>
      </c>
      <c r="Q69" s="1078"/>
      <c r="R69" s="1078"/>
      <c r="S69" s="1078"/>
      <c r="T69" s="964"/>
      <c r="U69" s="964" t="s">
        <v>2196</v>
      </c>
      <c r="V69" s="964"/>
      <c r="W69" s="964"/>
      <c r="X69" s="964"/>
      <c r="Y69" s="1121"/>
      <c r="Z69" s="967"/>
      <c r="AA69" s="970"/>
      <c r="AB69" s="967"/>
      <c r="AC69" s="967"/>
      <c r="AD69" s="967"/>
    </row>
    <row customHeight="1" ht="27">
      <c r="A70" s="966"/>
      <c r="B70" s="1020">
        <v>53</v>
      </c>
      <c r="C70" s="964"/>
      <c r="D70" s="1088"/>
      <c r="E70" s="964" t="s">
        <v>2180</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93</v>
      </c>
      <c r="R70" s="1078"/>
      <c r="S70" s="1078"/>
      <c r="T70" s="964"/>
      <c r="U70" s="964"/>
      <c r="V70" s="964" t="s">
        <v>2197</v>
      </c>
      <c r="W70" s="964"/>
      <c r="X70" s="964"/>
      <c r="Y70" s="1121"/>
      <c r="Z70" s="967"/>
      <c r="AA70" s="970"/>
      <c r="AB70" s="967"/>
      <c r="AC70" s="967"/>
      <c r="AD70" s="967"/>
    </row>
    <row customHeight="1" ht="36">
      <c r="A71" s="966"/>
      <c r="B71" s="1020">
        <v>54</v>
      </c>
      <c r="C71" s="964"/>
      <c r="D71" s="1088"/>
      <c r="E71" s="964" t="s">
        <v>2182</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125</v>
      </c>
      <c r="R71" s="1078"/>
      <c r="S71" s="1078"/>
      <c r="T71" s="964"/>
      <c r="U71" s="964"/>
      <c r="V71" s="964" t="s">
        <v>2198</v>
      </c>
      <c r="W71" s="964"/>
      <c r="X71" s="964"/>
      <c r="Y71" s="1121"/>
      <c r="Z71" s="967"/>
      <c r="AA71" s="970"/>
      <c r="AB71" s="967"/>
      <c r="AC71" s="967"/>
      <c r="AD71" s="967"/>
    </row>
    <row customHeight="1" ht="27">
      <c r="A72" s="966"/>
      <c r="B72" s="1020">
        <v>55</v>
      </c>
      <c r="C72" s="964"/>
      <c r="D72" s="1088"/>
      <c r="E72" s="964" t="s">
        <v>2184</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161</v>
      </c>
      <c r="R72" s="1078"/>
      <c r="S72" s="1078"/>
      <c r="T72" s="964"/>
      <c r="U72" s="964"/>
      <c r="V72" s="964" t="s">
        <v>2199</v>
      </c>
      <c r="W72" s="964"/>
      <c r="X72" s="964"/>
      <c r="Y72" s="1121"/>
      <c r="Z72" s="967"/>
      <c r="AA72" s="970"/>
      <c r="AB72" s="967"/>
      <c r="AC72" s="967"/>
      <c r="AD72" s="967"/>
    </row>
    <row customHeight="1" ht="36">
      <c r="A73" s="966"/>
      <c r="B73" s="1020">
        <v>56</v>
      </c>
      <c r="C73" s="964"/>
      <c r="D73" s="1088"/>
      <c r="E73" s="964" t="s">
        <v>2186</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162</v>
      </c>
      <c r="R73" s="1078"/>
      <c r="S73" s="1078"/>
      <c r="T73" s="964"/>
      <c r="U73" s="964"/>
      <c r="V73" s="964" t="s">
        <v>2200</v>
      </c>
      <c r="W73" s="964"/>
      <c r="X73" s="964"/>
      <c r="Y73" s="1121"/>
      <c r="Z73" s="967"/>
      <c r="AA73" s="970"/>
      <c r="AB73" s="967"/>
      <c r="AC73" s="967"/>
      <c r="AD73" s="967"/>
    </row>
    <row customHeight="1" ht="18">
      <c r="A74" s="966"/>
      <c r="B74" s="1020">
        <v>57</v>
      </c>
      <c r="C74" s="964"/>
      <c r="D74" s="1088"/>
      <c r="E74" s="964" t="s">
        <v>2195</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163</v>
      </c>
      <c r="R74" s="1078"/>
      <c r="S74" s="1078"/>
      <c r="T74" s="964"/>
      <c r="U74" s="964"/>
      <c r="V74" s="964" t="s">
        <v>2201</v>
      </c>
      <c r="W74" s="964"/>
      <c r="X74" s="964"/>
      <c r="Y74" s="1121"/>
      <c r="Z74" s="967"/>
      <c r="AA74" s="970"/>
      <c r="AB74" s="967"/>
      <c r="AC74" s="967"/>
      <c r="AD74" s="967"/>
    </row>
    <row customHeight="1" ht="18">
      <c r="A75" s="966"/>
      <c r="B75" s="1020">
        <v>58</v>
      </c>
      <c r="C75" s="964"/>
      <c r="D75" s="1088"/>
      <c r="E75" s="964"/>
      <c r="F75" s="964" t="s">
        <v>2180</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93</v>
      </c>
      <c r="S75" s="1078"/>
      <c r="T75" s="964"/>
      <c r="U75" s="964"/>
      <c r="V75" s="964"/>
      <c r="W75" s="964" t="s">
        <v>2202</v>
      </c>
      <c r="X75" s="964"/>
      <c r="Y75" s="1121"/>
      <c r="Z75" s="967"/>
      <c r="AA75" s="970"/>
      <c r="AB75" s="967"/>
      <c r="AC75" s="967"/>
      <c r="AD75" s="967"/>
    </row>
    <row customHeight="1" ht="36">
      <c r="A76" s="966"/>
      <c r="B76" s="1020">
        <v>59</v>
      </c>
      <c r="C76" s="964"/>
      <c r="D76" s="1088"/>
      <c r="E76" s="964"/>
      <c r="F76" s="964" t="s">
        <v>2182</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125</v>
      </c>
      <c r="S76" s="1078"/>
      <c r="T76" s="964"/>
      <c r="U76" s="964"/>
      <c r="V76" s="964"/>
      <c r="W76" s="964" t="s">
        <v>2203</v>
      </c>
      <c r="X76" s="964"/>
      <c r="Y76" s="1121"/>
      <c r="Z76" s="967"/>
      <c r="AA76" s="970"/>
      <c r="AB76" s="967"/>
      <c r="AC76" s="967"/>
      <c r="AD76" s="967"/>
    </row>
    <row customHeight="1" ht="18">
      <c r="A77" s="966"/>
      <c r="B77" s="1020">
        <v>60</v>
      </c>
      <c r="C77" s="964"/>
      <c r="D77" s="1088"/>
      <c r="E77" s="964"/>
      <c r="F77" s="964" t="s">
        <v>2184</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161</v>
      </c>
      <c r="S77" s="1078"/>
      <c r="T77" s="964"/>
      <c r="U77" s="964"/>
      <c r="V77" s="964"/>
      <c r="W77" s="964" t="s">
        <v>2204</v>
      </c>
      <c r="X77" s="964"/>
      <c r="Y77" s="1121"/>
      <c r="Z77" s="967"/>
      <c r="AA77" s="970"/>
      <c r="AB77" s="967"/>
      <c r="AC77" s="967"/>
      <c r="AD77" s="967"/>
    </row>
    <row customHeight="1" ht="72">
      <c r="A78" s="966"/>
      <c r="B78" s="1020">
        <v>61</v>
      </c>
      <c r="C78" s="964" t="s">
        <v>2180</v>
      </c>
      <c r="D78" s="1088"/>
      <c r="E78" s="964"/>
      <c r="F78" s="964"/>
      <c r="G78" s="964"/>
      <c r="H78" s="1012"/>
      <c r="I78" s="1126" t="str">
        <f>INDEX(TEMPLATE_NUMBER_POINT_FHD,B78,MATCH(TEMPLATE_SPHERE,TEMPLATE_SPHERE_LIST_FOR_NOTE,0))</f>
        <v>7</v>
      </c>
      <c r="J78" s="11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5" t="str">
        <f>IF(I78=0,"",I78)</f>
        <v>7</v>
      </c>
      <c r="M78" s="96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8" t="s">
        <v>93</v>
      </c>
      <c r="P78" s="1078"/>
      <c r="Q78" s="1078"/>
      <c r="R78" s="1078"/>
      <c r="S78" s="1078"/>
      <c r="T78" s="964" t="s">
        <v>656</v>
      </c>
      <c r="U78" s="964"/>
      <c r="V78" s="964"/>
      <c r="W78" s="964"/>
      <c r="X78" s="964"/>
      <c r="Y78" s="1121"/>
      <c r="Z78" s="967" t="s">
        <v>2205</v>
      </c>
      <c r="AA78" s="970"/>
      <c r="AB78" s="967"/>
      <c r="AC78" s="967"/>
      <c r="AD78" s="967"/>
    </row>
    <row customHeight="1" ht="36">
      <c r="A79" s="966"/>
      <c r="B79" s="1020">
        <v>62</v>
      </c>
      <c r="C79" s="964" t="s">
        <v>2182</v>
      </c>
      <c r="D79" s="1088"/>
      <c r="E79" s="964"/>
      <c r="F79" s="964"/>
      <c r="G79" s="964"/>
      <c r="H79" s="1012"/>
      <c r="I79" s="1126" t="str">
        <f>INDEX(TEMPLATE_NUMBER_POINT_FHD,B79,MATCH(TEMPLATE_SPHERE,TEMPLATE_SPHERE_LIST_FOR_NOTE,0))</f>
        <v>8</v>
      </c>
      <c r="J79" s="11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5" t="str">
        <f>IF(I79=0,"",I79)</f>
        <v>8</v>
      </c>
      <c r="M79" s="965" t="str">
        <f>IF(J79=0,"",J79)</f>
        <v>Тепловая нагрузка по договорам, заключенным в рамках осуществления регулируемых видов деятельности</v>
      </c>
      <c r="N79" s="96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8" t="s">
        <v>125</v>
      </c>
      <c r="P79" s="1078"/>
      <c r="Q79" s="1078"/>
      <c r="R79" s="1078"/>
      <c r="S79" s="1078"/>
      <c r="T79" s="964" t="s">
        <v>2206</v>
      </c>
      <c r="U79" s="964"/>
      <c r="V79" s="964"/>
      <c r="W79" s="964"/>
      <c r="X79" s="964"/>
      <c r="Y79" s="1121"/>
      <c r="Z79" s="967" t="s">
        <v>2207</v>
      </c>
      <c r="AA79" s="970"/>
      <c r="AB79" s="967"/>
      <c r="AC79" s="967"/>
      <c r="AD79" s="967"/>
    </row>
    <row customHeight="1" ht="45">
      <c r="A80" s="966"/>
      <c r="B80" s="1020">
        <v>63</v>
      </c>
      <c r="C80" s="964" t="s">
        <v>2184</v>
      </c>
      <c r="D80" s="1088"/>
      <c r="E80" s="964"/>
      <c r="F80" s="964"/>
      <c r="G80" s="964"/>
      <c r="H80" s="1012"/>
      <c r="I80" s="1126" t="str">
        <f>INDEX(TEMPLATE_NUMBER_POINT_FHD,B80,MATCH(TEMPLATE_SPHERE,TEMPLATE_SPHERE_LIST_FOR_NOTE,0))</f>
        <v>9</v>
      </c>
      <c r="J80" s="11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5" t="str">
        <f>IF(I80=0,"",I80)</f>
        <v>9</v>
      </c>
      <c r="M80" s="965" t="str">
        <f>IF(J80=0,"",J80)</f>
        <v>Объем вырабатываемой регулируемой организацией тепловой энергии в рамках осуществления регулируемых видов деятельности</v>
      </c>
      <c r="N80" s="96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8" t="s">
        <v>161</v>
      </c>
      <c r="P80" s="1078"/>
      <c r="Q80" s="1078"/>
      <c r="R80" s="1078"/>
      <c r="S80" s="1078"/>
      <c r="T80" s="964" t="s">
        <v>2208</v>
      </c>
      <c r="U80" s="964"/>
      <c r="V80" s="964"/>
      <c r="W80" s="964"/>
      <c r="X80" s="964"/>
      <c r="Y80" s="1121"/>
      <c r="Z80" s="967" t="s">
        <v>2209</v>
      </c>
      <c r="AA80" s="970"/>
      <c r="AB80" s="967"/>
      <c r="AC80" s="967"/>
      <c r="AD80" s="967"/>
    </row>
    <row customHeight="1" ht="36">
      <c r="A81" s="966"/>
      <c r="B81" s="1020">
        <v>64</v>
      </c>
      <c r="C81" s="964" t="s">
        <v>2186</v>
      </c>
      <c r="D81" s="1088"/>
      <c r="E81" s="964"/>
      <c r="F81" s="964"/>
      <c r="G81" s="964"/>
      <c r="H81" s="1012"/>
      <c r="I81" s="1126" t="str">
        <f>INDEX(TEMPLATE_NUMBER_POINT_FHD,B81,MATCH(TEMPLATE_SPHERE,TEMPLATE_SPHERE_LIST_FOR_NOTE,0))</f>
        <v>9.1</v>
      </c>
      <c r="J81" s="11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6" t="str">
        <f>INDEX(TEMPLATE_NOTE_POINT_FHD,B81,MATCH(TEMPLATE_SPHERE,TEMPLATE_SPHERE_LIST_FOR_NOTE,0))</f>
        <v>Информация указывается только едиными теплоснабжающими организациями.</v>
      </c>
      <c r="L81" s="965" t="str">
        <f>IF(I81=0,"",I81)</f>
        <v>9.1</v>
      </c>
      <c r="M81" s="965" t="str">
        <f>IF(J81=0,"",J81)</f>
        <v>Объем приобретаемой регулируемой организацией тепловой энергии в рамках осуществления регулируемых видов деятельности</v>
      </c>
      <c r="N81" s="965" t="str">
        <f>IF(K81=0,"",K81)</f>
        <v>Информация указывается только едиными теплоснабжающими организациями.</v>
      </c>
      <c r="O81" s="1078" t="s">
        <v>2092</v>
      </c>
      <c r="P81" s="1078"/>
      <c r="Q81" s="1078"/>
      <c r="R81" s="1078"/>
      <c r="S81" s="1078"/>
      <c r="T81" s="964" t="s">
        <v>2210</v>
      </c>
      <c r="U81" s="964"/>
      <c r="V81" s="964"/>
      <c r="W81" s="964"/>
      <c r="X81" s="964"/>
      <c r="Y81" s="1121"/>
      <c r="Z81" s="967" t="s">
        <v>2211</v>
      </c>
      <c r="AA81" s="970"/>
      <c r="AB81" s="967"/>
      <c r="AC81" s="967"/>
      <c r="AD81" s="967"/>
    </row>
    <row customHeight="1" ht="90">
      <c r="A82" s="966"/>
      <c r="B82" s="1020">
        <v>65</v>
      </c>
      <c r="C82" s="964" t="s">
        <v>2195</v>
      </c>
      <c r="D82" s="1088"/>
      <c r="E82" s="964"/>
      <c r="F82" s="964"/>
      <c r="G82" s="964"/>
      <c r="H82" s="1012"/>
      <c r="I82" s="1126" t="str">
        <f>INDEX(TEMPLATE_NUMBER_POINT_FHD,B82,MATCH(TEMPLATE_SPHERE,TEMPLATE_SPHERE_LIST_FOR_NOTE,0))</f>
        <v>10</v>
      </c>
      <c r="J82" s="11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5" t="str">
        <f>IF(I82=0,"",I82)</f>
        <v>10</v>
      </c>
      <c r="M82" s="96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8" t="s">
        <v>162</v>
      </c>
      <c r="P82" s="1078"/>
      <c r="Q82" s="1078"/>
      <c r="R82" s="1078"/>
      <c r="S82" s="1078"/>
      <c r="T82" s="964" t="s">
        <v>2212</v>
      </c>
      <c r="U82" s="964"/>
      <c r="V82" s="964"/>
      <c r="W82" s="964"/>
      <c r="X82" s="964"/>
      <c r="Y82" s="1121"/>
      <c r="Z82" s="967" t="s">
        <v>2213</v>
      </c>
      <c r="AA82" s="970"/>
      <c r="AB82" s="967"/>
      <c r="AC82" s="967"/>
      <c r="AD82" s="967"/>
    </row>
    <row customHeight="1" ht="9">
      <c r="A83" s="966"/>
      <c r="B83" s="1020">
        <v>66</v>
      </c>
      <c r="C83" s="964"/>
      <c r="D83" s="1088"/>
      <c r="E83" s="964"/>
      <c r="F83" s="964"/>
      <c r="G83" s="964"/>
      <c r="H83" s="1012"/>
      <c r="I83" s="1126" t="str">
        <f>INDEX(TEMPLATE_NUMBER_POINT_FHD,B83,MATCH(TEMPLATE_SPHERE,TEMPLATE_SPHERE_LIST_FOR_NOTE,0))</f>
        <v>10.1</v>
      </c>
      <c r="J83" s="1126" t="str">
        <f>INDEX(TEMPLATE_DATA_POINT_FHD,B83,MATCH(TEMPLATE_SPHERE,TEMPLATE_SPHERE_LIST_FOR_NOTE,0))</f>
        <v>По приборам учёта </v>
      </c>
      <c r="K83" s="1126">
        <f>INDEX(TEMPLATE_NOTE_POINT_FHD,B83,MATCH(TEMPLATE_SPHERE,TEMPLATE_SPHERE_LIST_FOR_NOTE,0))</f>
        <v>0</v>
      </c>
      <c r="L83" s="965" t="str">
        <f>IF(I83=0,"",I83)</f>
        <v>10.1</v>
      </c>
      <c r="M83" s="965" t="str">
        <f>IF(J83=0,"",J83)</f>
        <v>По приборам учёта </v>
      </c>
      <c r="N83" s="965" t="str">
        <f>IF(K83=0,"",K83)</f>
        <v/>
      </c>
      <c r="O83" s="1078" t="s">
        <v>2101</v>
      </c>
      <c r="P83" s="1078"/>
      <c r="Q83" s="1078"/>
      <c r="R83" s="1078"/>
      <c r="S83" s="1078"/>
      <c r="T83" s="964" t="s">
        <v>2214</v>
      </c>
      <c r="U83" s="964"/>
      <c r="V83" s="964"/>
      <c r="W83" s="964"/>
      <c r="X83" s="964"/>
      <c r="Y83" s="1121"/>
      <c r="Z83" s="967"/>
      <c r="AA83" s="970"/>
      <c r="AB83" s="967"/>
      <c r="AC83" s="967"/>
      <c r="AD83" s="967"/>
    </row>
    <row customHeight="1" ht="54">
      <c r="A84" s="966"/>
      <c r="B84" s="1020">
        <v>67</v>
      </c>
      <c r="C84" s="964"/>
      <c r="D84" s="1088"/>
      <c r="E84" s="964"/>
      <c r="F84" s="964"/>
      <c r="G84" s="964"/>
      <c r="H84" s="1012"/>
      <c r="I84" s="1126" t="str">
        <f>INDEX(TEMPLATE_NUMBER_POINT_FHD,B84,MATCH(TEMPLATE_SPHERE,TEMPLATE_SPHERE_LIST_FOR_NOTE,0))</f>
        <v>10.1.1</v>
      </c>
      <c r="J84" s="11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6">
        <f>INDEX(TEMPLATE_NOTE_POINT_FHD,B84,MATCH(TEMPLATE_SPHERE,TEMPLATE_SPHERE_LIST_FOR_NOTE,0))</f>
        <v>0</v>
      </c>
      <c r="L84" s="965" t="str">
        <f>IF(I84=0,"",I84)</f>
        <v>10.1.1</v>
      </c>
      <c r="M84" s="96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5" t="str">
        <f>IF(K84=0,"",K84)</f>
        <v/>
      </c>
      <c r="O84" s="1078" t="s">
        <v>2215</v>
      </c>
      <c r="P84" s="1078"/>
      <c r="Q84" s="1078"/>
      <c r="R84" s="1078"/>
      <c r="S84" s="1078"/>
      <c r="T84" s="964" t="s">
        <v>2216</v>
      </c>
      <c r="U84" s="964"/>
      <c r="V84" s="964"/>
      <c r="W84" s="964"/>
      <c r="X84" s="964"/>
      <c r="Y84" s="1121"/>
      <c r="Z84" s="967"/>
      <c r="AA84" s="970"/>
      <c r="AB84" s="967"/>
      <c r="AC84" s="967"/>
      <c r="AD84" s="967"/>
    </row>
    <row customHeight="1" ht="9">
      <c r="A85" s="966"/>
      <c r="B85" s="1020">
        <v>68</v>
      </c>
      <c r="C85" s="964"/>
      <c r="D85" s="1088"/>
      <c r="E85" s="964"/>
      <c r="F85" s="964"/>
      <c r="G85" s="964"/>
      <c r="H85" s="1012"/>
      <c r="I85" s="1126" t="str">
        <f>INDEX(TEMPLATE_NUMBER_POINT_FHD,B85,MATCH(TEMPLATE_SPHERE,TEMPLATE_SPHERE_LIST_FOR_NOTE,0))</f>
        <v>10.2</v>
      </c>
      <c r="J85" s="1126" t="str">
        <f>INDEX(TEMPLATE_DATA_POINT_FHD,B85,MATCH(TEMPLATE_SPHERE,TEMPLATE_SPHERE_LIST_FOR_NOTE,0))</f>
        <v>Расчётным путём</v>
      </c>
      <c r="K85" s="1126">
        <f>INDEX(TEMPLATE_NOTE_POINT_FHD,B85,MATCH(TEMPLATE_SPHERE,TEMPLATE_SPHERE_LIST_FOR_NOTE,0))</f>
        <v>0</v>
      </c>
      <c r="L85" s="965" t="str">
        <f>IF(I85=0,"",I85)</f>
        <v>10.2</v>
      </c>
      <c r="M85" s="965" t="str">
        <f>IF(J85=0,"",J85)</f>
        <v>Расчётным путём</v>
      </c>
      <c r="N85" s="965" t="str">
        <f>IF(K85=0,"",K85)</f>
        <v/>
      </c>
      <c r="O85" s="1078" t="s">
        <v>2105</v>
      </c>
      <c r="P85" s="1078"/>
      <c r="Q85" s="1078"/>
      <c r="R85" s="1078"/>
      <c r="S85" s="1078"/>
      <c r="T85" s="964" t="s">
        <v>2217</v>
      </c>
      <c r="U85" s="964"/>
      <c r="V85" s="964"/>
      <c r="W85" s="964"/>
      <c r="X85" s="964"/>
      <c r="Y85" s="1121"/>
      <c r="Z85" s="967"/>
      <c r="AA85" s="970"/>
      <c r="AB85" s="967"/>
      <c r="AC85" s="967"/>
      <c r="AD85" s="967"/>
    </row>
    <row customHeight="1" ht="27">
      <c r="A86" s="966"/>
      <c r="B86" s="1020">
        <v>69</v>
      </c>
      <c r="C86" s="964"/>
      <c r="D86" s="1088"/>
      <c r="E86" s="964"/>
      <c r="F86" s="964"/>
      <c r="G86" s="964"/>
      <c r="H86" s="1012"/>
      <c r="I86" s="1126" t="str">
        <f>INDEX(TEMPLATE_NUMBER_POINT_FHD,B86,MATCH(TEMPLATE_SPHERE,TEMPLATE_SPHERE_LIST_FOR_NOTE,0))</f>
        <v>10.3</v>
      </c>
      <c r="J86" s="1126" t="str">
        <f>INDEX(TEMPLATE_DATA_POINT_FHD,B86,MATCH(TEMPLATE_SPHERE,TEMPLATE_SPHERE_LIST_FOR_NOTE,0))</f>
        <v>По нормативам потребления коммунальных услуг и нормативам потребления коммунальных ресурсов</v>
      </c>
      <c r="K86" s="1126">
        <f>INDEX(TEMPLATE_NOTE_POINT_FHD,B86,MATCH(TEMPLATE_SPHERE,TEMPLATE_SPHERE_LIST_FOR_NOTE,0))</f>
        <v>0</v>
      </c>
      <c r="L86" s="965" t="str">
        <f>IF(I86=0,"",I86)</f>
        <v>10.3</v>
      </c>
      <c r="M86" s="965" t="str">
        <f>IF(J86=0,"",J86)</f>
        <v>По нормативам потребления коммунальных услуг и нормативам потребления коммунальных ресурсов</v>
      </c>
      <c r="N86" s="965" t="str">
        <f>IF(K86=0,"",K86)</f>
        <v/>
      </c>
      <c r="O86" s="1078" t="s">
        <v>2218</v>
      </c>
      <c r="P86" s="1078"/>
      <c r="Q86" s="1078"/>
      <c r="R86" s="1078"/>
      <c r="S86" s="1078"/>
      <c r="T86" s="964" t="s">
        <v>2219</v>
      </c>
      <c r="U86" s="964"/>
      <c r="V86" s="964"/>
      <c r="W86" s="964"/>
      <c r="X86" s="964"/>
      <c r="Y86" s="1121"/>
      <c r="Z86" s="967"/>
      <c r="AA86" s="970"/>
      <c r="AB86" s="967"/>
      <c r="AC86" s="967"/>
      <c r="AD86" s="967"/>
    </row>
    <row customHeight="1" ht="36">
      <c r="A87" s="966"/>
      <c r="B87" s="1020">
        <v>70</v>
      </c>
      <c r="C87" s="964" t="s">
        <v>2220</v>
      </c>
      <c r="D87" s="1088"/>
      <c r="E87" s="964"/>
      <c r="F87" s="964"/>
      <c r="G87" s="964"/>
      <c r="H87" s="1012"/>
      <c r="I87" s="1126" t="str">
        <f>INDEX(TEMPLATE_NUMBER_POINT_FHD,B87,MATCH(TEMPLATE_SPHERE,TEMPLATE_SPHERE_LIST_FOR_NOTE,0))</f>
        <v>11</v>
      </c>
      <c r="J87" s="11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6">
        <f>INDEX(TEMPLATE_NOTE_POINT_FHD,B87,MATCH(TEMPLATE_SPHERE,TEMPLATE_SPHERE_LIST_FOR_NOTE,0))</f>
        <v>0</v>
      </c>
      <c r="L87" s="965" t="str">
        <f>IF(I87=0,"",I87)</f>
        <v>11</v>
      </c>
      <c r="M87" s="96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5" t="str">
        <f>IF(K87=0,"",K87)</f>
        <v/>
      </c>
      <c r="O87" s="1078" t="s">
        <v>163</v>
      </c>
      <c r="P87" s="1078"/>
      <c r="Q87" s="1078"/>
      <c r="R87" s="1078"/>
      <c r="S87" s="1078"/>
      <c r="T87" s="964" t="s">
        <v>2221</v>
      </c>
      <c r="U87" s="964"/>
      <c r="V87" s="964"/>
      <c r="W87" s="964"/>
      <c r="X87" s="964"/>
      <c r="Y87" s="1121"/>
      <c r="Z87" s="967"/>
      <c r="AA87" s="970"/>
      <c r="AB87" s="967"/>
      <c r="AC87" s="967"/>
      <c r="AD87" s="967"/>
    </row>
    <row customHeight="1" ht="18">
      <c r="A88" s="966"/>
      <c r="B88" s="1020">
        <v>71</v>
      </c>
      <c r="C88" s="964" t="s">
        <v>2222</v>
      </c>
      <c r="D88" s="1088"/>
      <c r="E88" s="964"/>
      <c r="F88" s="964"/>
      <c r="G88" s="964"/>
      <c r="H88" s="1012"/>
      <c r="I88" s="1126" t="str">
        <f>INDEX(TEMPLATE_NUMBER_POINT_FHD,B88,MATCH(TEMPLATE_SPHERE,TEMPLATE_SPHERE_LIST_FOR_NOTE,0))</f>
        <v>12</v>
      </c>
      <c r="J88" s="1126" t="str">
        <f>INDEX(TEMPLATE_DATA_POINT_FHD,B88,MATCH(TEMPLATE_SPHERE,TEMPLATE_SPHERE_LIST_FOR_NOTE,0))</f>
        <v>Фактический объем потерь при передаче тепловой энергии</v>
      </c>
      <c r="K88" s="1126">
        <f>INDEX(TEMPLATE_NOTE_POINT_FHD,B88,MATCH(TEMPLATE_SPHERE,TEMPLATE_SPHERE_LIST_FOR_NOTE,0))</f>
        <v>0</v>
      </c>
      <c r="L88" s="965" t="str">
        <f>IF(I88=0,"",I88)</f>
        <v>12</v>
      </c>
      <c r="M88" s="965" t="str">
        <f>IF(J88=0,"",J88)</f>
        <v>Фактический объем потерь при передаче тепловой энергии</v>
      </c>
      <c r="N88" s="965" t="str">
        <f>IF(K88=0,"",K88)</f>
        <v/>
      </c>
      <c r="O88" s="1078" t="s">
        <v>164</v>
      </c>
      <c r="P88" s="1078"/>
      <c r="Q88" s="1078"/>
      <c r="R88" s="1078"/>
      <c r="S88" s="1078"/>
      <c r="T88" s="964" t="s">
        <v>688</v>
      </c>
      <c r="U88" s="964"/>
      <c r="V88" s="964"/>
      <c r="W88" s="964"/>
      <c r="X88" s="964"/>
      <c r="Y88" s="1121"/>
      <c r="Z88" s="967"/>
      <c r="AA88" s="970"/>
      <c r="AB88" s="967"/>
      <c r="AC88" s="967"/>
      <c r="AD88" s="967"/>
    </row>
    <row customHeight="1" ht="18">
      <c r="A89" s="966"/>
      <c r="B89" s="1020">
        <v>72</v>
      </c>
      <c r="C89" s="964" t="s">
        <v>2223</v>
      </c>
      <c r="D89" s="1088" t="s">
        <v>2220</v>
      </c>
      <c r="E89" s="964" t="s">
        <v>2220</v>
      </c>
      <c r="F89" s="964" t="s">
        <v>2186</v>
      </c>
      <c r="G89" s="964"/>
      <c r="H89" s="1012"/>
      <c r="I89" s="1126" t="str">
        <f>INDEX(TEMPLATE_NUMBER_POINT_FHD,B89,MATCH(TEMPLATE_SPHERE,TEMPLATE_SPHERE_LIST_FOR_NOTE,0))</f>
        <v>13</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13</v>
      </c>
      <c r="M89" s="965" t="str">
        <f>IF(J89=0,"",J89)</f>
        <v>Среднесписочная численность основного производственного персонала</v>
      </c>
      <c r="N89" s="965" t="str">
        <f>IF(K89=0,"",K89)</f>
        <v/>
      </c>
      <c r="O89" s="1078" t="s">
        <v>165</v>
      </c>
      <c r="P89" s="1078" t="s">
        <v>164</v>
      </c>
      <c r="Q89" s="1078" t="s">
        <v>164</v>
      </c>
      <c r="R89" s="1078" t="s">
        <v>162</v>
      </c>
      <c r="S89" s="1078"/>
      <c r="T89" s="964" t="s">
        <v>696</v>
      </c>
      <c r="U89" s="964" t="s">
        <v>696</v>
      </c>
      <c r="V89" s="964" t="s">
        <v>696</v>
      </c>
      <c r="W89" s="964" t="s">
        <v>696</v>
      </c>
      <c r="X89" s="964"/>
      <c r="Y89" s="1121"/>
      <c r="Z89" s="967"/>
      <c r="AA89" s="970"/>
      <c r="AB89" s="967"/>
      <c r="AC89" s="967"/>
      <c r="AD89" s="967"/>
    </row>
    <row customHeight="1" ht="27">
      <c r="A90" s="966"/>
      <c r="B90" s="1020">
        <v>73</v>
      </c>
      <c r="C90" s="964" t="s">
        <v>2224</v>
      </c>
      <c r="D90" s="1088"/>
      <c r="E90" s="964"/>
      <c r="F90" s="964"/>
      <c r="G90" s="964"/>
      <c r="H90" s="1012"/>
      <c r="I90" s="1126" t="str">
        <f>INDEX(TEMPLATE_NUMBER_POINT_FHD,B90,MATCH(TEMPLATE_SPHERE,TEMPLATE_SPHERE_LIST_FOR_NOTE,0))</f>
        <v>14</v>
      </c>
      <c r="J90" s="1126" t="str">
        <f>INDEX(TEMPLATE_DATA_POINT_FHD,B90,MATCH(TEMPLATE_SPHERE,TEMPLATE_SPHERE_LIST_FOR_NOTE,0))</f>
        <v>Среднесписочная численность административно-управленческого персонала</v>
      </c>
      <c r="K90" s="1126">
        <f>INDEX(TEMPLATE_NOTE_POINT_FHD,B90,MATCH(TEMPLATE_SPHERE,TEMPLATE_SPHERE_LIST_FOR_NOTE,0))</f>
        <v>0</v>
      </c>
      <c r="L90" s="965" t="str">
        <f>IF(I90=0,"",I90)</f>
        <v>14</v>
      </c>
      <c r="M90" s="965" t="str">
        <f>IF(J90=0,"",J90)</f>
        <v>Среднесписочная численность административно-управленческого персонала</v>
      </c>
      <c r="N90" s="965" t="str">
        <f>IF(K90=0,"",K90)</f>
        <v/>
      </c>
      <c r="O90" s="1078" t="s">
        <v>166</v>
      </c>
      <c r="P90" s="1078"/>
      <c r="Q90" s="1078"/>
      <c r="R90" s="1078"/>
      <c r="S90" s="1078"/>
      <c r="T90" s="964" t="s">
        <v>698</v>
      </c>
      <c r="U90" s="964"/>
      <c r="V90" s="964"/>
      <c r="W90" s="964"/>
      <c r="X90" s="964"/>
      <c r="Y90" s="1121"/>
      <c r="Z90" s="967"/>
      <c r="AA90" s="970"/>
      <c r="AB90" s="967"/>
      <c r="AC90" s="967"/>
      <c r="AD90" s="967"/>
    </row>
    <row customHeight="1" ht="18">
      <c r="A91" s="966"/>
      <c r="B91" s="1020">
        <v>74</v>
      </c>
      <c r="C91" s="964"/>
      <c r="D91" s="1088" t="s">
        <v>2222</v>
      </c>
      <c r="E91" s="964" t="s">
        <v>2222</v>
      </c>
      <c r="F91" s="964"/>
      <c r="G91" s="964"/>
      <c r="H91" s="1012"/>
      <c r="I91" s="1126">
        <f>INDEX(TEMPLATE_NUMBER_POINT_FHD,B91,MATCH(TEMPLATE_SPHERE,TEMPLATE_SPHERE_LIST_FOR_NOTE,0))</f>
        <v>0</v>
      </c>
      <c r="J91" s="1126">
        <f>INDEX(TEMPLATE_DATA_POINT_FHD,B91,MATCH(TEMPLATE_SPHERE,TEMPLATE_SPHERE_LIST_FOR_NOTE,0))</f>
        <v>0</v>
      </c>
      <c r="K91" s="1126">
        <f>INDEX(TEMPLATE_NOTE_POINT_FHD,B91,MATCH(TEMPLATE_SPHERE,TEMPLATE_SPHERE_LIST_FOR_NOTE,0))</f>
        <v>0</v>
      </c>
      <c r="L91" s="965" t="str">
        <f>IF(I91=0,"",I91)</f>
        <v/>
      </c>
      <c r="M91" s="965" t="str">
        <f>IF(J91=0,"",J91)</f>
        <v/>
      </c>
      <c r="N91" s="965" t="str">
        <f>IF(K91=0,"",K91)</f>
        <v/>
      </c>
      <c r="O91" s="1078"/>
      <c r="P91" s="1078" t="s">
        <v>165</v>
      </c>
      <c r="Q91" s="1078" t="s">
        <v>165</v>
      </c>
      <c r="R91" s="1078"/>
      <c r="S91" s="1078"/>
      <c r="T91" s="964"/>
      <c r="U91" s="964" t="s">
        <v>2225</v>
      </c>
      <c r="V91" s="964" t="s">
        <v>2225</v>
      </c>
      <c r="W91" s="964"/>
      <c r="X91" s="964"/>
      <c r="Y91" s="1121"/>
      <c r="Z91" s="967"/>
      <c r="AA91" s="970"/>
      <c r="AB91" s="967"/>
      <c r="AC91" s="967"/>
      <c r="AD91" s="967"/>
    </row>
    <row customHeight="1" ht="27">
      <c r="A92" s="966"/>
      <c r="B92" s="1020">
        <v>75</v>
      </c>
      <c r="C92" s="964"/>
      <c r="D92" s="1088" t="s">
        <v>2223</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166</v>
      </c>
      <c r="Q92" s="1078"/>
      <c r="R92" s="1078"/>
      <c r="S92" s="1078"/>
      <c r="T92" s="964"/>
      <c r="U92" s="964" t="s">
        <v>2226</v>
      </c>
      <c r="V92" s="964"/>
      <c r="W92" s="964"/>
      <c r="X92" s="964"/>
      <c r="Y92" s="1121"/>
      <c r="Z92" s="967"/>
      <c r="AA92" s="970" t="s">
        <v>2227</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2133</v>
      </c>
      <c r="Q93" s="1078"/>
      <c r="R93" s="1078"/>
      <c r="S93" s="1078"/>
      <c r="T93" s="964"/>
      <c r="U93" s="964" t="s">
        <v>2228</v>
      </c>
      <c r="V93" s="964"/>
      <c r="W93" s="964"/>
      <c r="X93" s="964"/>
      <c r="Y93" s="1121"/>
      <c r="Z93" s="967"/>
      <c r="AA93" s="970" t="s">
        <v>2229</v>
      </c>
      <c r="AB93" s="967"/>
      <c r="AC93" s="967"/>
      <c r="AD93" s="967"/>
    </row>
    <row customHeight="1" ht="45">
      <c r="A94" s="966"/>
      <c r="B94" s="1020">
        <v>77</v>
      </c>
      <c r="C94" s="964"/>
      <c r="D94" s="1088" t="s">
        <v>2224</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1489</v>
      </c>
      <c r="Q94" s="1078"/>
      <c r="R94" s="1078"/>
      <c r="S94" s="1078"/>
      <c r="T94" s="964"/>
      <c r="U94" s="964" t="s">
        <v>2230</v>
      </c>
      <c r="V94" s="964"/>
      <c r="W94" s="964"/>
      <c r="X94" s="964"/>
      <c r="Y94" s="1121"/>
      <c r="Z94" s="967"/>
      <c r="AA94" s="970" t="s">
        <v>2231</v>
      </c>
      <c r="AB94" s="967"/>
      <c r="AC94" s="967"/>
      <c r="AD94" s="967"/>
    </row>
    <row customHeight="1" ht="99">
      <c r="A95" s="966"/>
      <c r="B95" s="1020">
        <v>78</v>
      </c>
      <c r="C95" s="964" t="s">
        <v>2232</v>
      </c>
      <c r="D95" s="1088"/>
      <c r="E95" s="964"/>
      <c r="F95" s="964"/>
      <c r="G95" s="964"/>
      <c r="H95" s="1012"/>
      <c r="I95" s="1126" t="str">
        <f>INDEX(TEMPLATE_NUMBER_POINT_FHD,B95,MATCH(TEMPLATE_SPHERE,TEMPLATE_SPHERE_LIST_FOR_NOTE,0))</f>
        <v>15</v>
      </c>
      <c r="J95" s="11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6">
        <f>INDEX(TEMPLATE_NOTE_POINT_FHD,B95,MATCH(TEMPLATE_SPHERE,TEMPLATE_SPHERE_LIST_FOR_NOTE,0))</f>
        <v>0</v>
      </c>
      <c r="L95" s="965" t="str">
        <f>IF(I95=0,"",I95)</f>
        <v>15</v>
      </c>
      <c r="M95" s="96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5" t="str">
        <f>IF(K95=0,"",K95)</f>
        <v/>
      </c>
      <c r="O95" s="1078" t="s">
        <v>1489</v>
      </c>
      <c r="P95" s="1078"/>
      <c r="Q95" s="1078"/>
      <c r="R95" s="1078"/>
      <c r="S95" s="1078"/>
      <c r="T95" s="964" t="s">
        <v>2233</v>
      </c>
      <c r="U95" s="964"/>
      <c r="V95" s="964"/>
      <c r="W95" s="964"/>
      <c r="X95" s="964"/>
      <c r="Y95" s="1121"/>
      <c r="Z95" s="967"/>
      <c r="AA95" s="970"/>
      <c r="AB95" s="967"/>
      <c r="AC95" s="967"/>
      <c r="AD95" s="967"/>
    </row>
    <row customHeight="1" ht="99">
      <c r="A96" s="966"/>
      <c r="B96" s="1020">
        <v>79</v>
      </c>
      <c r="C96" s="964" t="s">
        <v>1169</v>
      </c>
      <c r="D96" s="1088"/>
      <c r="E96" s="964"/>
      <c r="F96" s="964"/>
      <c r="G96" s="964"/>
      <c r="H96" s="1012"/>
      <c r="I96" s="1126" t="str">
        <f>INDEX(TEMPLATE_NUMBER_POINT_FHD,B96,MATCH(TEMPLATE_SPHERE,TEMPLATE_SPHERE_LIST_FOR_NOTE,0))</f>
        <v>16</v>
      </c>
      <c r="J96" s="11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5" t="str">
        <f>IF(I96=0,"",I96)</f>
        <v>16</v>
      </c>
      <c r="M96" s="96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8" t="s">
        <v>1495</v>
      </c>
      <c r="P96" s="1078"/>
      <c r="Q96" s="1078"/>
      <c r="R96" s="1078"/>
      <c r="S96" s="1078"/>
      <c r="T96" s="964" t="s">
        <v>2234</v>
      </c>
      <c r="U96" s="964"/>
      <c r="V96" s="964"/>
      <c r="W96" s="964"/>
      <c r="X96" s="964"/>
      <c r="Y96" s="1121"/>
      <c r="Z96" s="967" t="s">
        <v>2235</v>
      </c>
      <c r="AA96" s="970"/>
      <c r="AB96" s="967"/>
      <c r="AC96" s="967"/>
      <c r="AD96" s="967"/>
    </row>
    <row customHeight="1" ht="63">
      <c r="A97" s="966"/>
      <c r="B97" s="1020">
        <v>80</v>
      </c>
      <c r="C97" s="964" t="s">
        <v>2236</v>
      </c>
      <c r="D97" s="1088"/>
      <c r="E97" s="964"/>
      <c r="F97" s="964"/>
      <c r="G97" s="964"/>
      <c r="H97" s="1012"/>
      <c r="I97" s="1126" t="str">
        <f>INDEX(TEMPLATE_NUMBER_POINT_FHD,B97,MATCH(TEMPLATE_SPHERE,TEMPLATE_SPHERE_LIST_FOR_NOTE,0))</f>
        <v>17</v>
      </c>
      <c r="J97" s="11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5" t="str">
        <f>IF(I97=0,"",I97)</f>
        <v>17</v>
      </c>
      <c r="M97" s="96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5" t="str">
        <f>IF(K97=0,"",K97)</f>
        <v>Регулируемыми организациями указывается информация с по договорам, заключенным в рамках осуществления регулируемой деятельности.</v>
      </c>
      <c r="O97" s="1078" t="s">
        <v>1507</v>
      </c>
      <c r="P97" s="1078"/>
      <c r="Q97" s="1078"/>
      <c r="R97" s="1078"/>
      <c r="S97" s="1078"/>
      <c r="T97" s="964" t="s">
        <v>2237</v>
      </c>
      <c r="U97" s="964"/>
      <c r="V97" s="964"/>
      <c r="W97" s="964"/>
      <c r="X97" s="964"/>
      <c r="Y97" s="1121"/>
      <c r="Z97" s="967" t="s">
        <v>2238</v>
      </c>
      <c r="AA97" s="970"/>
      <c r="AB97" s="967"/>
      <c r="AC97" s="967"/>
      <c r="AD97" s="967"/>
    </row>
    <row customHeight="1" ht="63">
      <c r="A98" s="966"/>
      <c r="B98" s="1020">
        <v>81</v>
      </c>
      <c r="C98" s="964" t="s">
        <v>2239</v>
      </c>
      <c r="D98" s="1088"/>
      <c r="E98" s="964"/>
      <c r="F98" s="964"/>
      <c r="G98" s="964"/>
      <c r="H98" s="1012"/>
      <c r="I98" s="1126" t="str">
        <f>INDEX(TEMPLATE_NUMBER_POINT_FHD,B98,MATCH(TEMPLATE_SPHERE,TEMPLATE_SPHERE_LIST_FOR_NOTE,0))</f>
        <v>18</v>
      </c>
      <c r="J98" s="11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5" t="str">
        <f>IF(I98=0,"",I98)</f>
        <v>18</v>
      </c>
      <c r="M98" s="96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5" t="str">
        <f>IF(K98=0,"",K98)</f>
        <v>Регулируемыми организациями указывается информация с по договорам, заключенным в рамках осуществления регулируемой деятельности.</v>
      </c>
      <c r="O98" s="1078" t="s">
        <v>1521</v>
      </c>
      <c r="P98" s="1078"/>
      <c r="Q98" s="1078"/>
      <c r="R98" s="1078"/>
      <c r="S98" s="1078"/>
      <c r="T98" s="964" t="s">
        <v>2240</v>
      </c>
      <c r="U98" s="964"/>
      <c r="V98" s="964"/>
      <c r="W98" s="964"/>
      <c r="X98" s="964"/>
      <c r="Y98" s="1121"/>
      <c r="Z98" s="967" t="s">
        <v>2238</v>
      </c>
      <c r="AA98" s="970"/>
      <c r="AB98" s="967"/>
      <c r="AC98" s="967"/>
      <c r="AD98" s="967"/>
    </row>
    <row customHeight="1" ht="90">
      <c r="A99" s="966"/>
      <c r="B99" s="1020">
        <v>82</v>
      </c>
      <c r="C99" s="964" t="s">
        <v>2241</v>
      </c>
      <c r="D99" s="1088"/>
      <c r="E99" s="964"/>
      <c r="F99" s="964"/>
      <c r="G99" s="964"/>
      <c r="H99" s="1012"/>
      <c r="I99" s="1126" t="str">
        <f>INDEX(TEMPLATE_NUMBER_POINT_FHD,B99,MATCH(TEMPLATE_SPHERE,TEMPLATE_SPHERE_LIST_FOR_NOTE,0))</f>
        <v>19</v>
      </c>
      <c r="J99" s="11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6" t="str">
        <f>INDEX(TEMPLATE_NOTE_POINT_FHD,B99,MATCH(TEMPLATE_SPHERE,TEMPLATE_SPHERE_LIST_FOR_NOTE,0))</f>
        <v>Указывается ссылка на документ, предварительно загруженный в хранилище файлов ФГИС ЕИАС.</v>
      </c>
      <c r="L99" s="965" t="str">
        <f>IF(I99=0,"",I99)</f>
        <v>19</v>
      </c>
      <c r="M99" s="96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5" t="str">
        <f>IF(K99=0,"",K99)</f>
        <v>Указывается ссылка на документ, предварительно загруженный в хранилище файлов ФГИС ЕИАС.</v>
      </c>
      <c r="O99" s="1078" t="s">
        <v>1533</v>
      </c>
      <c r="P99" s="1078"/>
      <c r="Q99" s="1078"/>
      <c r="R99" s="1078"/>
      <c r="S99" s="1078"/>
      <c r="T99" s="964" t="s">
        <v>2242</v>
      </c>
      <c r="U99" s="964"/>
      <c r="V99" s="964"/>
      <c r="W99" s="964"/>
      <c r="X99" s="964"/>
      <c r="Y99" s="1121"/>
      <c r="Z99" s="967" t="s">
        <v>653</v>
      </c>
      <c r="AA99" s="970"/>
      <c r="AB99" s="967"/>
      <c r="AC99" s="967"/>
      <c r="AD99" s="967"/>
    </row>
    <row customHeight="1" ht="27">
      <c r="A100" s="966"/>
      <c r="B100" s="1020">
        <v>83</v>
      </c>
      <c r="C100" s="964"/>
      <c r="D100" s="1088"/>
      <c r="E100" s="964"/>
      <c r="F100" s="964"/>
      <c r="G100" s="964"/>
      <c r="H100" s="1012"/>
      <c r="I100" s="1126" t="str">
        <f>INDEX(TEMPLATE_NUMBER_POINT_FHD,B100,MATCH(TEMPLATE_SPHERE,TEMPLATE_SPHERE_LIST_FOR_NOTE,0))</f>
        <v>19.1</v>
      </c>
      <c r="J100" s="1126" t="str">
        <f>INDEX(TEMPLATE_DATA_POINT_FHD,B100,MATCH(TEMPLATE_SPHERE,TEMPLATE_SPHERE_LIST_FOR_NOTE,0))</f>
        <v>Информация о показателях физического износа объектов теплоснабжения</v>
      </c>
      <c r="K100" s="1126" t="str">
        <f>INDEX(TEMPLATE_NOTE_POINT_FHD,B100,MATCH(TEMPLATE_SPHERE,TEMPLATE_SPHERE_LIST_FOR_NOTE,0))</f>
        <v>Указывается ссылка на документ, предварительно загруженный в хранилище файлов ФГИС ЕИАС.</v>
      </c>
      <c r="L100" s="965" t="str">
        <f>IF(I100=0,"",I100)</f>
        <v>19.1</v>
      </c>
      <c r="M100" s="965" t="str">
        <f>IF(J100=0,"",J100)</f>
        <v>Информация о показателях физического износа объектов теплоснабжения</v>
      </c>
      <c r="N100" s="965" t="str">
        <f>IF(K100=0,"",K100)</f>
        <v>Указывается ссылка на документ, предварительно загруженный в хранилище файлов ФГИС ЕИАС.</v>
      </c>
      <c r="O100" s="1078" t="s">
        <v>2243</v>
      </c>
      <c r="P100" s="1078"/>
      <c r="Q100" s="1078"/>
      <c r="R100" s="1078"/>
      <c r="S100" s="1078"/>
      <c r="T100" s="964" t="s">
        <v>2244</v>
      </c>
      <c r="U100" s="964"/>
      <c r="V100" s="964"/>
      <c r="W100" s="964"/>
      <c r="X100" s="964"/>
      <c r="Y100" s="1121"/>
      <c r="Z100" s="967" t="s">
        <v>653</v>
      </c>
      <c r="AA100" s="970"/>
      <c r="AB100" s="967"/>
      <c r="AC100" s="967"/>
      <c r="AD100" s="967"/>
    </row>
    <row customHeight="1" ht="27">
      <c r="A101" s="966"/>
      <c r="B101" s="1020">
        <v>84</v>
      </c>
      <c r="C101" s="964"/>
      <c r="D101" s="1088"/>
      <c r="E101" s="964"/>
      <c r="F101" s="964"/>
      <c r="G101" s="964"/>
      <c r="H101" s="1012"/>
      <c r="I101" s="1126" t="str">
        <f>INDEX(TEMPLATE_NUMBER_POINT_FHD,B101,MATCH(TEMPLATE_SPHERE,TEMPLATE_SPHERE_LIST_FOR_NOTE,0))</f>
        <v>19.2</v>
      </c>
      <c r="J101" s="1126" t="str">
        <f>INDEX(TEMPLATE_DATA_POINT_FHD,B101,MATCH(TEMPLATE_SPHERE,TEMPLATE_SPHERE_LIST_FOR_NOTE,0))</f>
        <v>Информация о показателях энергетической эффективности объектов теплоснабжения</v>
      </c>
      <c r="K101" s="1126" t="str">
        <f>INDEX(TEMPLATE_NOTE_POINT_FHD,B101,MATCH(TEMPLATE_SPHERE,TEMPLATE_SPHERE_LIST_FOR_NOTE,0))</f>
        <v>Указывается ссылка на документ, предварительно загруженный в хранилище файлов ФГИС ЕИАС.</v>
      </c>
      <c r="L101" s="965" t="str">
        <f>IF(I101=0,"",I101)</f>
        <v>19.2</v>
      </c>
      <c r="M101" s="965" t="str">
        <f>IF(J101=0,"",J101)</f>
        <v>Информация о показателях энергетической эффективности объектов теплоснабжения</v>
      </c>
      <c r="N101" s="965" t="str">
        <f>IF(K101=0,"",K101)</f>
        <v>Указывается ссылка на документ, предварительно загруженный в хранилище файлов ФГИС ЕИАС.</v>
      </c>
      <c r="O101" s="1078" t="s">
        <v>2245</v>
      </c>
      <c r="P101" s="1078"/>
      <c r="Q101" s="1078"/>
      <c r="R101" s="1078"/>
      <c r="S101" s="1078"/>
      <c r="T101" s="964" t="s">
        <v>2246</v>
      </c>
      <c r="U101" s="964"/>
      <c r="V101" s="964"/>
      <c r="W101" s="964"/>
      <c r="X101" s="964"/>
      <c r="Y101" s="1121"/>
      <c r="Z101" s="967" t="s">
        <v>653</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1684</v>
      </c>
      <c r="B148" s="966"/>
      <c r="C148" s="964" t="s">
        <v>2247</v>
      </c>
      <c r="D148" s="964" t="s">
        <v>1589</v>
      </c>
      <c r="E148" s="964" t="s">
        <v>1686</v>
      </c>
      <c r="F148" s="964" t="s">
        <v>2248</v>
      </c>
      <c r="G148" s="964"/>
      <c r="H148" s="964"/>
      <c r="I148" s="1084"/>
      <c r="J148" s="1084"/>
      <c r="K148" s="1084"/>
      <c r="L148" s="1084"/>
      <c r="M148" s="10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9"/>
      <c r="O148" s="964"/>
      <c r="P148" s="965"/>
      <c r="Q148" s="965"/>
      <c r="R148" s="965"/>
      <c r="S148" s="964"/>
      <c r="T148" s="964" t="s">
        <v>2249</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5"/>
      <c r="W148" s="965"/>
      <c r="X148" s="964" t="s">
        <v>2250</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1688</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1691</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1695</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2E09-6EA6-D9DA-EB2F-0.0FE7803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669" width="10.57421875" hidden="1"/>
    <col min="2" max="2" style="7669" width="11.00390625" hidden="1" customWidth="1"/>
    <col min="3" max="3" style="7669" width="10.57421875" hidden="1"/>
    <col min="4" max="4" style="7669" width="11.8515625" hidden="1" customWidth="1"/>
    <col min="5" max="5" style="7669" width="12.28125" hidden="1" customWidth="1"/>
    <col min="6" max="8" style="6894" width="12.28125" hidden="1" customWidth="1"/>
    <col min="9" max="9" style="8429" width="3.00390625" customWidth="1"/>
    <col min="10" max="11" style="7739" width="3.00390625" customWidth="1"/>
    <col min="12" max="12" style="8401" width="12.00390625" customWidth="1"/>
    <col min="13" max="13" style="7720" width="31.00390625" customWidth="1"/>
    <col min="14" max="14" style="7720" width="1.00390625" customWidth="1"/>
    <col min="15" max="18" style="7720" width="24.00390625" customWidth="1"/>
    <col min="19" max="19" style="7720" width="11.00390625" customWidth="1"/>
    <col min="20" max="20" style="7720" width="3.7109375" customWidth="1"/>
    <col min="21" max="21" style="7720" width="11.00390625" customWidth="1"/>
    <col min="22" max="22" style="7720" width="8.57421875" customWidth="1"/>
    <col min="23" max="23" style="7720" width="4.00390625" customWidth="1"/>
    <col min="24" max="24" style="7720" width="115.00390625" customWidth="1"/>
    <col min="25" max="29" style="7217" width="10.00390625" customWidth="1"/>
    <col min="30" max="30" style="7720"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4" t="s">
        <v>2251</v>
      </c>
      <c r="M5" s="2724"/>
      <c r="N5" s="2724"/>
      <c r="O5" s="2724"/>
      <c r="P5" s="2724"/>
      <c r="Q5" s="2724"/>
      <c r="R5" s="2724"/>
      <c r="S5" s="2724"/>
      <c r="T5" s="2724"/>
      <c r="U5" s="2724"/>
      <c r="V5" s="1364"/>
      <c r="AD5" s="1276">
        <v>64</v>
      </c>
    </row>
    <row customHeight="1" ht="14.699999999999998">
      <c r="J6" s="497"/>
      <c r="K6" s="497"/>
      <c r="L6" s="2725" t="str">
        <f>IF(org=0,"Не определено",org)</f>
        <v>ПАО "ТГК-1" филиал "Невский"</v>
      </c>
      <c r="M6" s="2725"/>
      <c r="N6" s="2725"/>
      <c r="O6" s="2725"/>
      <c r="P6" s="2725"/>
      <c r="Q6" s="2725"/>
      <c r="R6" s="2725"/>
      <c r="S6" s="2725"/>
      <c r="T6" s="2725"/>
      <c r="U6" s="2725"/>
      <c r="V6" s="1364"/>
      <c r="AD6" s="1276">
        <v>14</v>
      </c>
    </row>
    <row customHeight="1" ht="14.699999999999998">
      <c r="J7" s="497"/>
      <c r="K7" s="497"/>
      <c r="L7" s="1396"/>
      <c r="M7" s="484"/>
      <c r="N7" s="484"/>
      <c r="O7" s="443"/>
      <c r="P7" s="443"/>
      <c r="Q7" s="443"/>
      <c r="R7" s="443"/>
      <c r="S7" s="443"/>
      <c r="T7" s="443"/>
      <c r="U7" s="443"/>
      <c r="V7" s="443"/>
      <c r="W7" s="630"/>
      <c r="AD7" s="1276">
        <v>14</v>
      </c>
    </row>
    <row s="8300" customFormat="1" customHeight="1" ht="48.29999999999999">
      <c r="A8" s="1489"/>
      <c r="B8" s="1489"/>
      <c r="C8" s="1489"/>
      <c r="D8" s="1489"/>
      <c r="E8" s="1489"/>
      <c r="F8" s="1489"/>
      <c r="G8" s="1489"/>
      <c r="H8" s="1489"/>
      <c r="L8" s="1397"/>
      <c r="M8" s="416" t="s">
        <v>42</v>
      </c>
      <c r="N8" s="425"/>
      <c r="O8" s="2372" t="str">
        <f>IF(TITLE_NAME_OR_PR_CHANGE="",IF(TITLE_NAME_OR_PR="","",TITLE_NAME_OR_PR),TITLE_NAME_OR_PR_CHANGE)</f>
        <v/>
      </c>
      <c r="P8" s="2372"/>
      <c r="Q8" s="2372"/>
      <c r="R8" s="2372"/>
      <c r="S8" s="2372"/>
      <c r="T8" s="2372"/>
      <c r="U8" s="2372"/>
      <c r="V8" s="447"/>
      <c r="W8" s="447"/>
      <c r="X8" s="401"/>
      <c r="Y8" s="489"/>
      <c r="Z8" s="489"/>
      <c r="AA8" s="489"/>
      <c r="AB8" s="489"/>
      <c r="AC8" s="489"/>
      <c r="AD8" s="539">
        <v>46</v>
      </c>
    </row>
    <row s="8300" customFormat="1" customHeight="1" ht="24">
      <c r="A9" s="1489"/>
      <c r="B9" s="1489"/>
      <c r="C9" s="1489"/>
      <c r="D9" s="1489"/>
      <c r="E9" s="1489"/>
      <c r="F9" s="1489"/>
      <c r="G9" s="1489"/>
      <c r="H9" s="1489"/>
      <c r="L9" s="1397"/>
      <c r="M9" s="416" t="s">
        <v>444</v>
      </c>
      <c r="N9" s="425"/>
      <c r="O9" s="2372" t="str">
        <f>IF(TITLE_DATE_CHANGE_PERIOD="",IF(TITLE_DATE_PR="","",TITLE_DATE_PR),TITLE_DATE_CHANGE_PERIOD)</f>
        <v>45777</v>
      </c>
      <c r="P9" s="2372"/>
      <c r="Q9" s="2372"/>
      <c r="R9" s="2372"/>
      <c r="S9" s="2372"/>
      <c r="T9" s="2372"/>
      <c r="U9" s="2372"/>
      <c r="V9" s="447"/>
      <c r="W9" s="447"/>
      <c r="X9" s="401"/>
      <c r="Y9" s="489"/>
      <c r="Z9" s="489"/>
      <c r="AA9" s="489"/>
      <c r="AB9" s="489"/>
      <c r="AC9" s="489"/>
      <c r="AD9" s="539">
        <v>23</v>
      </c>
    </row>
    <row s="8300" customFormat="1" customHeight="1" ht="24">
      <c r="A10" s="1489"/>
      <c r="B10" s="1489"/>
      <c r="C10" s="1489"/>
      <c r="D10" s="1489"/>
      <c r="E10" s="1489"/>
      <c r="F10" s="1489"/>
      <c r="G10" s="1489"/>
      <c r="H10" s="1489"/>
      <c r="L10" s="1371"/>
      <c r="M10" s="416" t="s">
        <v>445</v>
      </c>
      <c r="N10" s="425"/>
      <c r="O10" s="2372" t="str">
        <f>IF(TITLE_NUMBER_PR_CHANGE="",IF(TITLE_NUMBER_PR="","",TITLE_NUMBER_PR),TITLE_NUMBER_PR_CHANGE)</f>
        <v>33-01/80</v>
      </c>
      <c r="P10" s="2372"/>
      <c r="Q10" s="2372"/>
      <c r="R10" s="2372"/>
      <c r="S10" s="2372"/>
      <c r="T10" s="2372"/>
      <c r="U10" s="2372"/>
      <c r="V10" s="447"/>
      <c r="W10" s="447"/>
      <c r="X10" s="401"/>
      <c r="Y10" s="489"/>
      <c r="Z10" s="489"/>
      <c r="AA10" s="489"/>
      <c r="AB10" s="489"/>
      <c r="AC10" s="489"/>
      <c r="AD10" s="539">
        <v>23</v>
      </c>
    </row>
    <row s="8300" customFormat="1" customHeight="1" ht="24">
      <c r="A11" s="1489"/>
      <c r="B11" s="1489"/>
      <c r="C11" s="1489"/>
      <c r="D11" s="1489"/>
      <c r="E11" s="1489"/>
      <c r="F11" s="1489"/>
      <c r="G11" s="1489"/>
      <c r="H11" s="1489"/>
      <c r="L11" s="1371"/>
      <c r="M11" s="416" t="s">
        <v>43</v>
      </c>
      <c r="N11" s="425"/>
      <c r="O11" s="2372" t="str">
        <f>IF(TITLE_IST_PUB_CHANGE="",IF(TITLE_IST_PUB="","",TITLE_IST_PUB),TITLE_IST_PUB_CHANGE)</f>
        <v/>
      </c>
      <c r="P11" s="2372"/>
      <c r="Q11" s="2372"/>
      <c r="R11" s="2372"/>
      <c r="S11" s="2372"/>
      <c r="T11" s="2372"/>
      <c r="U11" s="2372"/>
      <c r="V11" s="447"/>
      <c r="W11" s="447"/>
      <c r="X11" s="401"/>
      <c r="Y11" s="489"/>
      <c r="Z11" s="489"/>
      <c r="AA11" s="489"/>
      <c r="AB11" s="489"/>
      <c r="AC11" s="489"/>
      <c r="AD11" s="539">
        <v>23</v>
      </c>
    </row>
    <row s="8300" customFormat="1" customHeight="1" ht="11.25" hidden="1">
      <c r="A12" s="1489"/>
      <c r="B12" s="1489"/>
      <c r="C12" s="1489"/>
      <c r="D12" s="1489"/>
      <c r="E12" s="1489"/>
      <c r="F12" s="1489"/>
      <c r="G12" s="1489"/>
      <c r="H12" s="1489"/>
      <c r="L12" s="2726"/>
      <c r="M12" s="2726"/>
      <c r="N12" s="1408"/>
      <c r="O12" s="447"/>
      <c r="P12" s="447"/>
      <c r="Q12" s="447"/>
      <c r="R12" s="447"/>
      <c r="S12" s="447"/>
      <c r="T12" s="447"/>
      <c r="U12" s="447"/>
      <c r="V12" s="399" t="s">
        <v>448</v>
      </c>
      <c r="Y12" s="489"/>
      <c r="Z12" s="489"/>
      <c r="AA12" s="489"/>
      <c r="AB12" s="489"/>
      <c r="AC12" s="489"/>
      <c r="AD12" s="539">
        <v>0</v>
      </c>
    </row>
    <row customHeight="1" ht="14.699999999999998">
      <c r="J13" s="497"/>
      <c r="K13" s="497"/>
      <c r="L13" s="1396"/>
      <c r="M13" s="484"/>
      <c r="N13" s="1365"/>
      <c r="O13" s="2373"/>
      <c r="P13" s="2373"/>
      <c r="Q13" s="2373"/>
      <c r="R13" s="2373"/>
      <c r="S13" s="2373"/>
      <c r="T13" s="2373"/>
      <c r="U13" s="2373"/>
      <c r="V13" s="2373"/>
      <c r="AD13" s="1276">
        <v>14</v>
      </c>
    </row>
    <row customHeight="1" ht="14.699999999999998">
      <c r="J14" s="497"/>
      <c r="K14" s="497"/>
      <c r="L14" s="2248" t="s">
        <v>324</v>
      </c>
      <c r="M14" s="2248"/>
      <c r="N14" s="2248"/>
      <c r="O14" s="2248"/>
      <c r="P14" s="2248"/>
      <c r="Q14" s="2248"/>
      <c r="R14" s="2248"/>
      <c r="S14" s="2248"/>
      <c r="T14" s="2248"/>
      <c r="U14" s="2248"/>
      <c r="V14" s="2248"/>
      <c r="W14" s="2248"/>
      <c r="X14" s="2248" t="s">
        <v>325</v>
      </c>
      <c r="AD14" s="1276">
        <v>14</v>
      </c>
    </row>
    <row customHeight="1" ht="14.699999999999998">
      <c r="J15" s="497"/>
      <c r="K15" s="497"/>
      <c r="L15" s="2394" t="s">
        <v>88</v>
      </c>
      <c r="M15" s="2330" t="s">
        <v>449</v>
      </c>
      <c r="N15" s="422"/>
      <c r="O15" s="2395" t="s">
        <v>2252</v>
      </c>
      <c r="P15" s="2396"/>
      <c r="Q15" s="2396"/>
      <c r="R15" s="2396"/>
      <c r="S15" s="2396"/>
      <c r="T15" s="2396"/>
      <c r="U15" s="2397"/>
      <c r="V15" s="2398" t="s">
        <v>451</v>
      </c>
      <c r="W15" s="2401" t="s">
        <v>1166</v>
      </c>
      <c r="X15" s="2248"/>
      <c r="AD15" s="1276">
        <v>14</v>
      </c>
    </row>
    <row customHeight="1" ht="35.699999999999996">
      <c r="J16" s="497"/>
      <c r="K16" s="497"/>
      <c r="L16" s="2394"/>
      <c r="M16" s="2330"/>
      <c r="N16" s="1152"/>
      <c r="O16" s="2381" t="s">
        <v>454</v>
      </c>
      <c r="P16" s="2381" t="s">
        <v>455</v>
      </c>
      <c r="Q16" s="2383" t="s">
        <v>456</v>
      </c>
      <c r="R16" s="2384"/>
      <c r="S16" s="2383" t="s">
        <v>471</v>
      </c>
      <c r="T16" s="2390"/>
      <c r="U16" s="2384"/>
      <c r="V16" s="2399"/>
      <c r="W16" s="2402"/>
      <c r="X16" s="2248"/>
      <c r="AD16" s="1276">
        <v>34</v>
      </c>
    </row>
    <row customHeight="1" ht="35.699999999999996">
      <c r="A17" s="1491" t="s">
        <v>147</v>
      </c>
      <c r="B17" s="1491" t="s">
        <v>148</v>
      </c>
      <c r="C17" s="1491" t="s">
        <v>149</v>
      </c>
      <c r="D17" s="1491" t="s">
        <v>150</v>
      </c>
      <c r="E17" s="1491"/>
      <c r="J17" s="497"/>
      <c r="K17" s="497"/>
      <c r="L17" s="2394"/>
      <c r="M17" s="2330"/>
      <c r="N17" s="423"/>
      <c r="O17" s="2382"/>
      <c r="P17" s="2382"/>
      <c r="Q17" s="1343" t="s">
        <v>465</v>
      </c>
      <c r="R17" s="1343" t="s">
        <v>466</v>
      </c>
      <c r="S17" s="1413" t="s">
        <v>467</v>
      </c>
      <c r="T17" s="2391" t="s">
        <v>468</v>
      </c>
      <c r="U17" s="2392"/>
      <c r="V17" s="2400"/>
      <c r="W17" s="2403"/>
      <c r="X17" s="2248"/>
      <c r="AD17" s="1276">
        <v>34</v>
      </c>
    </row>
    <row s="6812" customFormat="1" customHeight="1" ht="11.549999999999999">
      <c r="A18" s="1491"/>
      <c r="B18" s="1491"/>
      <c r="C18" s="1491"/>
      <c r="D18" s="1491"/>
      <c r="E18" s="1491"/>
      <c r="F18" s="1483"/>
      <c r="G18" s="1483"/>
      <c r="H18" s="1483"/>
      <c r="I18" s="1367"/>
      <c r="J18" s="1368"/>
      <c r="K18" s="1375">
        <v>1</v>
      </c>
      <c r="L18" s="1398" t="s">
        <v>123</v>
      </c>
      <c r="M18" s="1376" t="s">
        <v>103</v>
      </c>
      <c r="N18" s="1366" t="str">
        <f>OFFSET(N18,0,-1)</f>
        <v>2</v>
      </c>
      <c r="O18" s="1410">
        <f>OFFSET(O18,0,-1)+1</f>
        <v>3</v>
      </c>
      <c r="P18" s="1410"/>
      <c r="Q18" s="1410">
        <f>OFFSET(Q18,0,-1)+1</f>
        <v>1</v>
      </c>
      <c r="R18" s="1410">
        <f>OFFSET(R18,0,-1)+1</f>
        <v>2</v>
      </c>
      <c r="S18" s="1410">
        <f>OFFSET(S18,0,-1)+1</f>
        <v>3</v>
      </c>
      <c r="T18" s="2393">
        <f>OFFSET(T18,0,-1)+1</f>
        <v>4</v>
      </c>
      <c r="U18" s="2393"/>
      <c r="V18" s="1410">
        <f>OFFSET(V18,0,-2)+1</f>
        <v>5</v>
      </c>
      <c r="W18" s="1366">
        <f>OFFSET(W18,0,-1)</f>
        <v>5</v>
      </c>
      <c r="X18" s="1410">
        <f>OFFSET(X18,0,-1)+1</f>
        <v>6</v>
      </c>
      <c r="Y18" s="632"/>
      <c r="Z18" s="632"/>
      <c r="AA18" s="632"/>
      <c r="AB18" s="632"/>
      <c r="AC18" s="632"/>
      <c r="AD18" s="617">
        <v>11</v>
      </c>
    </row>
    <row customHeight="1" ht="21">
      <c r="A19" s="1484" t="s">
        <v>194</v>
      </c>
      <c r="B19" s="1484" t="s">
        <v>195</v>
      </c>
      <c r="C19" s="1484" t="s">
        <v>196</v>
      </c>
      <c r="D19" s="1484" t="s">
        <v>197</v>
      </c>
      <c r="E19" s="1484"/>
      <c r="F19" s="1486"/>
      <c r="G19" s="1486"/>
      <c r="H19" s="1486"/>
      <c r="I19" s="482"/>
      <c r="J19" s="481"/>
      <c r="K19" s="476"/>
      <c r="L19" s="1414">
        <f>INDEX(PT_DIFFERENTIATION_NUM_NTAR,MATCH(A19,PT_DIFFERENTIATION_NTAR_ID,0))</f>
        <v>1</v>
      </c>
      <c r="M19" s="419" t="s">
        <v>136</v>
      </c>
      <c r="N19" s="421"/>
      <c r="O19" s="2727" t="str">
        <f>INDEX(PT_DIFFERENTIATION_NTAR,MATCH(A19,PT_DIFFERENTIATION_NTAR_ID,0))</f>
        <v>Тариф на теплоноситель, поставляемый потребителям узла теплоснабжения ТЭЦ-21 ПАО "ТГК-1"</v>
      </c>
      <c r="P19" s="2727"/>
      <c r="Q19" s="2727"/>
      <c r="R19" s="2727"/>
      <c r="S19" s="2727"/>
      <c r="T19" s="2727"/>
      <c r="U19" s="2727"/>
      <c r="V19" s="2727"/>
      <c r="W19" s="2727"/>
      <c r="X19" s="1379" t="s">
        <v>420</v>
      </c>
      <c r="Z19" s="621"/>
      <c r="AA19" s="621" t="str">
        <f>IF(M19="","",M19)</f>
        <v>Наименование тарифа</v>
      </c>
      <c r="AB19" s="621"/>
      <c r="AC19" s="621"/>
      <c r="AD19" s="1276">
        <v>20</v>
      </c>
    </row>
    <row customHeight="1" ht="21">
      <c r="A20" s="1484" t="s">
        <v>194</v>
      </c>
      <c r="B20" s="1484" t="s">
        <v>195</v>
      </c>
      <c r="C20" s="1484" t="s">
        <v>196</v>
      </c>
      <c r="D20" s="1484" t="s">
        <v>197</v>
      </c>
      <c r="E20" s="1484"/>
      <c r="F20" s="1486"/>
      <c r="G20" s="1486"/>
      <c r="H20" s="1486"/>
      <c r="I20" s="1411"/>
      <c r="J20" s="473"/>
      <c r="K20" s="474"/>
      <c r="L20" s="1414" t="str">
        <f>INDEX(PT_DIFFERENTIATION_NUM_TER,MATCH(B19,PT_DIFFERENTIATION_TER_ID,0))</f>
        <v>1.1</v>
      </c>
      <c r="M20" s="429" t="s">
        <v>421</v>
      </c>
      <c r="N20" s="421"/>
      <c r="O20" s="2727" t="str">
        <f>INDEX(PT_DIFFERENTIATION_TER,MATCH(B19,PT_DIFFERENTIATION_TER_ID,0))</f>
        <v>Территория 1</v>
      </c>
      <c r="P20" s="2727"/>
      <c r="Q20" s="2727"/>
      <c r="R20" s="2727"/>
      <c r="S20" s="2727"/>
      <c r="T20" s="2727"/>
      <c r="U20" s="2727"/>
      <c r="V20" s="2727"/>
      <c r="W20" s="2727"/>
      <c r="X20" s="1379" t="s">
        <v>422</v>
      </c>
      <c r="Z20" s="621"/>
      <c r="AA20" s="621" t="str">
        <f>IF(M20="","",M20)</f>
        <v>Территория действия тарифа</v>
      </c>
      <c r="AB20" s="621"/>
      <c r="AC20" s="621"/>
      <c r="AD20" s="1276">
        <v>20</v>
      </c>
    </row>
    <row customHeight="1" ht="24">
      <c r="A21" s="1484" t="s">
        <v>194</v>
      </c>
      <c r="B21" s="1484" t="s">
        <v>195</v>
      </c>
      <c r="C21" s="1484" t="s">
        <v>196</v>
      </c>
      <c r="D21" s="1484" t="s">
        <v>197</v>
      </c>
      <c r="E21" s="1484"/>
      <c r="F21" s="1486"/>
      <c r="G21" s="1486"/>
      <c r="H21" s="1486"/>
      <c r="I21" s="475"/>
      <c r="J21" s="473"/>
      <c r="K21" s="474"/>
      <c r="L21" s="1414" t="str">
        <f>INDEX(PT_DIFFERENTIATION_NUM_CS,MATCH(C19,PT_DIFFERENTIATION_CS_ID,0))</f>
        <v>1.1.1</v>
      </c>
      <c r="M21" s="430" t="s">
        <v>423</v>
      </c>
      <c r="N21" s="421"/>
      <c r="O21" s="2727" t="str">
        <f>INDEX(PT_DIFFERENTIATION_CS,MATCH(C19,PT_DIFFERENTIATION_CS_ID,0))</f>
        <v>без дифференциации</v>
      </c>
      <c r="P21" s="2727"/>
      <c r="Q21" s="2727"/>
      <c r="R21" s="2727"/>
      <c r="S21" s="2727"/>
      <c r="T21" s="2727"/>
      <c r="U21" s="2727"/>
      <c r="V21" s="2727"/>
      <c r="W21" s="2727"/>
      <c r="X21" s="1379" t="s">
        <v>424</v>
      </c>
      <c r="Z21" s="621"/>
      <c r="AA21" s="621" t="str">
        <f>IF(M21="","",M21)</f>
        <v>Наименование системы теплоснабжения </v>
      </c>
      <c r="AB21" s="621"/>
      <c r="AC21" s="621"/>
      <c r="AD21" s="1276">
        <v>23</v>
      </c>
    </row>
    <row customHeight="1" ht="21">
      <c r="A22" s="1484" t="s">
        <v>194</v>
      </c>
      <c r="B22" s="1484" t="s">
        <v>195</v>
      </c>
      <c r="C22" s="1484" t="s">
        <v>196</v>
      </c>
      <c r="D22" s="1484" t="s">
        <v>197</v>
      </c>
      <c r="E22" s="1484"/>
      <c r="F22" s="1486"/>
      <c r="G22" s="1486"/>
      <c r="H22" s="1486"/>
      <c r="I22" s="475"/>
      <c r="J22" s="473"/>
      <c r="K22" s="474"/>
      <c r="L22" s="1414" t="str">
        <f>INDEX(PT_DIFFERENTIATION_NUM_IST_TE,MATCH(D19,PT_DIFFERENTIATION_IST_TE_ID,0))</f>
        <v>1.1.1.1</v>
      </c>
      <c r="M22" s="431" t="s">
        <v>425</v>
      </c>
      <c r="N22" s="421"/>
      <c r="O22" s="2727" t="str">
        <f>INDEX(PT_DIFFERENTIATION_IST_TE,MATCH(D19,PT_DIFFERENTIATION_IST_TE_ID,0))</f>
        <v>без дифференциации</v>
      </c>
      <c r="P22" s="2727"/>
      <c r="Q22" s="2727"/>
      <c r="R22" s="2727"/>
      <c r="S22" s="2727"/>
      <c r="T22" s="2727"/>
      <c r="U22" s="2727"/>
      <c r="V22" s="2727"/>
      <c r="W22" s="2727"/>
      <c r="X22" s="1379" t="s">
        <v>426</v>
      </c>
      <c r="Z22" s="621"/>
      <c r="AA22" s="621" t="str">
        <f>IF(M22="","",M22)</f>
        <v>Источник тепловой энергии  </v>
      </c>
      <c r="AB22" s="621"/>
      <c r="AC22" s="621"/>
      <c r="AD22" s="1276">
        <v>20</v>
      </c>
    </row>
    <row customHeight="1" ht="96.75">
      <c r="A23" s="1484" t="s">
        <v>194</v>
      </c>
      <c r="B23" s="1484" t="s">
        <v>195</v>
      </c>
      <c r="C23" s="1484" t="s">
        <v>196</v>
      </c>
      <c r="D23" s="1484" t="s">
        <v>197</v>
      </c>
      <c r="E23" s="1484"/>
      <c r="F23" s="2728" t="str">
        <f>L22&amp;".1"</f>
        <v>1.1.1.1.1</v>
      </c>
      <c r="I23" s="2378">
        <v>1</v>
      </c>
      <c r="J23" s="1412"/>
      <c r="K23" s="477"/>
      <c r="L23" s="1414" t="str">
        <f>$F$23</f>
        <v>1.1.1.1.1</v>
      </c>
      <c r="M23" s="406" t="s">
        <v>428</v>
      </c>
      <c r="N23" s="421"/>
      <c r="O23" s="2426"/>
      <c r="P23" s="2426"/>
      <c r="Q23" s="2426"/>
      <c r="R23" s="2426"/>
      <c r="S23" s="2426"/>
      <c r="T23" s="2426"/>
      <c r="U23" s="2426"/>
      <c r="V23" s="2426"/>
      <c r="W23" s="2426"/>
      <c r="X23" s="1379" t="s">
        <v>429</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194</v>
      </c>
      <c r="B24" s="1484" t="s">
        <v>195</v>
      </c>
      <c r="C24" s="1484" t="s">
        <v>196</v>
      </c>
      <c r="D24" s="1484" t="s">
        <v>197</v>
      </c>
      <c r="E24" s="1484"/>
      <c r="F24" s="2728"/>
      <c r="G24" s="2338" t="str">
        <f>F23&amp;".1"</f>
        <v>1.1.1.1.1.1</v>
      </c>
      <c r="I24" s="2378"/>
      <c r="J24" s="2378">
        <v>1</v>
      </c>
      <c r="K24" s="478"/>
      <c r="L24" s="1414" t="str">
        <f>$G$24</f>
        <v>1.1.1.1.1.1</v>
      </c>
      <c r="M24" s="407" t="s">
        <v>431</v>
      </c>
      <c r="N24" s="421"/>
      <c r="O24" s="2366"/>
      <c r="P24" s="2367"/>
      <c r="Q24" s="2367"/>
      <c r="R24" s="2367"/>
      <c r="S24" s="2367"/>
      <c r="T24" s="2367"/>
      <c r="U24" s="2367"/>
      <c r="V24" s="2367"/>
      <c r="W24" s="2368"/>
      <c r="X24" s="1379" t="s">
        <v>432</v>
      </c>
      <c r="Z24" s="621"/>
      <c r="AA24" s="621" t="str">
        <f>IF(M24="","",M24)</f>
        <v>Группа потребителей</v>
      </c>
      <c r="AB24" s="621"/>
      <c r="AC24" s="621"/>
      <c r="AD24" s="1276">
        <v>82</v>
      </c>
    </row>
    <row customHeight="1" ht="11.549999999999999">
      <c r="A25" s="1484" t="s">
        <v>194</v>
      </c>
      <c r="B25" s="1484" t="s">
        <v>195</v>
      </c>
      <c r="C25" s="1484" t="s">
        <v>196</v>
      </c>
      <c r="D25" s="1484" t="s">
        <v>197</v>
      </c>
      <c r="E25" s="1484"/>
      <c r="F25" s="2728"/>
      <c r="G25" s="2338"/>
      <c r="H25" s="2338" t="str">
        <f>G24&amp;".1"</f>
        <v>1.1.1.1.1.1.1</v>
      </c>
      <c r="I25" s="2378"/>
      <c r="J25" s="2378"/>
      <c r="K25" s="478">
        <v>1</v>
      </c>
      <c r="L25" s="1414" t="str">
        <f>$H$25</f>
        <v>1.1.1.1.1.1.1</v>
      </c>
      <c r="M25" s="1468"/>
      <c r="N25" s="421"/>
      <c r="O25" s="872"/>
      <c r="P25" s="446"/>
      <c r="Q25" s="872"/>
      <c r="R25" s="1378"/>
      <c r="S25" s="2723"/>
      <c r="T25" s="2228" t="s">
        <v>66</v>
      </c>
      <c r="U25" s="2723"/>
      <c r="V25" s="2228" t="s">
        <v>19</v>
      </c>
      <c r="W25" s="446"/>
      <c r="X25" s="2374" t="s">
        <v>434</v>
      </c>
      <c r="Y25" s="632">
        <f>STRCHECKDATE(O26:W26)</f>
      </c>
      <c r="Z25" s="621"/>
      <c r="AA25" s="621" t="str">
        <f>IF(M25="","",M25)</f>
        <v/>
      </c>
      <c r="AB25" s="621"/>
      <c r="AC25" s="621"/>
      <c r="AD25" s="1276">
        <v>11</v>
      </c>
    </row>
    <row customHeight="1" ht="11.549999999999999">
      <c r="A26" s="1484" t="s">
        <v>194</v>
      </c>
      <c r="B26" s="1484" t="s">
        <v>195</v>
      </c>
      <c r="C26" s="1484" t="s">
        <v>196</v>
      </c>
      <c r="D26" s="1484" t="s">
        <v>197</v>
      </c>
      <c r="E26" s="1484"/>
      <c r="F26" s="2728"/>
      <c r="G26" s="2338"/>
      <c r="H26" s="2338"/>
      <c r="I26" s="2378"/>
      <c r="J26" s="2378"/>
      <c r="K26" s="478"/>
      <c r="L26" s="1415"/>
      <c r="M26" s="421"/>
      <c r="N26" s="421"/>
      <c r="O26" s="446"/>
      <c r="P26" s="446"/>
      <c r="Q26" s="446"/>
      <c r="R26" s="449" t="str">
        <f>S25&amp;"-"&amp;U25</f>
        <v>-</v>
      </c>
      <c r="S26" s="2387"/>
      <c r="T26" s="2228"/>
      <c r="U26" s="2387"/>
      <c r="V26" s="2228"/>
      <c r="W26" s="446"/>
      <c r="X26" s="2375"/>
      <c r="Z26" s="621"/>
      <c r="AA26" s="621" t="str">
        <f>IF(M26="","",M26)</f>
        <v/>
      </c>
      <c r="AB26" s="621"/>
      <c r="AC26" s="621"/>
      <c r="AD26" s="1276">
        <v>11</v>
      </c>
    </row>
    <row customHeight="1" ht="15.75">
      <c r="A27" s="1484" t="s">
        <v>194</v>
      </c>
      <c r="B27" s="1484" t="s">
        <v>195</v>
      </c>
      <c r="C27" s="1484" t="s">
        <v>196</v>
      </c>
      <c r="D27" s="1484" t="s">
        <v>197</v>
      </c>
      <c r="E27" s="1484"/>
      <c r="F27" s="2728"/>
      <c r="G27" s="2338"/>
      <c r="I27" s="2378"/>
      <c r="J27" s="2378"/>
      <c r="K27" s="477"/>
      <c r="L27" s="1399"/>
      <c r="M27" s="409" t="s">
        <v>435</v>
      </c>
      <c r="N27" s="488"/>
      <c r="O27" s="488"/>
      <c r="P27" s="488"/>
      <c r="Q27" s="488"/>
      <c r="R27" s="488"/>
      <c r="S27" s="488"/>
      <c r="T27" s="488"/>
      <c r="U27" s="488"/>
      <c r="V27" s="488"/>
      <c r="W27" s="445"/>
      <c r="X27" s="2376"/>
      <c r="Z27" s="621"/>
      <c r="AA27" s="621" t="str">
        <f>IF(M27="","",M27)</f>
        <v>Добавить вид теплоносителя (параметры теплоносителя)</v>
      </c>
      <c r="AB27" s="621"/>
      <c r="AC27" s="621"/>
      <c r="AD27" s="1276">
        <v>15</v>
      </c>
    </row>
    <row customHeight="1" ht="15.75">
      <c r="A28" s="1484" t="s">
        <v>194</v>
      </c>
      <c r="B28" s="1484" t="s">
        <v>195</v>
      </c>
      <c r="C28" s="1484" t="s">
        <v>196</v>
      </c>
      <c r="D28" s="1484" t="s">
        <v>197</v>
      </c>
      <c r="E28" s="1484"/>
      <c r="F28" s="2728"/>
      <c r="I28" s="2378"/>
      <c r="J28" s="1412"/>
      <c r="K28" s="477"/>
      <c r="L28" s="1399"/>
      <c r="M28" s="408" t="s">
        <v>436</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194</v>
      </c>
      <c r="B29" s="1484" t="s">
        <v>195</v>
      </c>
      <c r="C29" s="1484" t="s">
        <v>196</v>
      </c>
      <c r="D29" s="1484" t="s">
        <v>197</v>
      </c>
      <c r="E29" s="1484"/>
      <c r="F29" s="1486"/>
      <c r="G29" s="1486"/>
      <c r="H29" s="658"/>
      <c r="I29" s="481"/>
      <c r="J29" s="496"/>
      <c r="K29" s="476"/>
      <c r="L29" s="1399"/>
      <c r="M29" s="486" t="s">
        <v>437</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194</v>
      </c>
      <c r="B30" s="1484" t="s">
        <v>195</v>
      </c>
      <c r="C30" s="1484" t="s">
        <v>196</v>
      </c>
      <c r="D30" s="1484"/>
      <c r="E30" s="1484" t="s">
        <v>608</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194</v>
      </c>
      <c r="B31" s="1484" t="s">
        <v>195</v>
      </c>
      <c r="C31" s="1484"/>
      <c r="D31" s="1484"/>
      <c r="E31" s="1484" t="s">
        <v>2253</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2254</v>
      </c>
      <c r="B32" s="1484"/>
      <c r="C32" s="1484"/>
      <c r="D32" s="1484"/>
      <c r="E32" s="1484" t="s">
        <v>118</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8469" customFormat="1" customHeight="1" ht="11.549999999999999">
      <c r="A33" s="1484"/>
      <c r="B33" s="1484"/>
      <c r="C33" s="1484"/>
      <c r="D33" s="1484"/>
      <c r="E33" s="1484" t="s">
        <v>183</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825</v>
      </c>
      <c r="M35" s="2406" t="s">
        <v>2255</v>
      </c>
      <c r="N35" s="2406"/>
      <c r="O35" s="2406"/>
      <c r="P35" s="2406"/>
      <c r="Q35" s="2406"/>
      <c r="R35" s="2406"/>
      <c r="S35" s="2406"/>
      <c r="T35" s="2406"/>
      <c r="U35" s="2406"/>
      <c r="V35" s="2406"/>
      <c r="W35" s="2406"/>
      <c r="X35" s="2406"/>
      <c r="AD35" s="1276">
        <v>27</v>
      </c>
    </row>
    <row customHeight="1" ht="109.19999999999999">
      <c r="H36" s="658"/>
      <c r="I36" s="1424"/>
      <c r="M36" s="2406" t="s">
        <v>2256</v>
      </c>
      <c r="N36" s="2406"/>
      <c r="O36" s="2406"/>
      <c r="P36" s="2406"/>
      <c r="Q36" s="2406"/>
      <c r="R36" s="2406"/>
      <c r="S36" s="2406"/>
      <c r="T36" s="2406"/>
      <c r="U36" s="2406"/>
      <c r="V36" s="2406"/>
      <c r="W36" s="2406"/>
      <c r="X36" s="2406"/>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82</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05D7-CF36-EA5D-BB5E-0.83F36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F2776-5B49-31BB-F8CD-0.6C889B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96A11-BA1D-AE1D-D101-0.9F0FE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88F81-9966-6AE1-C8A7-0.C9296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41D49-CF88-440D-2B92-0.55E6DF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1B3-2CD9-3972-71AA-0.3673F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AA04-1776-BF05-F926-0.7F278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23B58-CE82-B941-9AE5-0.056AEA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3671-5FA5-5057-C33E-0.096966C8}" mc:Ignorable="x14ac xr xr2 xr3">
  <dimension ref="A1:E8"/>
  <sheetViews>
    <sheetView topLeftCell="A1" showGridLines="0" workbookViewId="0">
      <selection activeCell="A1" sqref="A1"/>
    </sheetView>
  </sheetViews>
  <sheetFormatPr customHeight="1" defaultRowHeight="11.25"/>
  <cols>
    <col min="1" max="1" style="8469" width="10.57421875" customWidth="1"/>
    <col min="2" max="2" style="8469" width="8.7109375" customWidth="1"/>
    <col min="3" max="3" style="8469" width="18.140625" customWidth="1"/>
    <col min="4" max="4" style="8469" width="12.57421875" customWidth="1"/>
  </cols>
  <sheetData>
    <row customHeight="1" ht="11.25">
      <c r="A1" s="2736" t="s">
        <v>2257</v>
      </c>
      <c r="B1" s="2737" t="s">
        <v>2258</v>
      </c>
      <c r="C1" s="2738" t="s">
        <v>2259</v>
      </c>
      <c r="D1" s="2739"/>
      <c r="E1" s="957" t="s">
        <v>2260</v>
      </c>
    </row>
    <row customHeight="1" ht="11.25">
      <c r="A2" s="2740"/>
      <c r="B2" s="886" t="s">
        <v>26</v>
      </c>
      <c r="C2" s="874"/>
      <c r="D2" s="885"/>
      <c r="E2" s="957"/>
    </row>
    <row customHeight="1" ht="11.25">
      <c r="A3" s="2741"/>
      <c r="B3" s="2742" t="s">
        <v>33</v>
      </c>
      <c r="C3" s="874"/>
      <c r="D3" s="885"/>
      <c r="E3" s="957"/>
    </row>
    <row customHeight="1" ht="11.25">
      <c r="A4" s="2743"/>
      <c r="B4" s="887" t="s">
        <v>1684</v>
      </c>
      <c r="C4" s="874"/>
      <c r="D4" s="885"/>
      <c r="E4" s="957"/>
    </row>
    <row customHeight="1" ht="11.25">
      <c r="A5" s="2744"/>
      <c r="B5" s="887" t="s">
        <v>1679</v>
      </c>
      <c r="C5" s="2745" t="s">
        <v>2024</v>
      </c>
      <c r="D5" s="2746" t="s">
        <v>2261</v>
      </c>
      <c r="E5" s="957"/>
    </row>
    <row s="8469" customFormat="1" customHeight="1" ht="11.25">
      <c r="A6" s="2747"/>
      <c r="B6" s="887" t="s">
        <v>1688</v>
      </c>
      <c r="C6" s="874"/>
      <c r="D6" s="885"/>
      <c r="E6" s="957"/>
    </row>
    <row customHeight="1" ht="11.25">
      <c r="A7" s="2748"/>
      <c r="B7" s="887" t="s">
        <v>1695</v>
      </c>
      <c r="C7" s="874"/>
      <c r="D7" s="885"/>
      <c r="E7" s="957"/>
    </row>
    <row customHeight="1" ht="11.25">
      <c r="A8" s="877"/>
      <c r="B8" s="887" t="s">
        <v>1691</v>
      </c>
      <c r="C8" s="874"/>
      <c r="D8" s="885"/>
      <c r="E8" s="95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61B5B-42B6-28A7-4332-0.879A7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09938-DEE9-5A4C-4A89-0.13F270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22CD-7101-86F8-FF1E-0.4DD4C32A}" mc:Ignorable="x14ac xr xr2 xr3">
  <sheetPr>
    <tabColor rgb="FFFFCC99"/>
  </sheetPr>
  <dimension ref="A1:I663"/>
  <sheetViews>
    <sheetView topLeftCell="A1" showGridLines="0" workbookViewId="0">
      <selection activeCell="A1" sqref="A1"/>
    </sheetView>
  </sheetViews>
  <sheetFormatPr defaultColWidth="9.140625" customHeight="1" defaultRowHeight="11.25"/>
  <cols>
    <col min="1" max="2" style="8469" width="9.140625"/>
    <col min="3" max="3" style="8469" width="20.7109375" customWidth="1"/>
    <col min="4" max="4" style="8469" width="25.140625" customWidth="1"/>
    <col min="5" max="9" style="8469" width="9.140625"/>
  </cols>
  <sheetData>
    <row customHeight="1" ht="11.25">
      <c r="A1" s="189" t="s">
        <v>2262</v>
      </c>
      <c r="B1" s="189" t="s">
        <v>2263</v>
      </c>
      <c r="C1" s="189" t="s">
        <v>2264</v>
      </c>
      <c r="D1" s="189" t="s">
        <v>2265</v>
      </c>
      <c r="E1" s="189" t="s">
        <v>2266</v>
      </c>
      <c r="F1" s="189" t="s">
        <v>2267</v>
      </c>
      <c r="G1" s="189" t="s">
        <v>2268</v>
      </c>
      <c r="H1" s="189" t="s">
        <v>2269</v>
      </c>
      <c r="I1" s="189" t="s">
        <v>2270</v>
      </c>
    </row>
    <row customHeight="1" ht="11.25">
      <c r="A2" s="5558" t="s">
        <v>2271</v>
      </c>
      <c r="B2" s="5558" t="s">
        <v>16</v>
      </c>
      <c r="C2" s="5558" t="s">
        <v>2272</v>
      </c>
      <c r="D2" s="5558" t="s">
        <v>2273</v>
      </c>
      <c r="E2" s="5558" t="s">
        <v>2274</v>
      </c>
      <c r="F2" s="5558" t="s">
        <v>2275</v>
      </c>
      <c r="G2" s="5558" t="s">
        <v>2276</v>
      </c>
      <c r="H2" s="5558" t="s">
        <v>28</v>
      </c>
      <c r="I2" s="5558" t="s">
        <v>829</v>
      </c>
    </row>
    <row customHeight="1" ht="11.25">
      <c r="A3" s="5558" t="s">
        <v>2271</v>
      </c>
      <c r="B3" s="5558" t="s">
        <v>16</v>
      </c>
      <c r="C3" s="5558" t="s">
        <v>2277</v>
      </c>
      <c r="D3" s="5558" t="s">
        <v>2278</v>
      </c>
      <c r="E3" s="5558" t="s">
        <v>2279</v>
      </c>
      <c r="F3" s="5558" t="s">
        <v>2280</v>
      </c>
      <c r="G3" s="5558" t="s">
        <v>28</v>
      </c>
      <c r="H3" s="5558" t="s">
        <v>28</v>
      </c>
      <c r="I3" s="5558" t="s">
        <v>829</v>
      </c>
    </row>
    <row customHeight="1" ht="11.25">
      <c r="A4" s="5558" t="s">
        <v>2271</v>
      </c>
      <c r="B4" s="5558" t="s">
        <v>16</v>
      </c>
      <c r="C4" s="5558" t="s">
        <v>2281</v>
      </c>
      <c r="D4" s="5558" t="s">
        <v>2282</v>
      </c>
      <c r="E4" s="5558" t="s">
        <v>2283</v>
      </c>
      <c r="F4" s="5558" t="s">
        <v>2284</v>
      </c>
      <c r="G4" s="5558" t="s">
        <v>28</v>
      </c>
      <c r="H4" s="5558" t="s">
        <v>28</v>
      </c>
      <c r="I4" s="5558" t="s">
        <v>829</v>
      </c>
    </row>
    <row customHeight="1" ht="11.25">
      <c r="A5" s="5558" t="s">
        <v>2271</v>
      </c>
      <c r="B5" s="5558" t="s">
        <v>16</v>
      </c>
      <c r="C5" s="5558" t="s">
        <v>2285</v>
      </c>
      <c r="D5" s="5558" t="s">
        <v>2286</v>
      </c>
      <c r="E5" s="5558" t="s">
        <v>2287</v>
      </c>
      <c r="F5" s="5558" t="s">
        <v>2288</v>
      </c>
      <c r="G5" s="5558" t="s">
        <v>28</v>
      </c>
      <c r="H5" s="5558" t="s">
        <v>28</v>
      </c>
      <c r="I5" s="5558" t="s">
        <v>829</v>
      </c>
    </row>
    <row customHeight="1" ht="11.25">
      <c r="A6" s="5558" t="s">
        <v>2271</v>
      </c>
      <c r="B6" s="5558" t="s">
        <v>16</v>
      </c>
      <c r="C6" s="5558" t="s">
        <v>2289</v>
      </c>
      <c r="D6" s="5558" t="s">
        <v>2290</v>
      </c>
      <c r="E6" s="5558" t="s">
        <v>2291</v>
      </c>
      <c r="F6" s="5558" t="s">
        <v>2292</v>
      </c>
      <c r="G6" s="5558" t="s">
        <v>28</v>
      </c>
      <c r="H6" s="5558" t="s">
        <v>28</v>
      </c>
      <c r="I6" s="5558" t="s">
        <v>829</v>
      </c>
    </row>
    <row customHeight="1" ht="11.25">
      <c r="A7" s="5558" t="s">
        <v>2271</v>
      </c>
      <c r="B7" s="5558" t="s">
        <v>16</v>
      </c>
      <c r="C7" s="5558" t="s">
        <v>2293</v>
      </c>
      <c r="D7" s="5558" t="s">
        <v>2294</v>
      </c>
      <c r="E7" s="5558" t="s">
        <v>2295</v>
      </c>
      <c r="F7" s="5558" t="s">
        <v>2280</v>
      </c>
      <c r="G7" s="5558" t="s">
        <v>28</v>
      </c>
      <c r="H7" s="5558" t="s">
        <v>28</v>
      </c>
      <c r="I7" s="5558" t="s">
        <v>829</v>
      </c>
    </row>
    <row customHeight="1" ht="11.25">
      <c r="A8" s="5558" t="s">
        <v>2271</v>
      </c>
      <c r="B8" s="5558" t="s">
        <v>16</v>
      </c>
      <c r="C8" s="5558" t="s">
        <v>2296</v>
      </c>
      <c r="D8" s="5558" t="s">
        <v>2297</v>
      </c>
      <c r="E8" s="5558" t="s">
        <v>2298</v>
      </c>
      <c r="F8" s="5558" t="s">
        <v>2280</v>
      </c>
      <c r="G8" s="5558" t="s">
        <v>28</v>
      </c>
      <c r="H8" s="5558" t="s">
        <v>28</v>
      </c>
      <c r="I8" s="5558" t="s">
        <v>829</v>
      </c>
    </row>
    <row customHeight="1" ht="11.25">
      <c r="A9" s="5558" t="s">
        <v>2271</v>
      </c>
      <c r="B9" s="5558" t="s">
        <v>16</v>
      </c>
      <c r="C9" s="5558" t="s">
        <v>2299</v>
      </c>
      <c r="D9" s="5558" t="s">
        <v>2300</v>
      </c>
      <c r="E9" s="5558" t="s">
        <v>2301</v>
      </c>
      <c r="F9" s="5558" t="s">
        <v>2302</v>
      </c>
      <c r="G9" s="5558" t="s">
        <v>2276</v>
      </c>
      <c r="H9" s="5558" t="s">
        <v>28</v>
      </c>
      <c r="I9" s="5558" t="s">
        <v>829</v>
      </c>
    </row>
    <row customHeight="1" ht="11.25">
      <c r="A10" s="5558" t="s">
        <v>2271</v>
      </c>
      <c r="B10" s="5558" t="s">
        <v>16</v>
      </c>
      <c r="C10" s="5558" t="s">
        <v>2303</v>
      </c>
      <c r="D10" s="5558" t="s">
        <v>2304</v>
      </c>
      <c r="E10" s="5558" t="s">
        <v>2305</v>
      </c>
      <c r="F10" s="5558" t="s">
        <v>2306</v>
      </c>
      <c r="G10" s="5558" t="s">
        <v>28</v>
      </c>
      <c r="H10" s="5558" t="s">
        <v>28</v>
      </c>
      <c r="I10" s="5558" t="s">
        <v>829</v>
      </c>
    </row>
    <row customHeight="1" ht="11.25">
      <c r="A11" s="5558" t="s">
        <v>2271</v>
      </c>
      <c r="B11" s="5558" t="s">
        <v>16</v>
      </c>
      <c r="C11" s="5558" t="s">
        <v>2307</v>
      </c>
      <c r="D11" s="5558" t="s">
        <v>2308</v>
      </c>
      <c r="E11" s="5558" t="s">
        <v>2309</v>
      </c>
      <c r="F11" s="5558" t="s">
        <v>2310</v>
      </c>
      <c r="G11" s="5558" t="s">
        <v>2276</v>
      </c>
      <c r="H11" s="5558" t="s">
        <v>28</v>
      </c>
      <c r="I11" s="5558" t="s">
        <v>829</v>
      </c>
    </row>
    <row customHeight="1" ht="11.25">
      <c r="A12" s="5558" t="s">
        <v>2271</v>
      </c>
      <c r="B12" s="5558" t="s">
        <v>16</v>
      </c>
      <c r="C12" s="5558" t="s">
        <v>2311</v>
      </c>
      <c r="D12" s="5558" t="s">
        <v>2312</v>
      </c>
      <c r="E12" s="5558" t="s">
        <v>2313</v>
      </c>
      <c r="F12" s="5558" t="s">
        <v>2314</v>
      </c>
      <c r="G12" s="5558" t="s">
        <v>2315</v>
      </c>
      <c r="H12" s="5558" t="s">
        <v>28</v>
      </c>
      <c r="I12" s="5558" t="s">
        <v>829</v>
      </c>
    </row>
    <row customHeight="1" ht="11.25">
      <c r="A13" s="5558" t="s">
        <v>2271</v>
      </c>
      <c r="B13" s="5558" t="s">
        <v>16</v>
      </c>
      <c r="C13" s="5558" t="s">
        <v>2316</v>
      </c>
      <c r="D13" s="5558" t="s">
        <v>2317</v>
      </c>
      <c r="E13" s="5558" t="s">
        <v>2318</v>
      </c>
      <c r="F13" s="5558" t="s">
        <v>2319</v>
      </c>
      <c r="G13" s="5558" t="s">
        <v>2276</v>
      </c>
      <c r="H13" s="5558" t="s">
        <v>28</v>
      </c>
      <c r="I13" s="5558" t="s">
        <v>829</v>
      </c>
    </row>
    <row customHeight="1" ht="11.25">
      <c r="A14" s="5558" t="s">
        <v>2271</v>
      </c>
      <c r="B14" s="5558" t="s">
        <v>16</v>
      </c>
      <c r="C14" s="5558" t="s">
        <v>2320</v>
      </c>
      <c r="D14" s="5558" t="s">
        <v>2321</v>
      </c>
      <c r="E14" s="5558" t="s">
        <v>2322</v>
      </c>
      <c r="F14" s="5558" t="s">
        <v>2292</v>
      </c>
      <c r="G14" s="5558" t="s">
        <v>28</v>
      </c>
      <c r="H14" s="5558" t="s">
        <v>28</v>
      </c>
      <c r="I14" s="5558" t="s">
        <v>829</v>
      </c>
    </row>
    <row customHeight="1" ht="11.25">
      <c r="A15" s="5558" t="s">
        <v>2271</v>
      </c>
      <c r="B15" s="5558" t="s">
        <v>16</v>
      </c>
      <c r="C15" s="5558" t="s">
        <v>2323</v>
      </c>
      <c r="D15" s="5558" t="s">
        <v>2324</v>
      </c>
      <c r="E15" s="5558" t="s">
        <v>2325</v>
      </c>
      <c r="F15" s="5558" t="s">
        <v>2314</v>
      </c>
      <c r="G15" s="5558" t="s">
        <v>2276</v>
      </c>
      <c r="H15" s="5558" t="s">
        <v>28</v>
      </c>
      <c r="I15" s="5558" t="s">
        <v>829</v>
      </c>
    </row>
    <row customHeight="1" ht="11.25">
      <c r="A16" s="5558" t="s">
        <v>2271</v>
      </c>
      <c r="B16" s="5558" t="s">
        <v>16</v>
      </c>
      <c r="C16" s="5558" t="s">
        <v>2326</v>
      </c>
      <c r="D16" s="5558" t="s">
        <v>2327</v>
      </c>
      <c r="E16" s="5558" t="s">
        <v>2328</v>
      </c>
      <c r="F16" s="5558" t="s">
        <v>2329</v>
      </c>
      <c r="G16" s="5558" t="s">
        <v>2330</v>
      </c>
      <c r="H16" s="5558" t="s">
        <v>28</v>
      </c>
      <c r="I16" s="5558" t="s">
        <v>829</v>
      </c>
    </row>
    <row customHeight="1" ht="11.25">
      <c r="A17" s="5558" t="s">
        <v>2271</v>
      </c>
      <c r="B17" s="5558" t="s">
        <v>16</v>
      </c>
      <c r="C17" s="5558" t="s">
        <v>2331</v>
      </c>
      <c r="D17" s="5558" t="s">
        <v>2332</v>
      </c>
      <c r="E17" s="5558" t="s">
        <v>2328</v>
      </c>
      <c r="F17" s="5558" t="s">
        <v>2333</v>
      </c>
      <c r="G17" s="5558" t="s">
        <v>28</v>
      </c>
      <c r="H17" s="5558" t="s">
        <v>28</v>
      </c>
      <c r="I17" s="5558" t="s">
        <v>829</v>
      </c>
    </row>
    <row customHeight="1" ht="11.25">
      <c r="A18" s="5558" t="s">
        <v>2271</v>
      </c>
      <c r="B18" s="5558" t="s">
        <v>16</v>
      </c>
      <c r="C18" s="5558" t="s">
        <v>2334</v>
      </c>
      <c r="D18" s="5558" t="s">
        <v>2335</v>
      </c>
      <c r="E18" s="5558" t="s">
        <v>2336</v>
      </c>
      <c r="F18" s="5558" t="s">
        <v>2337</v>
      </c>
      <c r="G18" s="5558" t="s">
        <v>28</v>
      </c>
      <c r="H18" s="5558" t="s">
        <v>28</v>
      </c>
      <c r="I18" s="5558" t="s">
        <v>829</v>
      </c>
    </row>
    <row customHeight="1" ht="11.25">
      <c r="A19" s="5558" t="s">
        <v>2271</v>
      </c>
      <c r="B19" s="5558" t="s">
        <v>16</v>
      </c>
      <c r="C19" s="5558" t="s">
        <v>2338</v>
      </c>
      <c r="D19" s="5558" t="s">
        <v>2339</v>
      </c>
      <c r="E19" s="5558" t="s">
        <v>2340</v>
      </c>
      <c r="F19" s="5558" t="s">
        <v>2341</v>
      </c>
      <c r="G19" s="5558" t="s">
        <v>28</v>
      </c>
      <c r="H19" s="5558" t="s">
        <v>28</v>
      </c>
      <c r="I19" s="5558" t="s">
        <v>829</v>
      </c>
    </row>
    <row customHeight="1" ht="11.25">
      <c r="A20" s="5558" t="s">
        <v>2271</v>
      </c>
      <c r="B20" s="5558" t="s">
        <v>16</v>
      </c>
      <c r="C20" s="5558" t="s">
        <v>2342</v>
      </c>
      <c r="D20" s="5558" t="s">
        <v>2343</v>
      </c>
      <c r="E20" s="5558" t="s">
        <v>2344</v>
      </c>
      <c r="F20" s="5558" t="s">
        <v>2345</v>
      </c>
      <c r="G20" s="5558" t="s">
        <v>28</v>
      </c>
      <c r="H20" s="5558" t="s">
        <v>28</v>
      </c>
      <c r="I20" s="5558" t="s">
        <v>829</v>
      </c>
    </row>
    <row customHeight="1" ht="11.25">
      <c r="A21" s="5558" t="s">
        <v>2271</v>
      </c>
      <c r="B21" s="5558" t="s">
        <v>16</v>
      </c>
      <c r="C21" s="5558" t="s">
        <v>2346</v>
      </c>
      <c r="D21" s="5558" t="s">
        <v>2347</v>
      </c>
      <c r="E21" s="5558" t="s">
        <v>2348</v>
      </c>
      <c r="F21" s="5558" t="s">
        <v>2349</v>
      </c>
      <c r="G21" s="5558" t="s">
        <v>2350</v>
      </c>
      <c r="H21" s="5558" t="s">
        <v>28</v>
      </c>
      <c r="I21" s="5558" t="s">
        <v>829</v>
      </c>
    </row>
    <row customHeight="1" ht="11.25">
      <c r="A22" s="5558" t="s">
        <v>2271</v>
      </c>
      <c r="B22" s="5558" t="s">
        <v>16</v>
      </c>
      <c r="C22" s="5558" t="s">
        <v>2351</v>
      </c>
      <c r="D22" s="5558" t="s">
        <v>2352</v>
      </c>
      <c r="E22" s="5558" t="s">
        <v>2353</v>
      </c>
      <c r="F22" s="5558" t="s">
        <v>2354</v>
      </c>
      <c r="G22" s="5558" t="s">
        <v>2276</v>
      </c>
      <c r="H22" s="5558" t="s">
        <v>28</v>
      </c>
      <c r="I22" s="5558" t="s">
        <v>829</v>
      </c>
    </row>
    <row customHeight="1" ht="11.25">
      <c r="A23" s="5558" t="s">
        <v>2271</v>
      </c>
      <c r="B23" s="5558" t="s">
        <v>16</v>
      </c>
      <c r="C23" s="5558" t="s">
        <v>2355</v>
      </c>
      <c r="D23" s="5558" t="s">
        <v>2356</v>
      </c>
      <c r="E23" s="5558" t="s">
        <v>2357</v>
      </c>
      <c r="F23" s="5558" t="s">
        <v>2358</v>
      </c>
      <c r="G23" s="5558" t="s">
        <v>28</v>
      </c>
      <c r="H23" s="5558" t="s">
        <v>28</v>
      </c>
      <c r="I23" s="5558" t="s">
        <v>829</v>
      </c>
    </row>
    <row customHeight="1" ht="11.25">
      <c r="A24" s="5558" t="s">
        <v>2271</v>
      </c>
      <c r="B24" s="5558" t="s">
        <v>16</v>
      </c>
      <c r="C24" s="5558" t="s">
        <v>2359</v>
      </c>
      <c r="D24" s="5558" t="s">
        <v>2360</v>
      </c>
      <c r="E24" s="5558" t="s">
        <v>2361</v>
      </c>
      <c r="F24" s="5558" t="s">
        <v>2314</v>
      </c>
      <c r="G24" s="5558" t="s">
        <v>28</v>
      </c>
      <c r="H24" s="5558" t="s">
        <v>28</v>
      </c>
      <c r="I24" s="5558" t="s">
        <v>829</v>
      </c>
    </row>
    <row customHeight="1" ht="11.25">
      <c r="A25" s="5558" t="s">
        <v>2271</v>
      </c>
      <c r="B25" s="5558" t="s">
        <v>16</v>
      </c>
      <c r="C25" s="5558" t="s">
        <v>2362</v>
      </c>
      <c r="D25" s="5558" t="s">
        <v>2363</v>
      </c>
      <c r="E25" s="5558" t="s">
        <v>2364</v>
      </c>
      <c r="F25" s="5558" t="s">
        <v>2365</v>
      </c>
      <c r="G25" s="5558" t="s">
        <v>2366</v>
      </c>
      <c r="H25" s="5558" t="s">
        <v>28</v>
      </c>
      <c r="I25" s="5558" t="s">
        <v>829</v>
      </c>
    </row>
    <row customHeight="1" ht="11.25">
      <c r="A26" s="5558" t="s">
        <v>2271</v>
      </c>
      <c r="B26" s="5558" t="s">
        <v>16</v>
      </c>
      <c r="C26" s="5558" t="s">
        <v>2367</v>
      </c>
      <c r="D26" s="5558" t="s">
        <v>2368</v>
      </c>
      <c r="E26" s="5558" t="s">
        <v>2369</v>
      </c>
      <c r="F26" s="5558" t="s">
        <v>2280</v>
      </c>
      <c r="G26" s="5558" t="s">
        <v>2370</v>
      </c>
      <c r="H26" s="5558" t="s">
        <v>28</v>
      </c>
      <c r="I26" s="5558" t="s">
        <v>829</v>
      </c>
    </row>
    <row customHeight="1" ht="11.25">
      <c r="A27" s="5558" t="s">
        <v>2271</v>
      </c>
      <c r="B27" s="5558" t="s">
        <v>16</v>
      </c>
      <c r="C27" s="5558" t="s">
        <v>2371</v>
      </c>
      <c r="D27" s="5558" t="s">
        <v>2372</v>
      </c>
      <c r="E27" s="5558" t="s">
        <v>2373</v>
      </c>
      <c r="F27" s="5558" t="s">
        <v>2306</v>
      </c>
      <c r="G27" s="5558" t="s">
        <v>2374</v>
      </c>
      <c r="H27" s="5558" t="s">
        <v>28</v>
      </c>
      <c r="I27" s="5558" t="s">
        <v>829</v>
      </c>
    </row>
    <row customHeight="1" ht="11.25">
      <c r="A28" s="5558" t="s">
        <v>2271</v>
      </c>
      <c r="B28" s="5558" t="s">
        <v>16</v>
      </c>
      <c r="C28" s="5558" t="s">
        <v>2375</v>
      </c>
      <c r="D28" s="5558" t="s">
        <v>2376</v>
      </c>
      <c r="E28" s="5558" t="s">
        <v>2283</v>
      </c>
      <c r="F28" s="5558" t="s">
        <v>2377</v>
      </c>
      <c r="G28" s="5558" t="s">
        <v>2378</v>
      </c>
      <c r="H28" s="5558" t="s">
        <v>28</v>
      </c>
      <c r="I28" s="5558" t="s">
        <v>829</v>
      </c>
    </row>
    <row customHeight="1" ht="11.25">
      <c r="A29" s="5558" t="s">
        <v>2271</v>
      </c>
      <c r="B29" s="5558" t="s">
        <v>16</v>
      </c>
      <c r="C29" s="5558" t="s">
        <v>2379</v>
      </c>
      <c r="D29" s="5558" t="s">
        <v>2380</v>
      </c>
      <c r="E29" s="5558" t="s">
        <v>2381</v>
      </c>
      <c r="F29" s="5558" t="s">
        <v>2382</v>
      </c>
      <c r="G29" s="5558" t="s">
        <v>2383</v>
      </c>
      <c r="H29" s="5558" t="s">
        <v>28</v>
      </c>
      <c r="I29" s="5558" t="s">
        <v>829</v>
      </c>
    </row>
    <row customHeight="1" ht="11.25">
      <c r="A30" s="5558" t="s">
        <v>2271</v>
      </c>
      <c r="B30" s="5558" t="s">
        <v>16</v>
      </c>
      <c r="C30" s="5558" t="s">
        <v>2384</v>
      </c>
      <c r="D30" s="5558" t="s">
        <v>2385</v>
      </c>
      <c r="E30" s="5558" t="s">
        <v>2386</v>
      </c>
      <c r="F30" s="5558" t="s">
        <v>2292</v>
      </c>
      <c r="G30" s="5558" t="s">
        <v>28</v>
      </c>
      <c r="H30" s="5558" t="s">
        <v>28</v>
      </c>
      <c r="I30" s="5558" t="s">
        <v>829</v>
      </c>
    </row>
    <row customHeight="1" ht="11.25">
      <c r="A31" s="5558" t="s">
        <v>2271</v>
      </c>
      <c r="B31" s="5558" t="s">
        <v>16</v>
      </c>
      <c r="C31" s="5558" t="s">
        <v>2387</v>
      </c>
      <c r="D31" s="5558" t="s">
        <v>2388</v>
      </c>
      <c r="E31" s="5558" t="s">
        <v>2389</v>
      </c>
      <c r="F31" s="5558" t="s">
        <v>2306</v>
      </c>
      <c r="G31" s="5558" t="s">
        <v>28</v>
      </c>
      <c r="H31" s="5558" t="s">
        <v>28</v>
      </c>
      <c r="I31" s="5558" t="s">
        <v>829</v>
      </c>
    </row>
    <row customHeight="1" ht="11.25">
      <c r="A32" s="5558" t="s">
        <v>2271</v>
      </c>
      <c r="B32" s="5558" t="s">
        <v>16</v>
      </c>
      <c r="C32" s="5558" t="s">
        <v>2390</v>
      </c>
      <c r="D32" s="5558" t="s">
        <v>2391</v>
      </c>
      <c r="E32" s="5558" t="s">
        <v>2392</v>
      </c>
      <c r="F32" s="5558" t="s">
        <v>2354</v>
      </c>
      <c r="G32" s="5558" t="s">
        <v>28</v>
      </c>
      <c r="H32" s="5558" t="s">
        <v>28</v>
      </c>
      <c r="I32" s="5558" t="s">
        <v>829</v>
      </c>
    </row>
    <row customHeight="1" ht="11.25">
      <c r="A33" s="5558" t="s">
        <v>2271</v>
      </c>
      <c r="B33" s="5558" t="s">
        <v>16</v>
      </c>
      <c r="C33" s="5558" t="s">
        <v>2393</v>
      </c>
      <c r="D33" s="5558" t="s">
        <v>2394</v>
      </c>
      <c r="E33" s="5558" t="s">
        <v>2395</v>
      </c>
      <c r="F33" s="5558" t="s">
        <v>2319</v>
      </c>
      <c r="G33" s="5558" t="s">
        <v>28</v>
      </c>
      <c r="H33" s="5558" t="s">
        <v>28</v>
      </c>
      <c r="I33" s="5558" t="s">
        <v>829</v>
      </c>
    </row>
    <row customHeight="1" ht="11.25">
      <c r="A34" s="5558" t="s">
        <v>2271</v>
      </c>
      <c r="B34" s="5558" t="s">
        <v>16</v>
      </c>
      <c r="C34" s="5558" t="s">
        <v>2396</v>
      </c>
      <c r="D34" s="5558" t="s">
        <v>2397</v>
      </c>
      <c r="E34" s="5558" t="s">
        <v>2398</v>
      </c>
      <c r="F34" s="5558" t="s">
        <v>2354</v>
      </c>
      <c r="G34" s="5558" t="s">
        <v>28</v>
      </c>
      <c r="H34" s="5558" t="s">
        <v>2399</v>
      </c>
      <c r="I34" s="5558" t="s">
        <v>829</v>
      </c>
    </row>
    <row customHeight="1" ht="11.25">
      <c r="A35" s="5558" t="s">
        <v>2271</v>
      </c>
      <c r="B35" s="5558" t="s">
        <v>16</v>
      </c>
      <c r="C35" s="5558" t="s">
        <v>2400</v>
      </c>
      <c r="D35" s="5558" t="s">
        <v>2401</v>
      </c>
      <c r="E35" s="5558" t="s">
        <v>2402</v>
      </c>
      <c r="F35" s="5558" t="s">
        <v>2280</v>
      </c>
      <c r="G35" s="5558" t="s">
        <v>2403</v>
      </c>
      <c r="H35" s="5558" t="s">
        <v>28</v>
      </c>
      <c r="I35" s="5558" t="s">
        <v>829</v>
      </c>
    </row>
    <row customHeight="1" ht="11.25">
      <c r="A36" s="5558" t="s">
        <v>2271</v>
      </c>
      <c r="B36" s="5558" t="s">
        <v>16</v>
      </c>
      <c r="C36" s="5558" t="s">
        <v>2404</v>
      </c>
      <c r="D36" s="5558" t="s">
        <v>2405</v>
      </c>
      <c r="E36" s="5558" t="s">
        <v>2406</v>
      </c>
      <c r="F36" s="5558" t="s">
        <v>2407</v>
      </c>
      <c r="G36" s="5558" t="s">
        <v>28</v>
      </c>
      <c r="H36" s="5558" t="s">
        <v>2408</v>
      </c>
      <c r="I36" s="5558" t="s">
        <v>829</v>
      </c>
    </row>
    <row customHeight="1" ht="11.25">
      <c r="A37" s="5558" t="s">
        <v>2271</v>
      </c>
      <c r="B37" s="5558" t="s">
        <v>16</v>
      </c>
      <c r="C37" s="5558" t="s">
        <v>2409</v>
      </c>
      <c r="D37" s="5558" t="s">
        <v>2410</v>
      </c>
      <c r="E37" s="5558" t="s">
        <v>2411</v>
      </c>
      <c r="F37" s="5558" t="s">
        <v>2412</v>
      </c>
      <c r="G37" s="5558" t="s">
        <v>28</v>
      </c>
      <c r="H37" s="5558" t="s">
        <v>28</v>
      </c>
      <c r="I37" s="5558" t="s">
        <v>829</v>
      </c>
    </row>
    <row customHeight="1" ht="11.25">
      <c r="A38" s="5558" t="s">
        <v>2271</v>
      </c>
      <c r="B38" s="5558" t="s">
        <v>16</v>
      </c>
      <c r="C38" s="5558" t="s">
        <v>2413</v>
      </c>
      <c r="D38" s="5558" t="s">
        <v>2414</v>
      </c>
      <c r="E38" s="5558" t="s">
        <v>2415</v>
      </c>
      <c r="F38" s="5558" t="s">
        <v>2349</v>
      </c>
      <c r="G38" s="5558" t="s">
        <v>28</v>
      </c>
      <c r="H38" s="5558" t="s">
        <v>2350</v>
      </c>
      <c r="I38" s="5558" t="s">
        <v>829</v>
      </c>
    </row>
    <row customHeight="1" ht="11.25">
      <c r="A39" s="5558" t="s">
        <v>2271</v>
      </c>
      <c r="B39" s="5558" t="s">
        <v>16</v>
      </c>
      <c r="C39" s="5558" t="s">
        <v>2416</v>
      </c>
      <c r="D39" s="5558" t="s">
        <v>2417</v>
      </c>
      <c r="E39" s="5558" t="s">
        <v>2418</v>
      </c>
      <c r="F39" s="5558" t="s">
        <v>2275</v>
      </c>
      <c r="G39" s="5558" t="s">
        <v>28</v>
      </c>
      <c r="H39" s="5558" t="s">
        <v>28</v>
      </c>
      <c r="I39" s="5558" t="s">
        <v>829</v>
      </c>
    </row>
    <row customHeight="1" ht="11.25">
      <c r="A40" s="5558" t="s">
        <v>2271</v>
      </c>
      <c r="B40" s="5558" t="s">
        <v>16</v>
      </c>
      <c r="C40" s="5558" t="s">
        <v>2419</v>
      </c>
      <c r="D40" s="5558" t="s">
        <v>2420</v>
      </c>
      <c r="E40" s="5558" t="s">
        <v>2421</v>
      </c>
      <c r="F40" s="5558" t="s">
        <v>597</v>
      </c>
      <c r="G40" s="5558" t="s">
        <v>28</v>
      </c>
      <c r="H40" s="5558" t="s">
        <v>28</v>
      </c>
      <c r="I40" s="5558" t="s">
        <v>829</v>
      </c>
    </row>
    <row customHeight="1" ht="11.25">
      <c r="A41" s="5558" t="s">
        <v>2271</v>
      </c>
      <c r="B41" s="5558" t="s">
        <v>16</v>
      </c>
      <c r="C41" s="5558" t="s">
        <v>2422</v>
      </c>
      <c r="D41" s="5558" t="s">
        <v>2423</v>
      </c>
      <c r="E41" s="5558" t="s">
        <v>2424</v>
      </c>
      <c r="F41" s="5558" t="s">
        <v>2425</v>
      </c>
      <c r="G41" s="5558" t="s">
        <v>2276</v>
      </c>
      <c r="H41" s="5558" t="s">
        <v>28</v>
      </c>
      <c r="I41" s="5558" t="s">
        <v>829</v>
      </c>
    </row>
    <row customHeight="1" ht="11.25">
      <c r="A42" s="5558" t="s">
        <v>2271</v>
      </c>
      <c r="B42" s="5558" t="s">
        <v>16</v>
      </c>
      <c r="C42" s="5558" t="s">
        <v>28</v>
      </c>
      <c r="D42" s="5558" t="s">
        <v>2426</v>
      </c>
      <c r="E42" s="5558" t="s">
        <v>2427</v>
      </c>
      <c r="F42" s="5558" t="s">
        <v>2412</v>
      </c>
      <c r="G42" s="5558" t="s">
        <v>28</v>
      </c>
      <c r="H42" s="5558" t="s">
        <v>28</v>
      </c>
      <c r="I42" s="5558" t="s">
        <v>829</v>
      </c>
    </row>
    <row customHeight="1" ht="11.25">
      <c r="A43" s="5558" t="s">
        <v>2271</v>
      </c>
      <c r="B43" s="5558" t="s">
        <v>16</v>
      </c>
      <c r="C43" s="5558" t="s">
        <v>2428</v>
      </c>
      <c r="D43" s="5558" t="s">
        <v>2429</v>
      </c>
      <c r="E43" s="5558" t="s">
        <v>2430</v>
      </c>
      <c r="F43" s="5558" t="s">
        <v>2306</v>
      </c>
      <c r="G43" s="5558" t="s">
        <v>28</v>
      </c>
      <c r="H43" s="5558" t="s">
        <v>28</v>
      </c>
      <c r="I43" s="5558" t="s">
        <v>829</v>
      </c>
    </row>
    <row customHeight="1" ht="11.25">
      <c r="A44" s="5558" t="s">
        <v>2271</v>
      </c>
      <c r="B44" s="5558" t="s">
        <v>16</v>
      </c>
      <c r="C44" s="5558" t="s">
        <v>2431</v>
      </c>
      <c r="D44" s="5558" t="s">
        <v>2432</v>
      </c>
      <c r="E44" s="5558" t="s">
        <v>2433</v>
      </c>
      <c r="F44" s="5558" t="s">
        <v>2306</v>
      </c>
      <c r="G44" s="5558" t="s">
        <v>28</v>
      </c>
      <c r="H44" s="5558" t="s">
        <v>28</v>
      </c>
      <c r="I44" s="5558" t="s">
        <v>829</v>
      </c>
    </row>
    <row customHeight="1" ht="11.25">
      <c r="A45" s="5558" t="s">
        <v>2271</v>
      </c>
      <c r="B45" s="5558" t="s">
        <v>16</v>
      </c>
      <c r="C45" s="5558" t="s">
        <v>2434</v>
      </c>
      <c r="D45" s="5558" t="s">
        <v>2435</v>
      </c>
      <c r="E45" s="5558" t="s">
        <v>2436</v>
      </c>
      <c r="F45" s="5558" t="s">
        <v>2407</v>
      </c>
      <c r="G45" s="5558" t="s">
        <v>28</v>
      </c>
      <c r="H45" s="5558" t="s">
        <v>28</v>
      </c>
      <c r="I45" s="5558" t="s">
        <v>829</v>
      </c>
    </row>
    <row customHeight="1" ht="11.25">
      <c r="A46" s="5558" t="s">
        <v>2271</v>
      </c>
      <c r="B46" s="5558" t="s">
        <v>16</v>
      </c>
      <c r="C46" s="5558" t="s">
        <v>2437</v>
      </c>
      <c r="D46" s="5558" t="s">
        <v>2438</v>
      </c>
      <c r="E46" s="5558" t="s">
        <v>2439</v>
      </c>
      <c r="F46" s="5558" t="s">
        <v>2306</v>
      </c>
      <c r="G46" s="5558" t="s">
        <v>28</v>
      </c>
      <c r="H46" s="5558" t="s">
        <v>28</v>
      </c>
      <c r="I46" s="5558" t="s">
        <v>829</v>
      </c>
    </row>
    <row customHeight="1" ht="11.25">
      <c r="A47" s="5558" t="s">
        <v>2271</v>
      </c>
      <c r="B47" s="5558" t="s">
        <v>16</v>
      </c>
      <c r="C47" s="5558" t="s">
        <v>2440</v>
      </c>
      <c r="D47" s="5558" t="s">
        <v>2441</v>
      </c>
      <c r="E47" s="5558" t="s">
        <v>2442</v>
      </c>
      <c r="F47" s="5558" t="s">
        <v>2306</v>
      </c>
      <c r="G47" s="5558" t="s">
        <v>2443</v>
      </c>
      <c r="H47" s="5558" t="s">
        <v>28</v>
      </c>
      <c r="I47" s="5558" t="s">
        <v>829</v>
      </c>
    </row>
    <row customHeight="1" ht="11.25">
      <c r="A48" s="5558" t="s">
        <v>2271</v>
      </c>
      <c r="B48" s="5558" t="s">
        <v>16</v>
      </c>
      <c r="C48" s="5558" t="s">
        <v>2444</v>
      </c>
      <c r="D48" s="5558" t="s">
        <v>2445</v>
      </c>
      <c r="E48" s="5558" t="s">
        <v>2446</v>
      </c>
      <c r="F48" s="5558" t="s">
        <v>2275</v>
      </c>
      <c r="G48" s="5558" t="s">
        <v>28</v>
      </c>
      <c r="H48" s="5558" t="s">
        <v>28</v>
      </c>
      <c r="I48" s="5558" t="s">
        <v>829</v>
      </c>
    </row>
    <row customHeight="1" ht="11.25">
      <c r="A49" s="5558" t="s">
        <v>2271</v>
      </c>
      <c r="B49" s="5558" t="s">
        <v>16</v>
      </c>
      <c r="C49" s="5558" t="s">
        <v>2447</v>
      </c>
      <c r="D49" s="5558" t="s">
        <v>2448</v>
      </c>
      <c r="E49" s="5558" t="s">
        <v>2449</v>
      </c>
      <c r="F49" s="5558" t="s">
        <v>2280</v>
      </c>
      <c r="G49" s="5558" t="s">
        <v>2450</v>
      </c>
      <c r="H49" s="5558" t="s">
        <v>28</v>
      </c>
      <c r="I49" s="5558" t="s">
        <v>829</v>
      </c>
    </row>
    <row customHeight="1" ht="11.25">
      <c r="A50" s="5558" t="s">
        <v>2271</v>
      </c>
      <c r="B50" s="5558" t="s">
        <v>16</v>
      </c>
      <c r="C50" s="5558" t="s">
        <v>2451</v>
      </c>
      <c r="D50" s="5558" t="s">
        <v>2452</v>
      </c>
      <c r="E50" s="5558" t="s">
        <v>2453</v>
      </c>
      <c r="F50" s="5558" t="s">
        <v>2454</v>
      </c>
      <c r="G50" s="5558" t="s">
        <v>28</v>
      </c>
      <c r="H50" s="5558" t="s">
        <v>28</v>
      </c>
      <c r="I50" s="5558" t="s">
        <v>829</v>
      </c>
    </row>
    <row customHeight="1" ht="11.25">
      <c r="A51" s="5558" t="s">
        <v>2271</v>
      </c>
      <c r="B51" s="5558" t="s">
        <v>16</v>
      </c>
      <c r="C51" s="5558" t="s">
        <v>2455</v>
      </c>
      <c r="D51" s="5558" t="s">
        <v>2456</v>
      </c>
      <c r="E51" s="5558" t="s">
        <v>2457</v>
      </c>
      <c r="F51" s="5558" t="s">
        <v>2306</v>
      </c>
      <c r="G51" s="5558" t="s">
        <v>28</v>
      </c>
      <c r="H51" s="5558" t="s">
        <v>28</v>
      </c>
      <c r="I51" s="5558" t="s">
        <v>829</v>
      </c>
    </row>
    <row customHeight="1" ht="11.25">
      <c r="A52" s="5558" t="s">
        <v>2271</v>
      </c>
      <c r="B52" s="5558" t="s">
        <v>16</v>
      </c>
      <c r="C52" s="5558" t="s">
        <v>2458</v>
      </c>
      <c r="D52" s="5558" t="s">
        <v>2459</v>
      </c>
      <c r="E52" s="5558" t="s">
        <v>2460</v>
      </c>
      <c r="F52" s="5558" t="s">
        <v>2341</v>
      </c>
      <c r="G52" s="5558" t="s">
        <v>28</v>
      </c>
      <c r="H52" s="5558" t="s">
        <v>28</v>
      </c>
      <c r="I52" s="5558" t="s">
        <v>829</v>
      </c>
    </row>
    <row customHeight="1" ht="11.25">
      <c r="A53" s="5558" t="s">
        <v>2271</v>
      </c>
      <c r="B53" s="5558" t="s">
        <v>16</v>
      </c>
      <c r="C53" s="5558" t="s">
        <v>2461</v>
      </c>
      <c r="D53" s="5558" t="s">
        <v>2462</v>
      </c>
      <c r="E53" s="5558" t="s">
        <v>2463</v>
      </c>
      <c r="F53" s="5558" t="s">
        <v>2306</v>
      </c>
      <c r="G53" s="5558" t="s">
        <v>28</v>
      </c>
      <c r="H53" s="5558" t="s">
        <v>28</v>
      </c>
      <c r="I53" s="5558" t="s">
        <v>829</v>
      </c>
    </row>
    <row customHeight="1" ht="11.25">
      <c r="A54" s="5558" t="s">
        <v>2271</v>
      </c>
      <c r="B54" s="5558" t="s">
        <v>16</v>
      </c>
      <c r="C54" s="5558" t="s">
        <v>2464</v>
      </c>
      <c r="D54" s="5558" t="s">
        <v>2465</v>
      </c>
      <c r="E54" s="5558" t="s">
        <v>2466</v>
      </c>
      <c r="F54" s="5558" t="s">
        <v>2306</v>
      </c>
      <c r="G54" s="5558" t="s">
        <v>28</v>
      </c>
      <c r="H54" s="5558" t="s">
        <v>28</v>
      </c>
      <c r="I54" s="5558" t="s">
        <v>829</v>
      </c>
    </row>
    <row customHeight="1" ht="11.25">
      <c r="A55" s="5558" t="s">
        <v>2271</v>
      </c>
      <c r="B55" s="5558" t="s">
        <v>16</v>
      </c>
      <c r="C55" s="5558" t="s">
        <v>2467</v>
      </c>
      <c r="D55" s="5558" t="s">
        <v>2468</v>
      </c>
      <c r="E55" s="5558" t="s">
        <v>2469</v>
      </c>
      <c r="F55" s="5558" t="s">
        <v>2314</v>
      </c>
      <c r="G55" s="5558" t="s">
        <v>28</v>
      </c>
      <c r="H55" s="5558" t="s">
        <v>28</v>
      </c>
      <c r="I55" s="5558" t="s">
        <v>829</v>
      </c>
    </row>
    <row customHeight="1" ht="11.25">
      <c r="A56" s="5558" t="s">
        <v>2271</v>
      </c>
      <c r="B56" s="5558" t="s">
        <v>16</v>
      </c>
      <c r="C56" s="5558" t="s">
        <v>2470</v>
      </c>
      <c r="D56" s="5558" t="s">
        <v>2471</v>
      </c>
      <c r="E56" s="5558" t="s">
        <v>2472</v>
      </c>
      <c r="F56" s="5558" t="s">
        <v>2354</v>
      </c>
      <c r="G56" s="5558" t="s">
        <v>28</v>
      </c>
      <c r="H56" s="5558" t="s">
        <v>2473</v>
      </c>
      <c r="I56" s="5558" t="s">
        <v>829</v>
      </c>
    </row>
    <row customHeight="1" ht="11.25">
      <c r="A57" s="5558" t="s">
        <v>2271</v>
      </c>
      <c r="B57" s="5558" t="s">
        <v>16</v>
      </c>
      <c r="C57" s="5558" t="s">
        <v>2474</v>
      </c>
      <c r="D57" s="5558" t="s">
        <v>2475</v>
      </c>
      <c r="E57" s="5558" t="s">
        <v>2476</v>
      </c>
      <c r="F57" s="5558" t="s">
        <v>2319</v>
      </c>
      <c r="G57" s="5558" t="s">
        <v>28</v>
      </c>
      <c r="H57" s="5558" t="s">
        <v>28</v>
      </c>
      <c r="I57" s="5558" t="s">
        <v>829</v>
      </c>
    </row>
    <row customHeight="1" ht="11.25">
      <c r="A58" s="5558" t="s">
        <v>2271</v>
      </c>
      <c r="B58" s="5558" t="s">
        <v>16</v>
      </c>
      <c r="C58" s="5558" t="s">
        <v>2477</v>
      </c>
      <c r="D58" s="5558" t="s">
        <v>2478</v>
      </c>
      <c r="E58" s="5558" t="s">
        <v>2479</v>
      </c>
      <c r="F58" s="5558" t="s">
        <v>2306</v>
      </c>
      <c r="G58" s="5558" t="s">
        <v>28</v>
      </c>
      <c r="H58" s="5558" t="s">
        <v>28</v>
      </c>
      <c r="I58" s="5558" t="s">
        <v>829</v>
      </c>
    </row>
    <row customHeight="1" ht="11.25">
      <c r="A59" s="5558" t="s">
        <v>2271</v>
      </c>
      <c r="B59" s="5558" t="s">
        <v>16</v>
      </c>
      <c r="C59" s="5558" t="s">
        <v>2480</v>
      </c>
      <c r="D59" s="5558" t="s">
        <v>2481</v>
      </c>
      <c r="E59" s="5558" t="s">
        <v>2482</v>
      </c>
      <c r="F59" s="5558" t="s">
        <v>2306</v>
      </c>
      <c r="G59" s="5558" t="s">
        <v>28</v>
      </c>
      <c r="H59" s="5558" t="s">
        <v>28</v>
      </c>
      <c r="I59" s="5558" t="s">
        <v>829</v>
      </c>
    </row>
    <row customHeight="1" ht="11.25">
      <c r="A60" s="5558" t="s">
        <v>2271</v>
      </c>
      <c r="B60" s="5558" t="s">
        <v>16</v>
      </c>
      <c r="C60" s="5558" t="s">
        <v>2483</v>
      </c>
      <c r="D60" s="5558" t="s">
        <v>2484</v>
      </c>
      <c r="E60" s="5558" t="s">
        <v>2485</v>
      </c>
      <c r="F60" s="5558" t="s">
        <v>2319</v>
      </c>
      <c r="G60" s="5558" t="s">
        <v>28</v>
      </c>
      <c r="H60" s="5558" t="s">
        <v>28</v>
      </c>
      <c r="I60" s="5558" t="s">
        <v>829</v>
      </c>
    </row>
    <row customHeight="1" ht="11.25">
      <c r="A61" s="5558" t="s">
        <v>2271</v>
      </c>
      <c r="B61" s="5558" t="s">
        <v>16</v>
      </c>
      <c r="C61" s="5558" t="s">
        <v>2486</v>
      </c>
      <c r="D61" s="5558" t="s">
        <v>2487</v>
      </c>
      <c r="E61" s="5558" t="s">
        <v>2488</v>
      </c>
      <c r="F61" s="5558" t="s">
        <v>2319</v>
      </c>
      <c r="G61" s="5558" t="s">
        <v>28</v>
      </c>
      <c r="H61" s="5558" t="s">
        <v>28</v>
      </c>
      <c r="I61" s="5558" t="s">
        <v>829</v>
      </c>
    </row>
    <row customHeight="1" ht="11.25">
      <c r="A62" s="5558" t="s">
        <v>2271</v>
      </c>
      <c r="B62" s="5558" t="s">
        <v>16</v>
      </c>
      <c r="C62" s="5558" t="s">
        <v>2489</v>
      </c>
      <c r="D62" s="5558" t="s">
        <v>2490</v>
      </c>
      <c r="E62" s="5558" t="s">
        <v>2491</v>
      </c>
      <c r="F62" s="5558" t="s">
        <v>2280</v>
      </c>
      <c r="G62" s="5558" t="s">
        <v>28</v>
      </c>
      <c r="H62" s="5558" t="s">
        <v>28</v>
      </c>
      <c r="I62" s="5558" t="s">
        <v>829</v>
      </c>
    </row>
    <row customHeight="1" ht="11.25">
      <c r="A63" s="5558" t="s">
        <v>2271</v>
      </c>
      <c r="B63" s="5558" t="s">
        <v>16</v>
      </c>
      <c r="C63" s="5558" t="s">
        <v>2492</v>
      </c>
      <c r="D63" s="5558" t="s">
        <v>2493</v>
      </c>
      <c r="E63" s="5558" t="s">
        <v>2494</v>
      </c>
      <c r="F63" s="5558" t="s">
        <v>2341</v>
      </c>
      <c r="G63" s="5558" t="s">
        <v>28</v>
      </c>
      <c r="H63" s="5558" t="s">
        <v>28</v>
      </c>
      <c r="I63" s="5558" t="s">
        <v>829</v>
      </c>
    </row>
    <row customHeight="1" ht="11.25">
      <c r="A64" s="5558" t="s">
        <v>2271</v>
      </c>
      <c r="B64" s="5558" t="s">
        <v>16</v>
      </c>
      <c r="C64" s="5558" t="s">
        <v>2495</v>
      </c>
      <c r="D64" s="5558" t="s">
        <v>2496</v>
      </c>
      <c r="E64" s="5558" t="s">
        <v>2497</v>
      </c>
      <c r="F64" s="5558" t="s">
        <v>2319</v>
      </c>
      <c r="G64" s="5558" t="s">
        <v>28</v>
      </c>
      <c r="H64" s="5558" t="s">
        <v>28</v>
      </c>
      <c r="I64" s="5558" t="s">
        <v>829</v>
      </c>
    </row>
    <row customHeight="1" ht="11.25">
      <c r="A65" s="5558" t="s">
        <v>2271</v>
      </c>
      <c r="B65" s="5558" t="s">
        <v>16</v>
      </c>
      <c r="C65" s="5558" t="s">
        <v>2498</v>
      </c>
      <c r="D65" s="5558" t="s">
        <v>2499</v>
      </c>
      <c r="E65" s="5558" t="s">
        <v>2500</v>
      </c>
      <c r="F65" s="5558" t="s">
        <v>2292</v>
      </c>
      <c r="G65" s="5558" t="s">
        <v>2501</v>
      </c>
      <c r="H65" s="5558" t="s">
        <v>28</v>
      </c>
      <c r="I65" s="5558" t="s">
        <v>829</v>
      </c>
    </row>
    <row customHeight="1" ht="11.25">
      <c r="A66" s="5558" t="s">
        <v>2271</v>
      </c>
      <c r="B66" s="5558" t="s">
        <v>16</v>
      </c>
      <c r="C66" s="5558" t="s">
        <v>2502</v>
      </c>
      <c r="D66" s="5558" t="s">
        <v>2503</v>
      </c>
      <c r="E66" s="5558" t="s">
        <v>2504</v>
      </c>
      <c r="F66" s="5558" t="s">
        <v>2341</v>
      </c>
      <c r="G66" s="5558" t="s">
        <v>28</v>
      </c>
      <c r="H66" s="5558" t="s">
        <v>28</v>
      </c>
      <c r="I66" s="5558" t="s">
        <v>829</v>
      </c>
    </row>
    <row customHeight="1" ht="11.25">
      <c r="A67" s="5558" t="s">
        <v>2271</v>
      </c>
      <c r="B67" s="5558" t="s">
        <v>16</v>
      </c>
      <c r="C67" s="5558" t="s">
        <v>2505</v>
      </c>
      <c r="D67" s="5558" t="s">
        <v>2506</v>
      </c>
      <c r="E67" s="5558" t="s">
        <v>2507</v>
      </c>
      <c r="F67" s="5558" t="s">
        <v>2280</v>
      </c>
      <c r="G67" s="5558" t="s">
        <v>2276</v>
      </c>
      <c r="H67" s="5558" t="s">
        <v>2508</v>
      </c>
      <c r="I67" s="5558" t="s">
        <v>829</v>
      </c>
    </row>
    <row customHeight="1" ht="11.25">
      <c r="A68" s="5558" t="s">
        <v>2271</v>
      </c>
      <c r="B68" s="5558" t="s">
        <v>16</v>
      </c>
      <c r="C68" s="5558" t="s">
        <v>2509</v>
      </c>
      <c r="D68" s="5558" t="s">
        <v>2510</v>
      </c>
      <c r="E68" s="5558" t="s">
        <v>2511</v>
      </c>
      <c r="F68" s="5558" t="s">
        <v>2512</v>
      </c>
      <c r="G68" s="5558" t="s">
        <v>28</v>
      </c>
      <c r="H68" s="5558" t="s">
        <v>28</v>
      </c>
      <c r="I68" s="5558" t="s">
        <v>829</v>
      </c>
    </row>
    <row customHeight="1" ht="11.25">
      <c r="A69" s="5558" t="s">
        <v>2271</v>
      </c>
      <c r="B69" s="5558" t="s">
        <v>16</v>
      </c>
      <c r="C69" s="5558" t="s">
        <v>2513</v>
      </c>
      <c r="D69" s="5558" t="s">
        <v>2514</v>
      </c>
      <c r="E69" s="5558" t="s">
        <v>2515</v>
      </c>
      <c r="F69" s="5558" t="s">
        <v>2292</v>
      </c>
      <c r="G69" s="5558" t="s">
        <v>28</v>
      </c>
      <c r="H69" s="5558" t="s">
        <v>28</v>
      </c>
      <c r="I69" s="5558" t="s">
        <v>829</v>
      </c>
    </row>
    <row customHeight="1" ht="11.25">
      <c r="A70" s="5558" t="s">
        <v>2271</v>
      </c>
      <c r="B70" s="5558" t="s">
        <v>16</v>
      </c>
      <c r="C70" s="5558" t="s">
        <v>2516</v>
      </c>
      <c r="D70" s="5558" t="s">
        <v>2517</v>
      </c>
      <c r="E70" s="5558" t="s">
        <v>2518</v>
      </c>
      <c r="F70" s="5558" t="s">
        <v>2280</v>
      </c>
      <c r="G70" s="5558" t="s">
        <v>28</v>
      </c>
      <c r="H70" s="5558" t="s">
        <v>28</v>
      </c>
      <c r="I70" s="5558" t="s">
        <v>829</v>
      </c>
    </row>
    <row customHeight="1" ht="11.25">
      <c r="A71" s="5558" t="s">
        <v>2271</v>
      </c>
      <c r="B71" s="5558" t="s">
        <v>16</v>
      </c>
      <c r="C71" s="5558" t="s">
        <v>2519</v>
      </c>
      <c r="D71" s="5558" t="s">
        <v>2520</v>
      </c>
      <c r="E71" s="5558" t="s">
        <v>2521</v>
      </c>
      <c r="F71" s="5558" t="s">
        <v>2522</v>
      </c>
      <c r="G71" s="5558" t="s">
        <v>2523</v>
      </c>
      <c r="H71" s="5558" t="s">
        <v>28</v>
      </c>
      <c r="I71" s="5558" t="s">
        <v>829</v>
      </c>
    </row>
    <row customHeight="1" ht="11.25">
      <c r="A72" s="5558" t="s">
        <v>2271</v>
      </c>
      <c r="B72" s="5558" t="s">
        <v>16</v>
      </c>
      <c r="C72" s="5558" t="s">
        <v>2524</v>
      </c>
      <c r="D72" s="5558" t="s">
        <v>2525</v>
      </c>
      <c r="E72" s="5558" t="s">
        <v>2526</v>
      </c>
      <c r="F72" s="5558" t="s">
        <v>2275</v>
      </c>
      <c r="G72" s="5558" t="s">
        <v>28</v>
      </c>
      <c r="H72" s="5558" t="s">
        <v>28</v>
      </c>
      <c r="I72" s="5558" t="s">
        <v>829</v>
      </c>
    </row>
    <row customHeight="1" ht="11.25">
      <c r="A73" s="5558" t="s">
        <v>2271</v>
      </c>
      <c r="B73" s="5558" t="s">
        <v>16</v>
      </c>
      <c r="C73" s="5558" t="s">
        <v>2527</v>
      </c>
      <c r="D73" s="5558" t="s">
        <v>2528</v>
      </c>
      <c r="E73" s="5558" t="s">
        <v>2529</v>
      </c>
      <c r="F73" s="5558" t="s">
        <v>2306</v>
      </c>
      <c r="G73" s="5558" t="s">
        <v>28</v>
      </c>
      <c r="H73" s="5558" t="s">
        <v>28</v>
      </c>
      <c r="I73" s="5558" t="s">
        <v>829</v>
      </c>
    </row>
    <row customHeight="1" ht="11.25">
      <c r="A74" s="5558" t="s">
        <v>2271</v>
      </c>
      <c r="B74" s="5558" t="s">
        <v>16</v>
      </c>
      <c r="C74" s="5558" t="s">
        <v>2530</v>
      </c>
      <c r="D74" s="5558" t="s">
        <v>2531</v>
      </c>
      <c r="E74" s="5558" t="s">
        <v>2532</v>
      </c>
      <c r="F74" s="5558" t="s">
        <v>2275</v>
      </c>
      <c r="G74" s="5558" t="s">
        <v>28</v>
      </c>
      <c r="H74" s="5558" t="s">
        <v>28</v>
      </c>
      <c r="I74" s="5558" t="s">
        <v>829</v>
      </c>
    </row>
    <row customHeight="1" ht="11.25">
      <c r="A75" s="5558" t="s">
        <v>2271</v>
      </c>
      <c r="B75" s="5558" t="s">
        <v>16</v>
      </c>
      <c r="C75" s="5558" t="s">
        <v>2533</v>
      </c>
      <c r="D75" s="5558" t="s">
        <v>2534</v>
      </c>
      <c r="E75" s="5558" t="s">
        <v>2535</v>
      </c>
      <c r="F75" s="5558" t="s">
        <v>2536</v>
      </c>
      <c r="G75" s="5558" t="s">
        <v>2537</v>
      </c>
      <c r="H75" s="5558" t="s">
        <v>28</v>
      </c>
      <c r="I75" s="5558" t="s">
        <v>829</v>
      </c>
    </row>
    <row customHeight="1" ht="11.25">
      <c r="A76" s="5558" t="s">
        <v>2271</v>
      </c>
      <c r="B76" s="5558" t="s">
        <v>16</v>
      </c>
      <c r="C76" s="5558" t="s">
        <v>2538</v>
      </c>
      <c r="D76" s="5558" t="s">
        <v>2539</v>
      </c>
      <c r="E76" s="5558" t="s">
        <v>2540</v>
      </c>
      <c r="F76" s="5558" t="s">
        <v>2280</v>
      </c>
      <c r="G76" s="5558" t="s">
        <v>28</v>
      </c>
      <c r="H76" s="5558" t="s">
        <v>28</v>
      </c>
      <c r="I76" s="5558" t="s">
        <v>829</v>
      </c>
    </row>
    <row customHeight="1" ht="11.25">
      <c r="A77" s="5558" t="s">
        <v>2271</v>
      </c>
      <c r="B77" s="5558" t="s">
        <v>16</v>
      </c>
      <c r="C77" s="5558" t="s">
        <v>2541</v>
      </c>
      <c r="D77" s="5558" t="s">
        <v>2542</v>
      </c>
      <c r="E77" s="5558" t="s">
        <v>2543</v>
      </c>
      <c r="F77" s="5558" t="s">
        <v>2302</v>
      </c>
      <c r="G77" s="5558" t="s">
        <v>28</v>
      </c>
      <c r="H77" s="5558" t="s">
        <v>28</v>
      </c>
      <c r="I77" s="5558" t="s">
        <v>829</v>
      </c>
    </row>
    <row customHeight="1" ht="11.25">
      <c r="A78" s="5558" t="s">
        <v>2271</v>
      </c>
      <c r="B78" s="5558" t="s">
        <v>16</v>
      </c>
      <c r="C78" s="5558" t="s">
        <v>2544</v>
      </c>
      <c r="D78" s="5558" t="s">
        <v>2545</v>
      </c>
      <c r="E78" s="5558" t="s">
        <v>2546</v>
      </c>
      <c r="F78" s="5558" t="s">
        <v>2302</v>
      </c>
      <c r="G78" s="5558" t="s">
        <v>28</v>
      </c>
      <c r="H78" s="5558" t="s">
        <v>28</v>
      </c>
      <c r="I78" s="5558" t="s">
        <v>829</v>
      </c>
    </row>
    <row customHeight="1" ht="11.25">
      <c r="A79" s="5558" t="s">
        <v>2271</v>
      </c>
      <c r="B79" s="5558" t="s">
        <v>16</v>
      </c>
      <c r="C79" s="5558" t="s">
        <v>2547</v>
      </c>
      <c r="D79" s="5558" t="s">
        <v>2548</v>
      </c>
      <c r="E79" s="5558" t="s">
        <v>2549</v>
      </c>
      <c r="F79" s="5558" t="s">
        <v>2550</v>
      </c>
      <c r="G79" s="5558" t="s">
        <v>28</v>
      </c>
      <c r="H79" s="5558" t="s">
        <v>28</v>
      </c>
      <c r="I79" s="5558" t="s">
        <v>829</v>
      </c>
    </row>
    <row customHeight="1" ht="11.25">
      <c r="A80" s="5558" t="s">
        <v>2271</v>
      </c>
      <c r="B80" s="5558" t="s">
        <v>16</v>
      </c>
      <c r="C80" s="5558" t="s">
        <v>2551</v>
      </c>
      <c r="D80" s="5558" t="s">
        <v>2552</v>
      </c>
      <c r="E80" s="5558" t="s">
        <v>2553</v>
      </c>
      <c r="F80" s="5558" t="s">
        <v>2425</v>
      </c>
      <c r="G80" s="5558" t="s">
        <v>28</v>
      </c>
      <c r="H80" s="5558" t="s">
        <v>28</v>
      </c>
      <c r="I80" s="5558" t="s">
        <v>829</v>
      </c>
    </row>
    <row customHeight="1" ht="11.25">
      <c r="A81" s="5558" t="s">
        <v>2271</v>
      </c>
      <c r="B81" s="5558" t="s">
        <v>16</v>
      </c>
      <c r="C81" s="5558" t="s">
        <v>2554</v>
      </c>
      <c r="D81" s="5558" t="s">
        <v>2555</v>
      </c>
      <c r="E81" s="5558" t="s">
        <v>2556</v>
      </c>
      <c r="F81" s="5558" t="s">
        <v>2557</v>
      </c>
      <c r="G81" s="5558" t="s">
        <v>28</v>
      </c>
      <c r="H81" s="5558" t="s">
        <v>28</v>
      </c>
      <c r="I81" s="5558" t="s">
        <v>829</v>
      </c>
    </row>
    <row customHeight="1" ht="11.25">
      <c r="A82" s="5558" t="s">
        <v>2271</v>
      </c>
      <c r="B82" s="5558" t="s">
        <v>16</v>
      </c>
      <c r="C82" s="5558" t="s">
        <v>2558</v>
      </c>
      <c r="D82" s="5558" t="s">
        <v>2559</v>
      </c>
      <c r="E82" s="5558" t="s">
        <v>2560</v>
      </c>
      <c r="F82" s="5558" t="s">
        <v>2337</v>
      </c>
      <c r="G82" s="5558" t="s">
        <v>2561</v>
      </c>
      <c r="H82" s="5558" t="s">
        <v>28</v>
      </c>
      <c r="I82" s="5558" t="s">
        <v>829</v>
      </c>
    </row>
    <row customHeight="1" ht="11.25">
      <c r="A83" s="5558" t="s">
        <v>2271</v>
      </c>
      <c r="B83" s="5558" t="s">
        <v>16</v>
      </c>
      <c r="C83" s="5558" t="s">
        <v>2562</v>
      </c>
      <c r="D83" s="5558" t="s">
        <v>2563</v>
      </c>
      <c r="E83" s="5558" t="s">
        <v>2564</v>
      </c>
      <c r="F83" s="5558" t="s">
        <v>2306</v>
      </c>
      <c r="G83" s="5558" t="s">
        <v>2565</v>
      </c>
      <c r="H83" s="5558" t="s">
        <v>28</v>
      </c>
      <c r="I83" s="5558" t="s">
        <v>829</v>
      </c>
    </row>
    <row customHeight="1" ht="11.25">
      <c r="A84" s="5558" t="s">
        <v>2271</v>
      </c>
      <c r="B84" s="5558" t="s">
        <v>16</v>
      </c>
      <c r="C84" s="5558" t="s">
        <v>2566</v>
      </c>
      <c r="D84" s="5558" t="s">
        <v>2567</v>
      </c>
      <c r="E84" s="5558" t="s">
        <v>2568</v>
      </c>
      <c r="F84" s="5558" t="s">
        <v>2306</v>
      </c>
      <c r="G84" s="5558" t="s">
        <v>2569</v>
      </c>
      <c r="H84" s="5558" t="s">
        <v>28</v>
      </c>
      <c r="I84" s="5558" t="s">
        <v>829</v>
      </c>
    </row>
    <row customHeight="1" ht="11.25">
      <c r="A85" s="5558" t="s">
        <v>2271</v>
      </c>
      <c r="B85" s="5558" t="s">
        <v>16</v>
      </c>
      <c r="C85" s="5558" t="s">
        <v>2570</v>
      </c>
      <c r="D85" s="5558" t="s">
        <v>2571</v>
      </c>
      <c r="E85" s="5558" t="s">
        <v>2572</v>
      </c>
      <c r="F85" s="5558" t="s">
        <v>2319</v>
      </c>
      <c r="G85" s="5558" t="s">
        <v>28</v>
      </c>
      <c r="H85" s="5558" t="s">
        <v>28</v>
      </c>
      <c r="I85" s="5558" t="s">
        <v>829</v>
      </c>
    </row>
    <row customHeight="1" ht="11.25">
      <c r="A86" s="5558" t="s">
        <v>2271</v>
      </c>
      <c r="B86" s="5558" t="s">
        <v>16</v>
      </c>
      <c r="C86" s="5558" t="s">
        <v>2573</v>
      </c>
      <c r="D86" s="5558" t="s">
        <v>2574</v>
      </c>
      <c r="E86" s="5558" t="s">
        <v>2575</v>
      </c>
      <c r="F86" s="5558" t="s">
        <v>2425</v>
      </c>
      <c r="G86" s="5558" t="s">
        <v>28</v>
      </c>
      <c r="H86" s="5558" t="s">
        <v>28</v>
      </c>
      <c r="I86" s="5558" t="s">
        <v>829</v>
      </c>
    </row>
    <row customHeight="1" ht="11.25">
      <c r="A87" s="5558" t="s">
        <v>2271</v>
      </c>
      <c r="B87" s="5558" t="s">
        <v>16</v>
      </c>
      <c r="C87" s="5558" t="s">
        <v>2576</v>
      </c>
      <c r="D87" s="5558" t="s">
        <v>2577</v>
      </c>
      <c r="E87" s="5558" t="s">
        <v>2578</v>
      </c>
      <c r="F87" s="5558" t="s">
        <v>2512</v>
      </c>
      <c r="G87" s="5558" t="s">
        <v>28</v>
      </c>
      <c r="H87" s="5558" t="s">
        <v>28</v>
      </c>
      <c r="I87" s="5558" t="s">
        <v>829</v>
      </c>
    </row>
    <row customHeight="1" ht="11.25">
      <c r="A88" s="5558" t="s">
        <v>2271</v>
      </c>
      <c r="B88" s="5558" t="s">
        <v>16</v>
      </c>
      <c r="C88" s="5558" t="s">
        <v>2579</v>
      </c>
      <c r="D88" s="5558" t="s">
        <v>2580</v>
      </c>
      <c r="E88" s="5558" t="s">
        <v>2581</v>
      </c>
      <c r="F88" s="5558" t="s">
        <v>2306</v>
      </c>
      <c r="G88" s="5558" t="s">
        <v>2582</v>
      </c>
      <c r="H88" s="5558" t="s">
        <v>28</v>
      </c>
      <c r="I88" s="5558" t="s">
        <v>829</v>
      </c>
    </row>
    <row customHeight="1" ht="11.25">
      <c r="A89" s="5558" t="s">
        <v>2271</v>
      </c>
      <c r="B89" s="5558" t="s">
        <v>16</v>
      </c>
      <c r="C89" s="5558" t="s">
        <v>2583</v>
      </c>
      <c r="D89" s="5558" t="s">
        <v>2584</v>
      </c>
      <c r="E89" s="5558" t="s">
        <v>2585</v>
      </c>
      <c r="F89" s="5558" t="s">
        <v>2275</v>
      </c>
      <c r="G89" s="5558" t="s">
        <v>2586</v>
      </c>
      <c r="H89" s="5558" t="s">
        <v>28</v>
      </c>
      <c r="I89" s="5558" t="s">
        <v>829</v>
      </c>
    </row>
    <row customHeight="1" ht="11.25">
      <c r="A90" s="5558" t="s">
        <v>2271</v>
      </c>
      <c r="B90" s="5558" t="s">
        <v>16</v>
      </c>
      <c r="C90" s="5558" t="s">
        <v>2587</v>
      </c>
      <c r="D90" s="5558" t="s">
        <v>2588</v>
      </c>
      <c r="E90" s="5558" t="s">
        <v>2589</v>
      </c>
      <c r="F90" s="5558" t="s">
        <v>2557</v>
      </c>
      <c r="G90" s="5558" t="s">
        <v>28</v>
      </c>
      <c r="H90" s="5558" t="s">
        <v>28</v>
      </c>
      <c r="I90" s="5558" t="s">
        <v>829</v>
      </c>
    </row>
    <row customHeight="1" ht="11.25">
      <c r="A91" s="5558" t="s">
        <v>2271</v>
      </c>
      <c r="B91" s="5558" t="s">
        <v>16</v>
      </c>
      <c r="C91" s="5558" t="s">
        <v>2590</v>
      </c>
      <c r="D91" s="5558" t="s">
        <v>2591</v>
      </c>
      <c r="E91" s="5558" t="s">
        <v>2592</v>
      </c>
      <c r="F91" s="5558" t="s">
        <v>2358</v>
      </c>
      <c r="G91" s="5558" t="s">
        <v>2593</v>
      </c>
      <c r="H91" s="5558" t="s">
        <v>28</v>
      </c>
      <c r="I91" s="5558" t="s">
        <v>829</v>
      </c>
    </row>
    <row customHeight="1" ht="11.25">
      <c r="A92" s="5558" t="s">
        <v>2271</v>
      </c>
      <c r="B92" s="5558" t="s">
        <v>16</v>
      </c>
      <c r="C92" s="5558" t="s">
        <v>2594</v>
      </c>
      <c r="D92" s="5558" t="s">
        <v>2595</v>
      </c>
      <c r="E92" s="5558" t="s">
        <v>2596</v>
      </c>
      <c r="F92" s="5558" t="s">
        <v>2280</v>
      </c>
      <c r="G92" s="5558" t="s">
        <v>28</v>
      </c>
      <c r="H92" s="5558" t="s">
        <v>28</v>
      </c>
      <c r="I92" s="5558" t="s">
        <v>829</v>
      </c>
    </row>
    <row customHeight="1" ht="11.25">
      <c r="A93" s="5558" t="s">
        <v>2271</v>
      </c>
      <c r="B93" s="5558" t="s">
        <v>16</v>
      </c>
      <c r="C93" s="5558" t="s">
        <v>2597</v>
      </c>
      <c r="D93" s="5558" t="s">
        <v>2598</v>
      </c>
      <c r="E93" s="5558" t="s">
        <v>2599</v>
      </c>
      <c r="F93" s="5558" t="s">
        <v>2600</v>
      </c>
      <c r="G93" s="5558" t="s">
        <v>28</v>
      </c>
      <c r="H93" s="5558" t="s">
        <v>28</v>
      </c>
      <c r="I93" s="5558" t="s">
        <v>829</v>
      </c>
    </row>
    <row customHeight="1" ht="11.25">
      <c r="A94" s="5558" t="s">
        <v>2271</v>
      </c>
      <c r="B94" s="5558" t="s">
        <v>16</v>
      </c>
      <c r="C94" s="5558" t="s">
        <v>2601</v>
      </c>
      <c r="D94" s="5558" t="s">
        <v>2602</v>
      </c>
      <c r="E94" s="5558" t="s">
        <v>2603</v>
      </c>
      <c r="F94" s="5558" t="s">
        <v>2604</v>
      </c>
      <c r="G94" s="5558" t="s">
        <v>28</v>
      </c>
      <c r="H94" s="5558" t="s">
        <v>28</v>
      </c>
      <c r="I94" s="5558" t="s">
        <v>829</v>
      </c>
    </row>
    <row customHeight="1" ht="11.25">
      <c r="A95" s="5558" t="s">
        <v>2271</v>
      </c>
      <c r="B95" s="5558" t="s">
        <v>16</v>
      </c>
      <c r="C95" s="5558" t="s">
        <v>2605</v>
      </c>
      <c r="D95" s="5558" t="s">
        <v>2606</v>
      </c>
      <c r="E95" s="5558" t="s">
        <v>2607</v>
      </c>
      <c r="F95" s="5558" t="s">
        <v>2319</v>
      </c>
      <c r="G95" s="5558" t="s">
        <v>28</v>
      </c>
      <c r="H95" s="5558" t="s">
        <v>28</v>
      </c>
      <c r="I95" s="5558" t="s">
        <v>829</v>
      </c>
    </row>
    <row customHeight="1" ht="11.25">
      <c r="A96" s="5558" t="s">
        <v>2271</v>
      </c>
      <c r="B96" s="5558" t="s">
        <v>16</v>
      </c>
      <c r="C96" s="5558" t="s">
        <v>2608</v>
      </c>
      <c r="D96" s="5558" t="s">
        <v>2609</v>
      </c>
      <c r="E96" s="5558" t="s">
        <v>2610</v>
      </c>
      <c r="F96" s="5558" t="s">
        <v>2314</v>
      </c>
      <c r="G96" s="5558" t="s">
        <v>28</v>
      </c>
      <c r="H96" s="5558" t="s">
        <v>28</v>
      </c>
      <c r="I96" s="5558" t="s">
        <v>829</v>
      </c>
    </row>
    <row customHeight="1" ht="11.25">
      <c r="A97" s="5558" t="s">
        <v>2271</v>
      </c>
      <c r="B97" s="5558" t="s">
        <v>16</v>
      </c>
      <c r="C97" s="5558" t="s">
        <v>2611</v>
      </c>
      <c r="D97" s="5558" t="s">
        <v>2612</v>
      </c>
      <c r="E97" s="5558" t="s">
        <v>2613</v>
      </c>
      <c r="F97" s="5558" t="s">
        <v>2341</v>
      </c>
      <c r="G97" s="5558" t="s">
        <v>28</v>
      </c>
      <c r="H97" s="5558" t="s">
        <v>28</v>
      </c>
      <c r="I97" s="5558" t="s">
        <v>829</v>
      </c>
    </row>
    <row customHeight="1" ht="11.25">
      <c r="A98" s="5558" t="s">
        <v>2271</v>
      </c>
      <c r="B98" s="5558" t="s">
        <v>16</v>
      </c>
      <c r="C98" s="5558" t="s">
        <v>2614</v>
      </c>
      <c r="D98" s="5558" t="s">
        <v>2615</v>
      </c>
      <c r="E98" s="5558" t="s">
        <v>2616</v>
      </c>
      <c r="F98" s="5558" t="s">
        <v>2306</v>
      </c>
      <c r="G98" s="5558" t="s">
        <v>2617</v>
      </c>
      <c r="H98" s="5558" t="s">
        <v>28</v>
      </c>
      <c r="I98" s="5558" t="s">
        <v>829</v>
      </c>
    </row>
    <row customHeight="1" ht="11.25">
      <c r="A99" s="5558" t="s">
        <v>2271</v>
      </c>
      <c r="B99" s="5558" t="s">
        <v>16</v>
      </c>
      <c r="C99" s="5558" t="s">
        <v>2618</v>
      </c>
      <c r="D99" s="5558" t="s">
        <v>2619</v>
      </c>
      <c r="E99" s="5558" t="s">
        <v>2620</v>
      </c>
      <c r="F99" s="5558" t="s">
        <v>2319</v>
      </c>
      <c r="G99" s="5558" t="s">
        <v>28</v>
      </c>
      <c r="H99" s="5558" t="s">
        <v>28</v>
      </c>
      <c r="I99" s="5558" t="s">
        <v>829</v>
      </c>
    </row>
    <row customHeight="1" ht="11.25">
      <c r="A100" s="5558" t="s">
        <v>2271</v>
      </c>
      <c r="B100" s="5558" t="s">
        <v>16</v>
      </c>
      <c r="C100" s="5558" t="s">
        <v>2621</v>
      </c>
      <c r="D100" s="5558" t="s">
        <v>2622</v>
      </c>
      <c r="E100" s="5558" t="s">
        <v>2623</v>
      </c>
      <c r="F100" s="5558" t="s">
        <v>2306</v>
      </c>
      <c r="G100" s="5558" t="s">
        <v>28</v>
      </c>
      <c r="H100" s="5558" t="s">
        <v>28</v>
      </c>
      <c r="I100" s="5558" t="s">
        <v>829</v>
      </c>
    </row>
    <row customHeight="1" ht="11.25">
      <c r="A101" s="5558" t="s">
        <v>2271</v>
      </c>
      <c r="B101" s="5558" t="s">
        <v>16</v>
      </c>
      <c r="C101" s="5558" t="s">
        <v>2624</v>
      </c>
      <c r="D101" s="5558" t="s">
        <v>2625</v>
      </c>
      <c r="E101" s="5558" t="s">
        <v>2626</v>
      </c>
      <c r="F101" s="5558" t="s">
        <v>2306</v>
      </c>
      <c r="G101" s="5558" t="s">
        <v>28</v>
      </c>
      <c r="H101" s="5558" t="s">
        <v>28</v>
      </c>
      <c r="I101" s="5558" t="s">
        <v>829</v>
      </c>
    </row>
    <row customHeight="1" ht="11.25">
      <c r="A102" s="5558" t="s">
        <v>2271</v>
      </c>
      <c r="B102" s="5558" t="s">
        <v>16</v>
      </c>
      <c r="C102" s="5558" t="s">
        <v>2627</v>
      </c>
      <c r="D102" s="5558" t="s">
        <v>2628</v>
      </c>
      <c r="E102" s="5558" t="s">
        <v>2629</v>
      </c>
      <c r="F102" s="5558" t="s">
        <v>2302</v>
      </c>
      <c r="G102" s="5558" t="s">
        <v>2276</v>
      </c>
      <c r="H102" s="5558" t="s">
        <v>28</v>
      </c>
      <c r="I102" s="5558" t="s">
        <v>829</v>
      </c>
    </row>
    <row customHeight="1" ht="11.25">
      <c r="A103" s="5558" t="s">
        <v>2271</v>
      </c>
      <c r="B103" s="5558" t="s">
        <v>16</v>
      </c>
      <c r="C103" s="5558" t="s">
        <v>2630</v>
      </c>
      <c r="D103" s="5558" t="s">
        <v>2631</v>
      </c>
      <c r="E103" s="5558" t="s">
        <v>2632</v>
      </c>
      <c r="F103" s="5558" t="s">
        <v>2557</v>
      </c>
      <c r="G103" s="5558" t="s">
        <v>2633</v>
      </c>
      <c r="H103" s="5558" t="s">
        <v>28</v>
      </c>
      <c r="I103" s="5558" t="s">
        <v>829</v>
      </c>
    </row>
    <row customHeight="1" ht="11.25">
      <c r="A104" s="5558" t="s">
        <v>2271</v>
      </c>
      <c r="B104" s="5558" t="s">
        <v>16</v>
      </c>
      <c r="C104" s="5558" t="s">
        <v>2634</v>
      </c>
      <c r="D104" s="5558" t="s">
        <v>2635</v>
      </c>
      <c r="E104" s="5558" t="s">
        <v>2636</v>
      </c>
      <c r="F104" s="5558" t="s">
        <v>2319</v>
      </c>
      <c r="G104" s="5558" t="s">
        <v>28</v>
      </c>
      <c r="H104" s="5558" t="s">
        <v>28</v>
      </c>
      <c r="I104" s="5558" t="s">
        <v>829</v>
      </c>
    </row>
    <row customHeight="1" ht="11.25">
      <c r="A105" s="5558" t="s">
        <v>2271</v>
      </c>
      <c r="B105" s="5558" t="s">
        <v>16</v>
      </c>
      <c r="C105" s="5558" t="s">
        <v>2637</v>
      </c>
      <c r="D105" s="5558" t="s">
        <v>2638</v>
      </c>
      <c r="E105" s="5558" t="s">
        <v>2639</v>
      </c>
      <c r="F105" s="5558" t="s">
        <v>2341</v>
      </c>
      <c r="G105" s="5558" t="s">
        <v>28</v>
      </c>
      <c r="H105" s="5558" t="s">
        <v>28</v>
      </c>
      <c r="I105" s="5558" t="s">
        <v>829</v>
      </c>
    </row>
    <row customHeight="1" ht="11.25">
      <c r="A106" s="5558" t="s">
        <v>2271</v>
      </c>
      <c r="B106" s="5558" t="s">
        <v>16</v>
      </c>
      <c r="C106" s="5558" t="s">
        <v>2640</v>
      </c>
      <c r="D106" s="5558" t="s">
        <v>2641</v>
      </c>
      <c r="E106" s="5558" t="s">
        <v>2642</v>
      </c>
      <c r="F106" s="5558" t="s">
        <v>2292</v>
      </c>
      <c r="G106" s="5558" t="s">
        <v>2643</v>
      </c>
      <c r="H106" s="5558" t="s">
        <v>28</v>
      </c>
      <c r="I106" s="5558" t="s">
        <v>829</v>
      </c>
    </row>
    <row customHeight="1" ht="11.25">
      <c r="A107" s="5558" t="s">
        <v>2271</v>
      </c>
      <c r="B107" s="5558" t="s">
        <v>16</v>
      </c>
      <c r="C107" s="5558" t="s">
        <v>2644</v>
      </c>
      <c r="D107" s="5558" t="s">
        <v>2645</v>
      </c>
      <c r="E107" s="5558" t="s">
        <v>2646</v>
      </c>
      <c r="F107" s="5558" t="s">
        <v>2647</v>
      </c>
      <c r="G107" s="5558" t="s">
        <v>28</v>
      </c>
      <c r="H107" s="5558" t="s">
        <v>28</v>
      </c>
      <c r="I107" s="5558" t="s">
        <v>829</v>
      </c>
    </row>
    <row customHeight="1" ht="11.25">
      <c r="A108" s="5558" t="s">
        <v>2271</v>
      </c>
      <c r="B108" s="5558" t="s">
        <v>16</v>
      </c>
      <c r="C108" s="5558" t="s">
        <v>2648</v>
      </c>
      <c r="D108" s="5558" t="s">
        <v>2649</v>
      </c>
      <c r="E108" s="5558" t="s">
        <v>2650</v>
      </c>
      <c r="F108" s="5558" t="s">
        <v>2651</v>
      </c>
      <c r="G108" s="5558" t="s">
        <v>2652</v>
      </c>
      <c r="H108" s="5558" t="s">
        <v>28</v>
      </c>
      <c r="I108" s="5558" t="s">
        <v>829</v>
      </c>
    </row>
    <row customHeight="1" ht="11.25">
      <c r="A109" s="5558" t="s">
        <v>2271</v>
      </c>
      <c r="B109" s="5558" t="s">
        <v>16</v>
      </c>
      <c r="C109" s="5558" t="s">
        <v>2653</v>
      </c>
      <c r="D109" s="5558" t="s">
        <v>2654</v>
      </c>
      <c r="E109" s="5558" t="s">
        <v>2655</v>
      </c>
      <c r="F109" s="5558" t="s">
        <v>2306</v>
      </c>
      <c r="G109" s="5558" t="s">
        <v>28</v>
      </c>
      <c r="H109" s="5558" t="s">
        <v>28</v>
      </c>
      <c r="I109" s="5558" t="s">
        <v>829</v>
      </c>
    </row>
    <row customHeight="1" ht="11.25">
      <c r="A110" s="5558" t="s">
        <v>2271</v>
      </c>
      <c r="B110" s="5558" t="s">
        <v>16</v>
      </c>
      <c r="C110" s="5558" t="s">
        <v>2656</v>
      </c>
      <c r="D110" s="5558" t="s">
        <v>2657</v>
      </c>
      <c r="E110" s="5558" t="s">
        <v>2658</v>
      </c>
      <c r="F110" s="5558" t="s">
        <v>2550</v>
      </c>
      <c r="G110" s="5558" t="s">
        <v>2659</v>
      </c>
      <c r="H110" s="5558" t="s">
        <v>28</v>
      </c>
      <c r="I110" s="5558" t="s">
        <v>829</v>
      </c>
    </row>
    <row customHeight="1" ht="11.25">
      <c r="A111" s="5558" t="s">
        <v>2271</v>
      </c>
      <c r="B111" s="5558" t="s">
        <v>16</v>
      </c>
      <c r="C111" s="5558" t="s">
        <v>2660</v>
      </c>
      <c r="D111" s="5558" t="s">
        <v>2661</v>
      </c>
      <c r="E111" s="5558" t="s">
        <v>2662</v>
      </c>
      <c r="F111" s="5558" t="s">
        <v>2512</v>
      </c>
      <c r="G111" s="5558" t="s">
        <v>28</v>
      </c>
      <c r="H111" s="5558" t="s">
        <v>28</v>
      </c>
      <c r="I111" s="5558" t="s">
        <v>829</v>
      </c>
    </row>
    <row customHeight="1" ht="11.25">
      <c r="A112" s="5558" t="s">
        <v>2271</v>
      </c>
      <c r="B112" s="5558" t="s">
        <v>16</v>
      </c>
      <c r="C112" s="5558" t="s">
        <v>2663</v>
      </c>
      <c r="D112" s="5558" t="s">
        <v>2664</v>
      </c>
      <c r="E112" s="5558" t="s">
        <v>2665</v>
      </c>
      <c r="F112" s="5558" t="s">
        <v>2280</v>
      </c>
      <c r="G112" s="5558" t="s">
        <v>2666</v>
      </c>
      <c r="H112" s="5558" t="s">
        <v>28</v>
      </c>
      <c r="I112" s="5558" t="s">
        <v>829</v>
      </c>
    </row>
    <row customHeight="1" ht="11.25">
      <c r="A113" s="5558" t="s">
        <v>2271</v>
      </c>
      <c r="B113" s="5558" t="s">
        <v>16</v>
      </c>
      <c r="C113" s="5558" t="s">
        <v>2667</v>
      </c>
      <c r="D113" s="5558" t="s">
        <v>2668</v>
      </c>
      <c r="E113" s="5558" t="s">
        <v>2669</v>
      </c>
      <c r="F113" s="5558" t="s">
        <v>2425</v>
      </c>
      <c r="G113" s="5558" t="s">
        <v>2670</v>
      </c>
      <c r="H113" s="5558" t="s">
        <v>28</v>
      </c>
      <c r="I113" s="5558" t="s">
        <v>829</v>
      </c>
    </row>
    <row customHeight="1" ht="11.25">
      <c r="A114" s="5558" t="s">
        <v>2271</v>
      </c>
      <c r="B114" s="5558" t="s">
        <v>16</v>
      </c>
      <c r="C114" s="5558" t="s">
        <v>2671</v>
      </c>
      <c r="D114" s="5558" t="s">
        <v>2672</v>
      </c>
      <c r="E114" s="5558" t="s">
        <v>2673</v>
      </c>
      <c r="F114" s="5558" t="s">
        <v>2557</v>
      </c>
      <c r="G114" s="5558" t="s">
        <v>28</v>
      </c>
      <c r="H114" s="5558" t="s">
        <v>28</v>
      </c>
      <c r="I114" s="5558" t="s">
        <v>829</v>
      </c>
    </row>
    <row customHeight="1" ht="11.25">
      <c r="A115" s="5558" t="s">
        <v>2271</v>
      </c>
      <c r="B115" s="5558" t="s">
        <v>16</v>
      </c>
      <c r="C115" s="5558" t="s">
        <v>2674</v>
      </c>
      <c r="D115" s="5558" t="s">
        <v>2675</v>
      </c>
      <c r="E115" s="5558" t="s">
        <v>2676</v>
      </c>
      <c r="F115" s="5558" t="s">
        <v>2275</v>
      </c>
      <c r="G115" s="5558" t="s">
        <v>28</v>
      </c>
      <c r="H115" s="5558" t="s">
        <v>28</v>
      </c>
      <c r="I115" s="5558" t="s">
        <v>829</v>
      </c>
    </row>
    <row customHeight="1" ht="11.25">
      <c r="A116" s="5558" t="s">
        <v>2271</v>
      </c>
      <c r="B116" s="5558" t="s">
        <v>16</v>
      </c>
      <c r="C116" s="5558" t="s">
        <v>2677</v>
      </c>
      <c r="D116" s="5558" t="s">
        <v>2678</v>
      </c>
      <c r="E116" s="5558" t="s">
        <v>2679</v>
      </c>
      <c r="F116" s="5558" t="s">
        <v>2341</v>
      </c>
      <c r="G116" s="5558" t="s">
        <v>28</v>
      </c>
      <c r="H116" s="5558" t="s">
        <v>28</v>
      </c>
      <c r="I116" s="5558" t="s">
        <v>829</v>
      </c>
    </row>
    <row customHeight="1" ht="11.25">
      <c r="A117" s="5558" t="s">
        <v>2271</v>
      </c>
      <c r="B117" s="5558" t="s">
        <v>16</v>
      </c>
      <c r="C117" s="5558" t="s">
        <v>2680</v>
      </c>
      <c r="D117" s="5558" t="s">
        <v>2681</v>
      </c>
      <c r="E117" s="5558" t="s">
        <v>2682</v>
      </c>
      <c r="F117" s="5558" t="s">
        <v>2314</v>
      </c>
      <c r="G117" s="5558" t="s">
        <v>2276</v>
      </c>
      <c r="H117" s="5558" t="s">
        <v>28</v>
      </c>
      <c r="I117" s="5558" t="s">
        <v>829</v>
      </c>
    </row>
    <row customHeight="1" ht="11.25">
      <c r="A118" s="5558" t="s">
        <v>2271</v>
      </c>
      <c r="B118" s="5558" t="s">
        <v>16</v>
      </c>
      <c r="C118" s="5558" t="s">
        <v>2683</v>
      </c>
      <c r="D118" s="5558" t="s">
        <v>2684</v>
      </c>
      <c r="E118" s="5558" t="s">
        <v>2685</v>
      </c>
      <c r="F118" s="5558" t="s">
        <v>2319</v>
      </c>
      <c r="G118" s="5558" t="s">
        <v>28</v>
      </c>
      <c r="H118" s="5558" t="s">
        <v>28</v>
      </c>
      <c r="I118" s="5558" t="s">
        <v>829</v>
      </c>
    </row>
    <row customHeight="1" ht="11.25">
      <c r="A119" s="5558" t="s">
        <v>2271</v>
      </c>
      <c r="B119" s="5558" t="s">
        <v>16</v>
      </c>
      <c r="C119" s="5558" t="s">
        <v>2686</v>
      </c>
      <c r="D119" s="5558" t="s">
        <v>2687</v>
      </c>
      <c r="E119" s="5558" t="s">
        <v>2688</v>
      </c>
      <c r="F119" s="5558" t="s">
        <v>2358</v>
      </c>
      <c r="G119" s="5558" t="s">
        <v>28</v>
      </c>
      <c r="H119" s="5558" t="s">
        <v>28</v>
      </c>
      <c r="I119" s="5558" t="s">
        <v>829</v>
      </c>
    </row>
    <row customHeight="1" ht="11.25">
      <c r="A120" s="5558" t="s">
        <v>2271</v>
      </c>
      <c r="B120" s="5558" t="s">
        <v>16</v>
      </c>
      <c r="C120" s="5558" t="s">
        <v>2689</v>
      </c>
      <c r="D120" s="5558" t="s">
        <v>2690</v>
      </c>
      <c r="E120" s="5558" t="s">
        <v>2691</v>
      </c>
      <c r="F120" s="5558" t="s">
        <v>2319</v>
      </c>
      <c r="G120" s="5558" t="s">
        <v>28</v>
      </c>
      <c r="H120" s="5558" t="s">
        <v>28</v>
      </c>
      <c r="I120" s="5558" t="s">
        <v>829</v>
      </c>
    </row>
    <row customHeight="1" ht="11.25">
      <c r="A121" s="5558" t="s">
        <v>2271</v>
      </c>
      <c r="B121" s="5558" t="s">
        <v>16</v>
      </c>
      <c r="C121" s="5558" t="s">
        <v>2692</v>
      </c>
      <c r="D121" s="5558" t="s">
        <v>2693</v>
      </c>
      <c r="E121" s="5558" t="s">
        <v>2694</v>
      </c>
      <c r="F121" s="5558" t="s">
        <v>2341</v>
      </c>
      <c r="G121" s="5558" t="s">
        <v>2695</v>
      </c>
      <c r="H121" s="5558" t="s">
        <v>28</v>
      </c>
      <c r="I121" s="5558" t="s">
        <v>829</v>
      </c>
    </row>
    <row customHeight="1" ht="11.25">
      <c r="A122" s="5558" t="s">
        <v>2271</v>
      </c>
      <c r="B122" s="5558" t="s">
        <v>16</v>
      </c>
      <c r="C122" s="5558" t="s">
        <v>2696</v>
      </c>
      <c r="D122" s="5558" t="s">
        <v>2697</v>
      </c>
      <c r="E122" s="5558" t="s">
        <v>2698</v>
      </c>
      <c r="F122" s="5558" t="s">
        <v>2358</v>
      </c>
      <c r="G122" s="5558" t="s">
        <v>28</v>
      </c>
      <c r="H122" s="5558" t="s">
        <v>28</v>
      </c>
      <c r="I122" s="5558" t="s">
        <v>829</v>
      </c>
    </row>
    <row customHeight="1" ht="11.25">
      <c r="A123" s="5558" t="s">
        <v>2271</v>
      </c>
      <c r="B123" s="5558" t="s">
        <v>16</v>
      </c>
      <c r="C123" s="5558" t="s">
        <v>2699</v>
      </c>
      <c r="D123" s="5558" t="s">
        <v>2700</v>
      </c>
      <c r="E123" s="5558" t="s">
        <v>2701</v>
      </c>
      <c r="F123" s="5558" t="s">
        <v>2319</v>
      </c>
      <c r="G123" s="5558" t="s">
        <v>2702</v>
      </c>
      <c r="H123" s="5558" t="s">
        <v>28</v>
      </c>
      <c r="I123" s="5558" t="s">
        <v>829</v>
      </c>
    </row>
    <row customHeight="1" ht="11.25">
      <c r="A124" s="5558" t="s">
        <v>2271</v>
      </c>
      <c r="B124" s="5558" t="s">
        <v>16</v>
      </c>
      <c r="C124" s="5558" t="s">
        <v>2703</v>
      </c>
      <c r="D124" s="5558" t="s">
        <v>2704</v>
      </c>
      <c r="E124" s="5558" t="s">
        <v>2705</v>
      </c>
      <c r="F124" s="5558" t="s">
        <v>2319</v>
      </c>
      <c r="G124" s="5558" t="s">
        <v>2276</v>
      </c>
      <c r="H124" s="5558" t="s">
        <v>28</v>
      </c>
      <c r="I124" s="5558" t="s">
        <v>829</v>
      </c>
    </row>
    <row customHeight="1" ht="11.25">
      <c r="A125" s="5558" t="s">
        <v>2271</v>
      </c>
      <c r="B125" s="5558" t="s">
        <v>16</v>
      </c>
      <c r="C125" s="5558" t="s">
        <v>2706</v>
      </c>
      <c r="D125" s="5558" t="s">
        <v>2707</v>
      </c>
      <c r="E125" s="5558" t="s">
        <v>2708</v>
      </c>
      <c r="F125" s="5558" t="s">
        <v>2647</v>
      </c>
      <c r="G125" s="5558" t="s">
        <v>28</v>
      </c>
      <c r="H125" s="5558" t="s">
        <v>28</v>
      </c>
      <c r="I125" s="5558" t="s">
        <v>829</v>
      </c>
    </row>
    <row customHeight="1" ht="11.25">
      <c r="A126" s="5558" t="s">
        <v>2271</v>
      </c>
      <c r="B126" s="5558" t="s">
        <v>16</v>
      </c>
      <c r="C126" s="5558" t="s">
        <v>2709</v>
      </c>
      <c r="D126" s="5558" t="s">
        <v>2710</v>
      </c>
      <c r="E126" s="5558" t="s">
        <v>2711</v>
      </c>
      <c r="F126" s="5558" t="s">
        <v>2712</v>
      </c>
      <c r="G126" s="5558" t="s">
        <v>28</v>
      </c>
      <c r="H126" s="5558" t="s">
        <v>28</v>
      </c>
      <c r="I126" s="5558" t="s">
        <v>829</v>
      </c>
    </row>
    <row customHeight="1" ht="11.25">
      <c r="A127" s="5558" t="s">
        <v>2271</v>
      </c>
      <c r="B127" s="5558" t="s">
        <v>16</v>
      </c>
      <c r="C127" s="5558" t="s">
        <v>2713</v>
      </c>
      <c r="D127" s="5558" t="s">
        <v>2714</v>
      </c>
      <c r="E127" s="5558" t="s">
        <v>2715</v>
      </c>
      <c r="F127" s="5558" t="s">
        <v>2306</v>
      </c>
      <c r="G127" s="5558" t="s">
        <v>28</v>
      </c>
      <c r="H127" s="5558" t="s">
        <v>28</v>
      </c>
      <c r="I127" s="5558" t="s">
        <v>829</v>
      </c>
    </row>
    <row customHeight="1" ht="11.25">
      <c r="A128" s="5558" t="s">
        <v>2271</v>
      </c>
      <c r="B128" s="5558" t="s">
        <v>16</v>
      </c>
      <c r="C128" s="5558" t="s">
        <v>2716</v>
      </c>
      <c r="D128" s="5558" t="s">
        <v>2717</v>
      </c>
      <c r="E128" s="5558" t="s">
        <v>2718</v>
      </c>
      <c r="F128" s="5558" t="s">
        <v>2306</v>
      </c>
      <c r="G128" s="5558" t="s">
        <v>2719</v>
      </c>
      <c r="H128" s="5558" t="s">
        <v>28</v>
      </c>
      <c r="I128" s="5558" t="s">
        <v>829</v>
      </c>
    </row>
    <row customHeight="1" ht="11.25">
      <c r="A129" s="5558" t="s">
        <v>2271</v>
      </c>
      <c r="B129" s="5558" t="s">
        <v>16</v>
      </c>
      <c r="C129" s="5558" t="s">
        <v>2720</v>
      </c>
      <c r="D129" s="5558" t="s">
        <v>2721</v>
      </c>
      <c r="E129" s="5558" t="s">
        <v>2722</v>
      </c>
      <c r="F129" s="5558" t="s">
        <v>2275</v>
      </c>
      <c r="G129" s="5558" t="s">
        <v>28</v>
      </c>
      <c r="H129" s="5558" t="s">
        <v>28</v>
      </c>
      <c r="I129" s="5558" t="s">
        <v>829</v>
      </c>
    </row>
    <row customHeight="1" ht="11.25">
      <c r="A130" s="5558" t="s">
        <v>2271</v>
      </c>
      <c r="B130" s="5558" t="s">
        <v>16</v>
      </c>
      <c r="C130" s="5558" t="s">
        <v>2723</v>
      </c>
      <c r="D130" s="5558" t="s">
        <v>2724</v>
      </c>
      <c r="E130" s="5558" t="s">
        <v>2725</v>
      </c>
      <c r="F130" s="5558" t="s">
        <v>2302</v>
      </c>
      <c r="G130" s="5558" t="s">
        <v>2726</v>
      </c>
      <c r="H130" s="5558" t="s">
        <v>28</v>
      </c>
      <c r="I130" s="5558" t="s">
        <v>829</v>
      </c>
    </row>
    <row customHeight="1" ht="11.25">
      <c r="A131" s="5558" t="s">
        <v>2271</v>
      </c>
      <c r="B131" s="5558" t="s">
        <v>16</v>
      </c>
      <c r="C131" s="5558" t="s">
        <v>2727</v>
      </c>
      <c r="D131" s="5558" t="s">
        <v>2728</v>
      </c>
      <c r="E131" s="5558" t="s">
        <v>2729</v>
      </c>
      <c r="F131" s="5558" t="s">
        <v>2557</v>
      </c>
      <c r="G131" s="5558" t="s">
        <v>28</v>
      </c>
      <c r="H131" s="5558" t="s">
        <v>28</v>
      </c>
      <c r="I131" s="5558" t="s">
        <v>829</v>
      </c>
    </row>
    <row customHeight="1" ht="11.25">
      <c r="A132" s="5558" t="s">
        <v>2271</v>
      </c>
      <c r="B132" s="5558" t="s">
        <v>16</v>
      </c>
      <c r="C132" s="5558" t="s">
        <v>2730</v>
      </c>
      <c r="D132" s="5558" t="s">
        <v>2731</v>
      </c>
      <c r="E132" s="5558" t="s">
        <v>2732</v>
      </c>
      <c r="F132" s="5558" t="s">
        <v>2280</v>
      </c>
      <c r="G132" s="5558" t="s">
        <v>28</v>
      </c>
      <c r="H132" s="5558" t="s">
        <v>28</v>
      </c>
      <c r="I132" s="5558" t="s">
        <v>829</v>
      </c>
    </row>
    <row customHeight="1" ht="11.25">
      <c r="A133" s="5558" t="s">
        <v>2271</v>
      </c>
      <c r="B133" s="5558" t="s">
        <v>16</v>
      </c>
      <c r="C133" s="5558" t="s">
        <v>2733</v>
      </c>
      <c r="D133" s="5558" t="s">
        <v>2734</v>
      </c>
      <c r="E133" s="5558" t="s">
        <v>2735</v>
      </c>
      <c r="F133" s="5558" t="s">
        <v>2306</v>
      </c>
      <c r="G133" s="5558" t="s">
        <v>28</v>
      </c>
      <c r="H133" s="5558" t="s">
        <v>28</v>
      </c>
      <c r="I133" s="5558" t="s">
        <v>829</v>
      </c>
    </row>
    <row customHeight="1" ht="11.25">
      <c r="A134" s="5558" t="s">
        <v>2271</v>
      </c>
      <c r="B134" s="5558" t="s">
        <v>16</v>
      </c>
      <c r="C134" s="5558" t="s">
        <v>2736</v>
      </c>
      <c r="D134" s="5558" t="s">
        <v>2737</v>
      </c>
      <c r="E134" s="5558" t="s">
        <v>2738</v>
      </c>
      <c r="F134" s="5558" t="s">
        <v>2425</v>
      </c>
      <c r="G134" s="5558" t="s">
        <v>28</v>
      </c>
      <c r="H134" s="5558" t="s">
        <v>28</v>
      </c>
      <c r="I134" s="5558" t="s">
        <v>829</v>
      </c>
    </row>
    <row customHeight="1" ht="11.25">
      <c r="A135" s="5558" t="s">
        <v>2271</v>
      </c>
      <c r="B135" s="5558" t="s">
        <v>16</v>
      </c>
      <c r="C135" s="5558" t="s">
        <v>2739</v>
      </c>
      <c r="D135" s="5558" t="s">
        <v>2740</v>
      </c>
      <c r="E135" s="5558" t="s">
        <v>2741</v>
      </c>
      <c r="F135" s="5558" t="s">
        <v>2275</v>
      </c>
      <c r="G135" s="5558" t="s">
        <v>28</v>
      </c>
      <c r="H135" s="5558" t="s">
        <v>28</v>
      </c>
      <c r="I135" s="5558" t="s">
        <v>829</v>
      </c>
    </row>
    <row customHeight="1" ht="11.25">
      <c r="A136" s="5558" t="s">
        <v>2271</v>
      </c>
      <c r="B136" s="5558" t="s">
        <v>16</v>
      </c>
      <c r="C136" s="5558" t="s">
        <v>2742</v>
      </c>
      <c r="D136" s="5558" t="s">
        <v>2743</v>
      </c>
      <c r="E136" s="5558" t="s">
        <v>2744</v>
      </c>
      <c r="F136" s="5558" t="s">
        <v>2412</v>
      </c>
      <c r="G136" s="5558" t="s">
        <v>28</v>
      </c>
      <c r="H136" s="5558" t="s">
        <v>28</v>
      </c>
      <c r="I136" s="5558" t="s">
        <v>829</v>
      </c>
    </row>
    <row customHeight="1" ht="11.25">
      <c r="A137" s="5558" t="s">
        <v>2271</v>
      </c>
      <c r="B137" s="5558" t="s">
        <v>16</v>
      </c>
      <c r="C137" s="5558" t="s">
        <v>2745</v>
      </c>
      <c r="D137" s="5558" t="s">
        <v>2746</v>
      </c>
      <c r="E137" s="5558" t="s">
        <v>2747</v>
      </c>
      <c r="F137" s="5558" t="s">
        <v>2600</v>
      </c>
      <c r="G137" s="5558" t="s">
        <v>28</v>
      </c>
      <c r="H137" s="5558" t="s">
        <v>28</v>
      </c>
      <c r="I137" s="5558" t="s">
        <v>829</v>
      </c>
    </row>
    <row customHeight="1" ht="11.25">
      <c r="A138" s="5558" t="s">
        <v>2271</v>
      </c>
      <c r="B138" s="5558" t="s">
        <v>16</v>
      </c>
      <c r="C138" s="5558" t="s">
        <v>2748</v>
      </c>
      <c r="D138" s="5558" t="s">
        <v>2749</v>
      </c>
      <c r="E138" s="5558" t="s">
        <v>2750</v>
      </c>
      <c r="F138" s="5558" t="s">
        <v>51</v>
      </c>
      <c r="G138" s="5558" t="s">
        <v>2523</v>
      </c>
      <c r="H138" s="5558" t="s">
        <v>28</v>
      </c>
      <c r="I138" s="5558" t="s">
        <v>829</v>
      </c>
    </row>
    <row customHeight="1" ht="11.25">
      <c r="A139" s="5558" t="s">
        <v>2271</v>
      </c>
      <c r="B139" s="5558" t="s">
        <v>16</v>
      </c>
      <c r="C139" s="5558" t="s">
        <v>2751</v>
      </c>
      <c r="D139" s="5558" t="s">
        <v>2752</v>
      </c>
      <c r="E139" s="5558" t="s">
        <v>2753</v>
      </c>
      <c r="F139" s="5558" t="s">
        <v>2306</v>
      </c>
      <c r="G139" s="5558" t="s">
        <v>2754</v>
      </c>
      <c r="H139" s="5558" t="s">
        <v>28</v>
      </c>
      <c r="I139" s="5558" t="s">
        <v>829</v>
      </c>
    </row>
    <row customHeight="1" ht="11.25">
      <c r="A140" s="5558" t="s">
        <v>2271</v>
      </c>
      <c r="B140" s="5558" t="s">
        <v>16</v>
      </c>
      <c r="C140" s="5558" t="s">
        <v>2755</v>
      </c>
      <c r="D140" s="5558" t="s">
        <v>2756</v>
      </c>
      <c r="E140" s="5558" t="s">
        <v>2757</v>
      </c>
      <c r="F140" s="5558" t="s">
        <v>2358</v>
      </c>
      <c r="G140" s="5558" t="s">
        <v>2758</v>
      </c>
      <c r="H140" s="5558" t="s">
        <v>28</v>
      </c>
      <c r="I140" s="5558" t="s">
        <v>829</v>
      </c>
    </row>
    <row customHeight="1" ht="11.25">
      <c r="A141" s="5558" t="s">
        <v>2271</v>
      </c>
      <c r="B141" s="5558" t="s">
        <v>16</v>
      </c>
      <c r="C141" s="5558" t="s">
        <v>2759</v>
      </c>
      <c r="D141" s="5558" t="s">
        <v>2760</v>
      </c>
      <c r="E141" s="5558" t="s">
        <v>2761</v>
      </c>
      <c r="F141" s="5558" t="s">
        <v>2412</v>
      </c>
      <c r="G141" s="5558" t="s">
        <v>28</v>
      </c>
      <c r="H141" s="5558" t="s">
        <v>28</v>
      </c>
      <c r="I141" s="5558" t="s">
        <v>829</v>
      </c>
    </row>
    <row customHeight="1" ht="11.25">
      <c r="A142" s="5558" t="s">
        <v>2271</v>
      </c>
      <c r="B142" s="5558" t="s">
        <v>16</v>
      </c>
      <c r="C142" s="5558" t="s">
        <v>2762</v>
      </c>
      <c r="D142" s="5558" t="s">
        <v>2763</v>
      </c>
      <c r="E142" s="5558" t="s">
        <v>2764</v>
      </c>
      <c r="F142" s="5558" t="s">
        <v>2349</v>
      </c>
      <c r="G142" s="5558" t="s">
        <v>28</v>
      </c>
      <c r="H142" s="5558" t="s">
        <v>28</v>
      </c>
      <c r="I142" s="5558" t="s">
        <v>829</v>
      </c>
    </row>
    <row customHeight="1" ht="11.25">
      <c r="A143" s="5558" t="s">
        <v>2271</v>
      </c>
      <c r="B143" s="5558" t="s">
        <v>16</v>
      </c>
      <c r="C143" s="5558" t="s">
        <v>2765</v>
      </c>
      <c r="D143" s="5558" t="s">
        <v>2766</v>
      </c>
      <c r="E143" s="5558" t="s">
        <v>2767</v>
      </c>
      <c r="F143" s="5558" t="s">
        <v>2314</v>
      </c>
      <c r="G143" s="5558" t="s">
        <v>2768</v>
      </c>
      <c r="H143" s="5558" t="s">
        <v>28</v>
      </c>
      <c r="I143" s="5558" t="s">
        <v>829</v>
      </c>
    </row>
    <row customHeight="1" ht="11.25">
      <c r="A144" s="5558" t="s">
        <v>2271</v>
      </c>
      <c r="B144" s="5558" t="s">
        <v>16</v>
      </c>
      <c r="C144" s="5558" t="s">
        <v>2769</v>
      </c>
      <c r="D144" s="5558" t="s">
        <v>2770</v>
      </c>
      <c r="E144" s="5558" t="s">
        <v>2771</v>
      </c>
      <c r="F144" s="5558" t="s">
        <v>2651</v>
      </c>
      <c r="G144" s="5558" t="s">
        <v>28</v>
      </c>
      <c r="H144" s="5558" t="s">
        <v>28</v>
      </c>
      <c r="I144" s="5558" t="s">
        <v>829</v>
      </c>
    </row>
    <row customHeight="1" ht="11.25">
      <c r="A145" s="5558" t="s">
        <v>2271</v>
      </c>
      <c r="B145" s="5558" t="s">
        <v>16</v>
      </c>
      <c r="C145" s="5558" t="s">
        <v>2772</v>
      </c>
      <c r="D145" s="5558" t="s">
        <v>2773</v>
      </c>
      <c r="E145" s="5558" t="s">
        <v>2774</v>
      </c>
      <c r="F145" s="5558" t="s">
        <v>2557</v>
      </c>
      <c r="G145" s="5558" t="s">
        <v>28</v>
      </c>
      <c r="H145" s="5558" t="s">
        <v>28</v>
      </c>
      <c r="I145" s="5558" t="s">
        <v>829</v>
      </c>
    </row>
    <row customHeight="1" ht="11.25">
      <c r="A146" s="5558" t="s">
        <v>2271</v>
      </c>
      <c r="B146" s="5558" t="s">
        <v>16</v>
      </c>
      <c r="C146" s="5558" t="s">
        <v>2775</v>
      </c>
      <c r="D146" s="5558" t="s">
        <v>2776</v>
      </c>
      <c r="E146" s="5558" t="s">
        <v>2777</v>
      </c>
      <c r="F146" s="5558" t="s">
        <v>2302</v>
      </c>
      <c r="G146" s="5558" t="s">
        <v>2778</v>
      </c>
      <c r="H146" s="5558" t="s">
        <v>28</v>
      </c>
      <c r="I146" s="5558" t="s">
        <v>829</v>
      </c>
    </row>
    <row customHeight="1" ht="11.25">
      <c r="A147" s="5558" t="s">
        <v>2271</v>
      </c>
      <c r="B147" s="5558" t="s">
        <v>16</v>
      </c>
      <c r="C147" s="5558" t="s">
        <v>2779</v>
      </c>
      <c r="D147" s="5558" t="s">
        <v>2780</v>
      </c>
      <c r="E147" s="5558" t="s">
        <v>2781</v>
      </c>
      <c r="F147" s="5558" t="s">
        <v>2306</v>
      </c>
      <c r="G147" s="5558" t="s">
        <v>2276</v>
      </c>
      <c r="H147" s="5558" t="s">
        <v>28</v>
      </c>
      <c r="I147" s="5558" t="s">
        <v>829</v>
      </c>
    </row>
    <row customHeight="1" ht="11.25">
      <c r="A148" s="5558" t="s">
        <v>2271</v>
      </c>
      <c r="B148" s="5558" t="s">
        <v>16</v>
      </c>
      <c r="C148" s="5558" t="s">
        <v>2782</v>
      </c>
      <c r="D148" s="5558" t="s">
        <v>2783</v>
      </c>
      <c r="E148" s="5558" t="s">
        <v>2784</v>
      </c>
      <c r="F148" s="5558" t="s">
        <v>2341</v>
      </c>
      <c r="G148" s="5558" t="s">
        <v>28</v>
      </c>
      <c r="H148" s="5558" t="s">
        <v>28</v>
      </c>
      <c r="I148" s="5558" t="s">
        <v>829</v>
      </c>
    </row>
    <row customHeight="1" ht="11.25">
      <c r="A149" s="5558" t="s">
        <v>2271</v>
      </c>
      <c r="B149" s="5558" t="s">
        <v>16</v>
      </c>
      <c r="C149" s="5558" t="s">
        <v>2785</v>
      </c>
      <c r="D149" s="5558" t="s">
        <v>2786</v>
      </c>
      <c r="E149" s="5558" t="s">
        <v>2787</v>
      </c>
      <c r="F149" s="5558" t="s">
        <v>2425</v>
      </c>
      <c r="G149" s="5558" t="s">
        <v>2788</v>
      </c>
      <c r="H149" s="5558" t="s">
        <v>28</v>
      </c>
      <c r="I149" s="5558" t="s">
        <v>829</v>
      </c>
    </row>
    <row customHeight="1" ht="11.25">
      <c r="A150" s="5558" t="s">
        <v>2271</v>
      </c>
      <c r="B150" s="5558" t="s">
        <v>16</v>
      </c>
      <c r="C150" s="5558" t="s">
        <v>2789</v>
      </c>
      <c r="D150" s="5558" t="s">
        <v>2790</v>
      </c>
      <c r="E150" s="5558" t="s">
        <v>2791</v>
      </c>
      <c r="F150" s="5558" t="s">
        <v>2792</v>
      </c>
      <c r="G150" s="5558" t="s">
        <v>28</v>
      </c>
      <c r="H150" s="5558" t="s">
        <v>28</v>
      </c>
      <c r="I150" s="5558" t="s">
        <v>829</v>
      </c>
    </row>
    <row customHeight="1" ht="11.25">
      <c r="A151" s="5558" t="s">
        <v>2271</v>
      </c>
      <c r="B151" s="5558" t="s">
        <v>16</v>
      </c>
      <c r="C151" s="5558" t="s">
        <v>2793</v>
      </c>
      <c r="D151" s="5558" t="s">
        <v>2794</v>
      </c>
      <c r="E151" s="5558" t="s">
        <v>2795</v>
      </c>
      <c r="F151" s="5558" t="s">
        <v>2358</v>
      </c>
      <c r="G151" s="5558" t="s">
        <v>28</v>
      </c>
      <c r="H151" s="5558" t="s">
        <v>28</v>
      </c>
      <c r="I151" s="5558" t="s">
        <v>829</v>
      </c>
    </row>
    <row customHeight="1" ht="11.25">
      <c r="A152" s="5558" t="s">
        <v>2271</v>
      </c>
      <c r="B152" s="5558" t="s">
        <v>16</v>
      </c>
      <c r="C152" s="5558" t="s">
        <v>2796</v>
      </c>
      <c r="D152" s="5558" t="s">
        <v>2797</v>
      </c>
      <c r="E152" s="5558" t="s">
        <v>2798</v>
      </c>
      <c r="F152" s="5558" t="s">
        <v>2337</v>
      </c>
      <c r="G152" s="5558" t="s">
        <v>28</v>
      </c>
      <c r="H152" s="5558" t="s">
        <v>28</v>
      </c>
      <c r="I152" s="5558" t="s">
        <v>829</v>
      </c>
    </row>
    <row customHeight="1" ht="11.25">
      <c r="A153" s="5558" t="s">
        <v>2271</v>
      </c>
      <c r="B153" s="5558" t="s">
        <v>16</v>
      </c>
      <c r="C153" s="5558" t="s">
        <v>2799</v>
      </c>
      <c r="D153" s="5558" t="s">
        <v>2800</v>
      </c>
      <c r="E153" s="5558" t="s">
        <v>2801</v>
      </c>
      <c r="F153" s="5558" t="s">
        <v>2358</v>
      </c>
      <c r="G153" s="5558" t="s">
        <v>28</v>
      </c>
      <c r="H153" s="5558" t="s">
        <v>28</v>
      </c>
      <c r="I153" s="5558" t="s">
        <v>829</v>
      </c>
    </row>
    <row customHeight="1" ht="11.25">
      <c r="A154" s="5558" t="s">
        <v>2271</v>
      </c>
      <c r="B154" s="5558" t="s">
        <v>16</v>
      </c>
      <c r="C154" s="5558" t="s">
        <v>2802</v>
      </c>
      <c r="D154" s="5558" t="s">
        <v>2803</v>
      </c>
      <c r="E154" s="5558" t="s">
        <v>2804</v>
      </c>
      <c r="F154" s="5558" t="s">
        <v>2557</v>
      </c>
      <c r="G154" s="5558" t="s">
        <v>28</v>
      </c>
      <c r="H154" s="5558" t="s">
        <v>28</v>
      </c>
      <c r="I154" s="5558" t="s">
        <v>829</v>
      </c>
    </row>
    <row customHeight="1" ht="11.25">
      <c r="A155" s="5558" t="s">
        <v>2271</v>
      </c>
      <c r="B155" s="5558" t="s">
        <v>16</v>
      </c>
      <c r="C155" s="5558" t="s">
        <v>2805</v>
      </c>
      <c r="D155" s="5558" t="s">
        <v>2806</v>
      </c>
      <c r="E155" s="5558" t="s">
        <v>2807</v>
      </c>
      <c r="F155" s="5558" t="s">
        <v>51</v>
      </c>
      <c r="G155" s="5558" t="s">
        <v>28</v>
      </c>
      <c r="H155" s="5558" t="s">
        <v>28</v>
      </c>
      <c r="I155" s="5558" t="s">
        <v>829</v>
      </c>
    </row>
    <row customHeight="1" ht="11.25">
      <c r="A156" s="5558" t="s">
        <v>2271</v>
      </c>
      <c r="B156" s="5558" t="s">
        <v>16</v>
      </c>
      <c r="C156" s="5558" t="s">
        <v>2808</v>
      </c>
      <c r="D156" s="5558" t="s">
        <v>2809</v>
      </c>
      <c r="E156" s="5558" t="s">
        <v>2810</v>
      </c>
      <c r="F156" s="5558" t="s">
        <v>2811</v>
      </c>
      <c r="G156" s="5558" t="s">
        <v>28</v>
      </c>
      <c r="H156" s="5558" t="s">
        <v>28</v>
      </c>
      <c r="I156" s="5558" t="s">
        <v>829</v>
      </c>
    </row>
    <row customHeight="1" ht="11.25">
      <c r="A157" s="5558" t="s">
        <v>2271</v>
      </c>
      <c r="B157" s="5558" t="s">
        <v>16</v>
      </c>
      <c r="C157" s="5558" t="s">
        <v>2812</v>
      </c>
      <c r="D157" s="5558" t="s">
        <v>2813</v>
      </c>
      <c r="E157" s="5558" t="s">
        <v>2814</v>
      </c>
      <c r="F157" s="5558" t="s">
        <v>2815</v>
      </c>
      <c r="G157" s="5558" t="s">
        <v>28</v>
      </c>
      <c r="H157" s="5558" t="s">
        <v>28</v>
      </c>
      <c r="I157" s="5558" t="s">
        <v>829</v>
      </c>
    </row>
    <row customHeight="1" ht="11.25">
      <c r="A158" s="5558" t="s">
        <v>2271</v>
      </c>
      <c r="B158" s="5558" t="s">
        <v>16</v>
      </c>
      <c r="C158" s="5558" t="s">
        <v>2816</v>
      </c>
      <c r="D158" s="5558" t="s">
        <v>2817</v>
      </c>
      <c r="E158" s="5558" t="s">
        <v>2818</v>
      </c>
      <c r="F158" s="5558" t="s">
        <v>2811</v>
      </c>
      <c r="G158" s="5558" t="s">
        <v>28</v>
      </c>
      <c r="H158" s="5558" t="s">
        <v>28</v>
      </c>
      <c r="I158" s="5558" t="s">
        <v>829</v>
      </c>
    </row>
    <row customHeight="1" ht="11.25">
      <c r="A159" s="5558" t="s">
        <v>2271</v>
      </c>
      <c r="B159" s="5558" t="s">
        <v>16</v>
      </c>
      <c r="C159" s="5558" t="s">
        <v>2819</v>
      </c>
      <c r="D159" s="5558" t="s">
        <v>2820</v>
      </c>
      <c r="E159" s="5558" t="s">
        <v>2821</v>
      </c>
      <c r="F159" s="5558" t="s">
        <v>2341</v>
      </c>
      <c r="G159" s="5558" t="s">
        <v>28</v>
      </c>
      <c r="H159" s="5558" t="s">
        <v>28</v>
      </c>
      <c r="I159" s="5558" t="s">
        <v>829</v>
      </c>
    </row>
    <row customHeight="1" ht="11.25">
      <c r="A160" s="5558" t="s">
        <v>2271</v>
      </c>
      <c r="B160" s="5558" t="s">
        <v>16</v>
      </c>
      <c r="C160" s="5558" t="s">
        <v>2822</v>
      </c>
      <c r="D160" s="5558" t="s">
        <v>2823</v>
      </c>
      <c r="E160" s="5558" t="s">
        <v>2824</v>
      </c>
      <c r="F160" s="5558" t="s">
        <v>2358</v>
      </c>
      <c r="G160" s="5558" t="s">
        <v>2825</v>
      </c>
      <c r="H160" s="5558" t="s">
        <v>28</v>
      </c>
      <c r="I160" s="5558" t="s">
        <v>829</v>
      </c>
    </row>
    <row customHeight="1" ht="11.25">
      <c r="A161" s="5558" t="s">
        <v>2271</v>
      </c>
      <c r="B161" s="5558" t="s">
        <v>16</v>
      </c>
      <c r="C161" s="5558" t="s">
        <v>2826</v>
      </c>
      <c r="D161" s="5558" t="s">
        <v>2827</v>
      </c>
      <c r="E161" s="5558" t="s">
        <v>2828</v>
      </c>
      <c r="F161" s="5558" t="s">
        <v>2275</v>
      </c>
      <c r="G161" s="5558" t="s">
        <v>28</v>
      </c>
      <c r="H161" s="5558" t="s">
        <v>28</v>
      </c>
      <c r="I161" s="5558" t="s">
        <v>829</v>
      </c>
    </row>
    <row customHeight="1" ht="11.25">
      <c r="A162" s="5558" t="s">
        <v>2271</v>
      </c>
      <c r="B162" s="5558" t="s">
        <v>16</v>
      </c>
      <c r="C162" s="5558" t="s">
        <v>2829</v>
      </c>
      <c r="D162" s="5558" t="s">
        <v>2830</v>
      </c>
      <c r="E162" s="5558" t="s">
        <v>2831</v>
      </c>
      <c r="F162" s="5558" t="s">
        <v>2306</v>
      </c>
      <c r="G162" s="5558" t="s">
        <v>28</v>
      </c>
      <c r="H162" s="5558" t="s">
        <v>28</v>
      </c>
      <c r="I162" s="5558" t="s">
        <v>829</v>
      </c>
    </row>
    <row customHeight="1" ht="11.25">
      <c r="A163" s="5558" t="s">
        <v>2271</v>
      </c>
      <c r="B163" s="5558" t="s">
        <v>16</v>
      </c>
      <c r="C163" s="5558" t="s">
        <v>2832</v>
      </c>
      <c r="D163" s="5558" t="s">
        <v>2833</v>
      </c>
      <c r="E163" s="5558" t="s">
        <v>2834</v>
      </c>
      <c r="F163" s="5558" t="s">
        <v>2337</v>
      </c>
      <c r="G163" s="5558" t="s">
        <v>28</v>
      </c>
      <c r="H163" s="5558" t="s">
        <v>28</v>
      </c>
      <c r="I163" s="5558" t="s">
        <v>829</v>
      </c>
    </row>
    <row customHeight="1" ht="11.25">
      <c r="A164" s="5558" t="s">
        <v>2271</v>
      </c>
      <c r="B164" s="5558" t="s">
        <v>16</v>
      </c>
      <c r="C164" s="5558" t="s">
        <v>2835</v>
      </c>
      <c r="D164" s="5558" t="s">
        <v>2836</v>
      </c>
      <c r="E164" s="5558" t="s">
        <v>2837</v>
      </c>
      <c r="F164" s="5558" t="s">
        <v>2838</v>
      </c>
      <c r="G164" s="5558" t="s">
        <v>28</v>
      </c>
      <c r="H164" s="5558" t="s">
        <v>28</v>
      </c>
      <c r="I164" s="5558" t="s">
        <v>829</v>
      </c>
    </row>
    <row customHeight="1" ht="11.25">
      <c r="A165" s="5558" t="s">
        <v>2271</v>
      </c>
      <c r="B165" s="5558" t="s">
        <v>16</v>
      </c>
      <c r="C165" s="5558" t="s">
        <v>2839</v>
      </c>
      <c r="D165" s="5558" t="s">
        <v>2840</v>
      </c>
      <c r="E165" s="5558" t="s">
        <v>2841</v>
      </c>
      <c r="F165" s="5558" t="s">
        <v>2712</v>
      </c>
      <c r="G165" s="5558" t="s">
        <v>28</v>
      </c>
      <c r="H165" s="5558" t="s">
        <v>28</v>
      </c>
      <c r="I165" s="5558" t="s">
        <v>829</v>
      </c>
    </row>
    <row customHeight="1" ht="11.25">
      <c r="A166" s="5558" t="s">
        <v>2271</v>
      </c>
      <c r="B166" s="5558" t="s">
        <v>16</v>
      </c>
      <c r="C166" s="5558" t="s">
        <v>2842</v>
      </c>
      <c r="D166" s="5558" t="s">
        <v>2843</v>
      </c>
      <c r="E166" s="5558" t="s">
        <v>2844</v>
      </c>
      <c r="F166" s="5558" t="s">
        <v>2600</v>
      </c>
      <c r="G166" s="5558" t="s">
        <v>28</v>
      </c>
      <c r="H166" s="5558" t="s">
        <v>28</v>
      </c>
      <c r="I166" s="5558" t="s">
        <v>829</v>
      </c>
    </row>
    <row customHeight="1" ht="11.25">
      <c r="A167" s="5558" t="s">
        <v>2271</v>
      </c>
      <c r="B167" s="5558" t="s">
        <v>16</v>
      </c>
      <c r="C167" s="5558" t="s">
        <v>2845</v>
      </c>
      <c r="D167" s="5558" t="s">
        <v>2846</v>
      </c>
      <c r="E167" s="5558" t="s">
        <v>2847</v>
      </c>
      <c r="F167" s="5558" t="s">
        <v>2319</v>
      </c>
      <c r="G167" s="5558" t="s">
        <v>28</v>
      </c>
      <c r="H167" s="5558" t="s">
        <v>28</v>
      </c>
      <c r="I167" s="5558" t="s">
        <v>829</v>
      </c>
    </row>
    <row customHeight="1" ht="11.25">
      <c r="A168" s="5558" t="s">
        <v>2271</v>
      </c>
      <c r="B168" s="5558" t="s">
        <v>16</v>
      </c>
      <c r="C168" s="5558" t="s">
        <v>2848</v>
      </c>
      <c r="D168" s="5558" t="s">
        <v>2849</v>
      </c>
      <c r="E168" s="5558" t="s">
        <v>2850</v>
      </c>
      <c r="F168" s="5558" t="s">
        <v>2280</v>
      </c>
      <c r="G168" s="5558" t="s">
        <v>28</v>
      </c>
      <c r="H168" s="5558" t="s">
        <v>28</v>
      </c>
      <c r="I168" s="5558" t="s">
        <v>829</v>
      </c>
    </row>
    <row customHeight="1" ht="11.25">
      <c r="A169" s="5558" t="s">
        <v>2271</v>
      </c>
      <c r="B169" s="5558" t="s">
        <v>16</v>
      </c>
      <c r="C169" s="5558" t="s">
        <v>2851</v>
      </c>
      <c r="D169" s="5558" t="s">
        <v>2852</v>
      </c>
      <c r="E169" s="5558" t="s">
        <v>2853</v>
      </c>
      <c r="F169" s="5558" t="s">
        <v>2306</v>
      </c>
      <c r="G169" s="5558" t="s">
        <v>28</v>
      </c>
      <c r="H169" s="5558" t="s">
        <v>28</v>
      </c>
      <c r="I169" s="5558" t="s">
        <v>829</v>
      </c>
    </row>
    <row customHeight="1" ht="11.25">
      <c r="A170" s="5558" t="s">
        <v>2271</v>
      </c>
      <c r="B170" s="5558" t="s">
        <v>16</v>
      </c>
      <c r="C170" s="5558" t="s">
        <v>2854</v>
      </c>
      <c r="D170" s="5558" t="s">
        <v>2855</v>
      </c>
      <c r="E170" s="5558" t="s">
        <v>2856</v>
      </c>
      <c r="F170" s="5558" t="s">
        <v>2306</v>
      </c>
      <c r="G170" s="5558" t="s">
        <v>28</v>
      </c>
      <c r="H170" s="5558" t="s">
        <v>28</v>
      </c>
      <c r="I170" s="5558" t="s">
        <v>829</v>
      </c>
    </row>
    <row customHeight="1" ht="11.25">
      <c r="A171" s="5558" t="s">
        <v>2271</v>
      </c>
      <c r="B171" s="5558" t="s">
        <v>16</v>
      </c>
      <c r="C171" s="5558" t="s">
        <v>2857</v>
      </c>
      <c r="D171" s="5558" t="s">
        <v>2858</v>
      </c>
      <c r="E171" s="5558" t="s">
        <v>2859</v>
      </c>
      <c r="F171" s="5558" t="s">
        <v>2557</v>
      </c>
      <c r="G171" s="5558" t="s">
        <v>28</v>
      </c>
      <c r="H171" s="5558" t="s">
        <v>28</v>
      </c>
      <c r="I171" s="5558" t="s">
        <v>829</v>
      </c>
    </row>
    <row customHeight="1" ht="11.25">
      <c r="A172" s="5558" t="s">
        <v>2271</v>
      </c>
      <c r="B172" s="5558" t="s">
        <v>16</v>
      </c>
      <c r="C172" s="5558" t="s">
        <v>2860</v>
      </c>
      <c r="D172" s="5558" t="s">
        <v>2861</v>
      </c>
      <c r="E172" s="5558" t="s">
        <v>2862</v>
      </c>
      <c r="F172" s="5558" t="s">
        <v>2792</v>
      </c>
      <c r="G172" s="5558" t="s">
        <v>28</v>
      </c>
      <c r="H172" s="5558" t="s">
        <v>28</v>
      </c>
      <c r="I172" s="5558" t="s">
        <v>829</v>
      </c>
    </row>
    <row customHeight="1" ht="11.25">
      <c r="A173" s="5558" t="s">
        <v>2271</v>
      </c>
      <c r="B173" s="5558" t="s">
        <v>16</v>
      </c>
      <c r="C173" s="5558" t="s">
        <v>2863</v>
      </c>
      <c r="D173" s="5558" t="s">
        <v>2864</v>
      </c>
      <c r="E173" s="5558" t="s">
        <v>2865</v>
      </c>
      <c r="F173" s="5558" t="s">
        <v>51</v>
      </c>
      <c r="G173" s="5558" t="s">
        <v>2866</v>
      </c>
      <c r="H173" s="5558" t="s">
        <v>28</v>
      </c>
      <c r="I173" s="5558" t="s">
        <v>829</v>
      </c>
    </row>
    <row customHeight="1" ht="11.25">
      <c r="A174" s="5558" t="s">
        <v>2271</v>
      </c>
      <c r="B174" s="5558" t="s">
        <v>16</v>
      </c>
      <c r="C174" s="5558" t="s">
        <v>2867</v>
      </c>
      <c r="D174" s="5558" t="s">
        <v>2868</v>
      </c>
      <c r="E174" s="5558" t="s">
        <v>2869</v>
      </c>
      <c r="F174" s="5558" t="s">
        <v>2412</v>
      </c>
      <c r="G174" s="5558" t="s">
        <v>28</v>
      </c>
      <c r="H174" s="5558" t="s">
        <v>28</v>
      </c>
      <c r="I174" s="5558" t="s">
        <v>829</v>
      </c>
    </row>
    <row customHeight="1" ht="11.25">
      <c r="A175" s="5558" t="s">
        <v>2271</v>
      </c>
      <c r="B175" s="5558" t="s">
        <v>16</v>
      </c>
      <c r="C175" s="5558" t="s">
        <v>2870</v>
      </c>
      <c r="D175" s="5558" t="s">
        <v>2871</v>
      </c>
      <c r="E175" s="5558" t="s">
        <v>2872</v>
      </c>
      <c r="F175" s="5558" t="s">
        <v>2412</v>
      </c>
      <c r="G175" s="5558" t="s">
        <v>28</v>
      </c>
      <c r="H175" s="5558" t="s">
        <v>28</v>
      </c>
      <c r="I175" s="5558" t="s">
        <v>829</v>
      </c>
    </row>
    <row customHeight="1" ht="11.25">
      <c r="A176" s="5558" t="s">
        <v>2271</v>
      </c>
      <c r="B176" s="5558" t="s">
        <v>16</v>
      </c>
      <c r="C176" s="5558" t="s">
        <v>2873</v>
      </c>
      <c r="D176" s="5558" t="s">
        <v>2874</v>
      </c>
      <c r="E176" s="5558" t="s">
        <v>2875</v>
      </c>
      <c r="F176" s="5558" t="s">
        <v>2280</v>
      </c>
      <c r="G176" s="5558" t="s">
        <v>28</v>
      </c>
      <c r="H176" s="5558" t="s">
        <v>28</v>
      </c>
      <c r="I176" s="5558" t="s">
        <v>829</v>
      </c>
    </row>
    <row customHeight="1" ht="11.25">
      <c r="A177" s="5558" t="s">
        <v>2271</v>
      </c>
      <c r="B177" s="5558" t="s">
        <v>16</v>
      </c>
      <c r="C177" s="5558" t="s">
        <v>2876</v>
      </c>
      <c r="D177" s="5558" t="s">
        <v>2877</v>
      </c>
      <c r="E177" s="5558" t="s">
        <v>2878</v>
      </c>
      <c r="F177" s="5558" t="s">
        <v>2341</v>
      </c>
      <c r="G177" s="5558" t="s">
        <v>2276</v>
      </c>
      <c r="H177" s="5558" t="s">
        <v>28</v>
      </c>
      <c r="I177" s="5558" t="s">
        <v>829</v>
      </c>
    </row>
    <row customHeight="1" ht="11.25">
      <c r="A178" s="5558" t="s">
        <v>2271</v>
      </c>
      <c r="B178" s="5558" t="s">
        <v>16</v>
      </c>
      <c r="C178" s="5558" t="s">
        <v>2879</v>
      </c>
      <c r="D178" s="5558" t="s">
        <v>2880</v>
      </c>
      <c r="E178" s="5558" t="s">
        <v>2881</v>
      </c>
      <c r="F178" s="5558" t="s">
        <v>2882</v>
      </c>
      <c r="G178" s="5558" t="s">
        <v>28</v>
      </c>
      <c r="H178" s="5558" t="s">
        <v>28</v>
      </c>
      <c r="I178" s="5558" t="s">
        <v>829</v>
      </c>
    </row>
    <row customHeight="1" ht="11.25">
      <c r="A179" s="5558" t="s">
        <v>2271</v>
      </c>
      <c r="B179" s="5558" t="s">
        <v>16</v>
      </c>
      <c r="C179" s="5558" t="s">
        <v>2883</v>
      </c>
      <c r="D179" s="5558" t="s">
        <v>2884</v>
      </c>
      <c r="E179" s="5558" t="s">
        <v>2885</v>
      </c>
      <c r="F179" s="5558" t="s">
        <v>2886</v>
      </c>
      <c r="G179" s="5558" t="s">
        <v>28</v>
      </c>
      <c r="H179" s="5558" t="s">
        <v>28</v>
      </c>
      <c r="I179" s="5558" t="s">
        <v>829</v>
      </c>
    </row>
    <row customHeight="1" ht="11.25">
      <c r="A180" s="5558" t="s">
        <v>2271</v>
      </c>
      <c r="B180" s="5558" t="s">
        <v>16</v>
      </c>
      <c r="C180" s="5558" t="s">
        <v>13</v>
      </c>
      <c r="D180" s="5558" t="s">
        <v>46</v>
      </c>
      <c r="E180" s="5558" t="s">
        <v>49</v>
      </c>
      <c r="F180" s="5558" t="s">
        <v>51</v>
      </c>
      <c r="G180" s="5558" t="s">
        <v>28</v>
      </c>
      <c r="H180" s="5558" t="s">
        <v>28</v>
      </c>
      <c r="I180" s="5558" t="s">
        <v>829</v>
      </c>
    </row>
    <row customHeight="1" ht="11.25">
      <c r="A181" s="5558" t="s">
        <v>2271</v>
      </c>
      <c r="B181" s="5558" t="s">
        <v>16</v>
      </c>
      <c r="C181" s="5558" t="s">
        <v>2887</v>
      </c>
      <c r="D181" s="5558" t="s">
        <v>2888</v>
      </c>
      <c r="E181" s="5558" t="s">
        <v>2889</v>
      </c>
      <c r="F181" s="5558" t="s">
        <v>2341</v>
      </c>
      <c r="G181" s="5558" t="s">
        <v>2276</v>
      </c>
      <c r="H181" s="5558" t="s">
        <v>28</v>
      </c>
      <c r="I181" s="5558" t="s">
        <v>829</v>
      </c>
    </row>
    <row customHeight="1" ht="11.25">
      <c r="A182" s="5558" t="s">
        <v>2271</v>
      </c>
      <c r="B182" s="5558" t="s">
        <v>16</v>
      </c>
      <c r="C182" s="5558" t="s">
        <v>2890</v>
      </c>
      <c r="D182" s="5558" t="s">
        <v>2891</v>
      </c>
      <c r="E182" s="5558" t="s">
        <v>2892</v>
      </c>
      <c r="F182" s="5558" t="s">
        <v>2412</v>
      </c>
      <c r="G182" s="5558" t="s">
        <v>28</v>
      </c>
      <c r="H182" s="5558" t="s">
        <v>28</v>
      </c>
      <c r="I182" s="5558" t="s">
        <v>829</v>
      </c>
    </row>
    <row customHeight="1" ht="11.25">
      <c r="A183" s="5558" t="s">
        <v>2271</v>
      </c>
      <c r="B183" s="5558" t="s">
        <v>16</v>
      </c>
      <c r="C183" s="5558" t="s">
        <v>2893</v>
      </c>
      <c r="D183" s="5558" t="s">
        <v>2894</v>
      </c>
      <c r="E183" s="5558" t="s">
        <v>2895</v>
      </c>
      <c r="F183" s="5558" t="s">
        <v>2896</v>
      </c>
      <c r="G183" s="5558" t="s">
        <v>28</v>
      </c>
      <c r="H183" s="5558" t="s">
        <v>28</v>
      </c>
      <c r="I183" s="5558" t="s">
        <v>829</v>
      </c>
    </row>
    <row customHeight="1" ht="11.25">
      <c r="A184" s="5558" t="s">
        <v>2271</v>
      </c>
      <c r="B184" s="5558" t="s">
        <v>16</v>
      </c>
      <c r="C184" s="5558" t="s">
        <v>2897</v>
      </c>
      <c r="D184" s="5558" t="s">
        <v>2898</v>
      </c>
      <c r="E184" s="5558" t="s">
        <v>2899</v>
      </c>
      <c r="F184" s="5558" t="s">
        <v>2600</v>
      </c>
      <c r="G184" s="5558" t="s">
        <v>28</v>
      </c>
      <c r="H184" s="5558" t="s">
        <v>28</v>
      </c>
      <c r="I184" s="5558" t="s">
        <v>829</v>
      </c>
    </row>
    <row customHeight="1" ht="11.25">
      <c r="A185" s="5558" t="s">
        <v>2271</v>
      </c>
      <c r="B185" s="5558" t="s">
        <v>16</v>
      </c>
      <c r="C185" s="5558" t="s">
        <v>2900</v>
      </c>
      <c r="D185" s="5558" t="s">
        <v>2901</v>
      </c>
      <c r="E185" s="5558" t="s">
        <v>2902</v>
      </c>
      <c r="F185" s="5558" t="s">
        <v>2275</v>
      </c>
      <c r="G185" s="5558" t="s">
        <v>28</v>
      </c>
      <c r="H185" s="5558" t="s">
        <v>28</v>
      </c>
      <c r="I185" s="5558" t="s">
        <v>829</v>
      </c>
    </row>
    <row customHeight="1" ht="11.25">
      <c r="A186" s="5558" t="s">
        <v>2271</v>
      </c>
      <c r="B186" s="5558" t="s">
        <v>16</v>
      </c>
      <c r="C186" s="5558" t="s">
        <v>2903</v>
      </c>
      <c r="D186" s="5558" t="s">
        <v>2904</v>
      </c>
      <c r="E186" s="5558" t="s">
        <v>2905</v>
      </c>
      <c r="F186" s="5558" t="s">
        <v>2600</v>
      </c>
      <c r="G186" s="5558" t="s">
        <v>2906</v>
      </c>
      <c r="H186" s="5558" t="s">
        <v>28</v>
      </c>
      <c r="I186" s="5558" t="s">
        <v>829</v>
      </c>
    </row>
    <row customHeight="1" ht="11.25">
      <c r="A187" s="5558" t="s">
        <v>2271</v>
      </c>
      <c r="B187" s="5558" t="s">
        <v>16</v>
      </c>
      <c r="C187" s="5558" t="s">
        <v>2907</v>
      </c>
      <c r="D187" s="5558" t="s">
        <v>2908</v>
      </c>
      <c r="E187" s="5558" t="s">
        <v>2909</v>
      </c>
      <c r="F187" s="5558" t="s">
        <v>2910</v>
      </c>
      <c r="G187" s="5558" t="s">
        <v>2911</v>
      </c>
      <c r="H187" s="5558" t="s">
        <v>28</v>
      </c>
      <c r="I187" s="5558" t="s">
        <v>829</v>
      </c>
    </row>
    <row customHeight="1" ht="11.25">
      <c r="A188" s="5558" t="s">
        <v>2271</v>
      </c>
      <c r="B188" s="5558" t="s">
        <v>16</v>
      </c>
      <c r="C188" s="5558" t="s">
        <v>2912</v>
      </c>
      <c r="D188" s="5558" t="s">
        <v>2913</v>
      </c>
      <c r="E188" s="5558" t="s">
        <v>2914</v>
      </c>
      <c r="F188" s="5558" t="s">
        <v>2354</v>
      </c>
      <c r="G188" s="5558" t="s">
        <v>28</v>
      </c>
      <c r="H188" s="5558" t="s">
        <v>28</v>
      </c>
      <c r="I188" s="5558" t="s">
        <v>829</v>
      </c>
    </row>
    <row customHeight="1" ht="11.25">
      <c r="A189" s="5558" t="s">
        <v>2271</v>
      </c>
      <c r="B189" s="5558" t="s">
        <v>16</v>
      </c>
      <c r="C189" s="5558" t="s">
        <v>2915</v>
      </c>
      <c r="D189" s="5558" t="s">
        <v>2916</v>
      </c>
      <c r="E189" s="5558" t="s">
        <v>2917</v>
      </c>
      <c r="F189" s="5558" t="s">
        <v>2354</v>
      </c>
      <c r="G189" s="5558" t="s">
        <v>28</v>
      </c>
      <c r="H189" s="5558" t="s">
        <v>28</v>
      </c>
      <c r="I189" s="5558" t="s">
        <v>829</v>
      </c>
    </row>
    <row customHeight="1" ht="11.25">
      <c r="A190" s="5558" t="s">
        <v>2271</v>
      </c>
      <c r="B190" s="5558" t="s">
        <v>16</v>
      </c>
      <c r="C190" s="5558" t="s">
        <v>2918</v>
      </c>
      <c r="D190" s="5558" t="s">
        <v>2919</v>
      </c>
      <c r="E190" s="5558" t="s">
        <v>2920</v>
      </c>
      <c r="F190" s="5558" t="s">
        <v>2412</v>
      </c>
      <c r="G190" s="5558" t="s">
        <v>28</v>
      </c>
      <c r="H190" s="5558" t="s">
        <v>28</v>
      </c>
      <c r="I190" s="5558" t="s">
        <v>829</v>
      </c>
    </row>
    <row customHeight="1" ht="11.25">
      <c r="A191" s="5558" t="s">
        <v>2271</v>
      </c>
      <c r="B191" s="5558" t="s">
        <v>16</v>
      </c>
      <c r="C191" s="5558" t="s">
        <v>2921</v>
      </c>
      <c r="D191" s="5558" t="s">
        <v>2922</v>
      </c>
      <c r="E191" s="5558" t="s">
        <v>2923</v>
      </c>
      <c r="F191" s="5558" t="s">
        <v>2924</v>
      </c>
      <c r="G191" s="5558" t="s">
        <v>28</v>
      </c>
      <c r="H191" s="5558" t="s">
        <v>28</v>
      </c>
      <c r="I191" s="5558" t="s">
        <v>829</v>
      </c>
    </row>
    <row customHeight="1" ht="11.25">
      <c r="A192" s="5558" t="s">
        <v>2271</v>
      </c>
      <c r="B192" s="5558" t="s">
        <v>16</v>
      </c>
      <c r="C192" s="5558" t="s">
        <v>2925</v>
      </c>
      <c r="D192" s="5558" t="s">
        <v>2926</v>
      </c>
      <c r="E192" s="5558" t="s">
        <v>2353</v>
      </c>
      <c r="F192" s="5558" t="s">
        <v>2927</v>
      </c>
      <c r="G192" s="5558" t="s">
        <v>28</v>
      </c>
      <c r="H192" s="5558" t="s">
        <v>28</v>
      </c>
      <c r="I192" s="5558" t="s">
        <v>829</v>
      </c>
    </row>
    <row customHeight="1" ht="11.25">
      <c r="A193" s="5558" t="s">
        <v>2271</v>
      </c>
      <c r="B193" s="5558" t="s">
        <v>16</v>
      </c>
      <c r="C193" s="5558" t="s">
        <v>2928</v>
      </c>
      <c r="D193" s="5558" t="s">
        <v>2929</v>
      </c>
      <c r="E193" s="5558" t="s">
        <v>2930</v>
      </c>
      <c r="F193" s="5558" t="s">
        <v>2931</v>
      </c>
      <c r="G193" s="5558" t="s">
        <v>2932</v>
      </c>
      <c r="H193" s="5558" t="s">
        <v>28</v>
      </c>
      <c r="I193" s="5558" t="s">
        <v>829</v>
      </c>
    </row>
    <row customHeight="1" ht="11.25">
      <c r="A194" s="5558" t="s">
        <v>2271</v>
      </c>
      <c r="B194" s="5558" t="s">
        <v>16</v>
      </c>
      <c r="C194" s="5558" t="s">
        <v>2933</v>
      </c>
      <c r="D194" s="5558" t="s">
        <v>2934</v>
      </c>
      <c r="E194" s="5558" t="s">
        <v>2935</v>
      </c>
      <c r="F194" s="5558" t="s">
        <v>2936</v>
      </c>
      <c r="G194" s="5558" t="s">
        <v>28</v>
      </c>
      <c r="H194" s="5558" t="s">
        <v>28</v>
      </c>
      <c r="I194" s="5558" t="s">
        <v>829</v>
      </c>
    </row>
    <row customHeight="1" ht="11.25">
      <c r="A195" s="5558" t="s">
        <v>2271</v>
      </c>
      <c r="B195" s="5558" t="s">
        <v>16</v>
      </c>
      <c r="C195" s="5558" t="s">
        <v>2937</v>
      </c>
      <c r="D195" s="5558" t="s">
        <v>2938</v>
      </c>
      <c r="E195" s="5558" t="s">
        <v>2309</v>
      </c>
      <c r="F195" s="5558" t="s">
        <v>2939</v>
      </c>
      <c r="G195" s="5558" t="s">
        <v>28</v>
      </c>
      <c r="H195" s="5558" t="s">
        <v>28</v>
      </c>
      <c r="I195" s="5558" t="s">
        <v>829</v>
      </c>
    </row>
    <row customHeight="1" ht="11.25">
      <c r="A196" s="5558" t="s">
        <v>2271</v>
      </c>
      <c r="B196" s="5558" t="s">
        <v>16</v>
      </c>
      <c r="C196" s="5558" t="s">
        <v>2940</v>
      </c>
      <c r="D196" s="5558" t="s">
        <v>2941</v>
      </c>
      <c r="E196" s="5558" t="s">
        <v>2942</v>
      </c>
      <c r="F196" s="5558" t="s">
        <v>2939</v>
      </c>
      <c r="G196" s="5558" t="s">
        <v>28</v>
      </c>
      <c r="H196" s="5558" t="s">
        <v>28</v>
      </c>
      <c r="I196" s="5558" t="s">
        <v>829</v>
      </c>
    </row>
    <row customHeight="1" ht="11.25">
      <c r="A197" s="5558" t="s">
        <v>2271</v>
      </c>
      <c r="B197" s="5558" t="s">
        <v>16</v>
      </c>
      <c r="C197" s="5558" t="s">
        <v>2943</v>
      </c>
      <c r="D197" s="5558" t="s">
        <v>2944</v>
      </c>
      <c r="E197" s="5558" t="s">
        <v>2945</v>
      </c>
      <c r="F197" s="5558" t="s">
        <v>2454</v>
      </c>
      <c r="G197" s="5558" t="s">
        <v>2946</v>
      </c>
      <c r="H197" s="5558" t="s">
        <v>28</v>
      </c>
      <c r="I197" s="5558" t="s">
        <v>829</v>
      </c>
    </row>
    <row customHeight="1" ht="11.25">
      <c r="A198" s="5558" t="s">
        <v>2271</v>
      </c>
      <c r="B198" s="5558" t="s">
        <v>16</v>
      </c>
      <c r="C198" s="5558" t="s">
        <v>2947</v>
      </c>
      <c r="D198" s="5558" t="s">
        <v>2948</v>
      </c>
      <c r="E198" s="5558" t="s">
        <v>2945</v>
      </c>
      <c r="F198" s="5558" t="s">
        <v>2949</v>
      </c>
      <c r="G198" s="5558" t="s">
        <v>28</v>
      </c>
      <c r="H198" s="5558" t="s">
        <v>28</v>
      </c>
      <c r="I198" s="5558" t="s">
        <v>829</v>
      </c>
    </row>
    <row customHeight="1" ht="11.25">
      <c r="A199" s="5558" t="s">
        <v>2271</v>
      </c>
      <c r="B199" s="5558" t="s">
        <v>16</v>
      </c>
      <c r="C199" s="5558" t="s">
        <v>2272</v>
      </c>
      <c r="D199" s="5558" t="s">
        <v>2273</v>
      </c>
      <c r="E199" s="5558" t="s">
        <v>2274</v>
      </c>
      <c r="F199" s="5558" t="s">
        <v>2275</v>
      </c>
      <c r="G199" s="5558" t="s">
        <v>2276</v>
      </c>
      <c r="H199" s="5558" t="s">
        <v>28</v>
      </c>
      <c r="I199" s="5558" t="s">
        <v>915</v>
      </c>
    </row>
    <row customHeight="1" ht="11.25">
      <c r="A200" s="5558" t="s">
        <v>2271</v>
      </c>
      <c r="B200" s="5558" t="s">
        <v>16</v>
      </c>
      <c r="C200" s="5558" t="s">
        <v>2277</v>
      </c>
      <c r="D200" s="5558" t="s">
        <v>2278</v>
      </c>
      <c r="E200" s="5558" t="s">
        <v>2279</v>
      </c>
      <c r="F200" s="5558" t="s">
        <v>2280</v>
      </c>
      <c r="G200" s="5558" t="s">
        <v>28</v>
      </c>
      <c r="H200" s="5558" t="s">
        <v>28</v>
      </c>
      <c r="I200" s="5558" t="s">
        <v>915</v>
      </c>
    </row>
    <row customHeight="1" ht="11.25">
      <c r="A201" s="5558" t="s">
        <v>2271</v>
      </c>
      <c r="B201" s="5558" t="s">
        <v>16</v>
      </c>
      <c r="C201" s="5558" t="s">
        <v>2281</v>
      </c>
      <c r="D201" s="5558" t="s">
        <v>2282</v>
      </c>
      <c r="E201" s="5558" t="s">
        <v>2283</v>
      </c>
      <c r="F201" s="5558" t="s">
        <v>2284</v>
      </c>
      <c r="G201" s="5558" t="s">
        <v>28</v>
      </c>
      <c r="H201" s="5558" t="s">
        <v>28</v>
      </c>
      <c r="I201" s="5558" t="s">
        <v>915</v>
      </c>
    </row>
    <row customHeight="1" ht="11.25">
      <c r="A202" s="5558" t="s">
        <v>2271</v>
      </c>
      <c r="B202" s="5558" t="s">
        <v>16</v>
      </c>
      <c r="C202" s="5558" t="s">
        <v>2289</v>
      </c>
      <c r="D202" s="5558" t="s">
        <v>2290</v>
      </c>
      <c r="E202" s="5558" t="s">
        <v>2291</v>
      </c>
      <c r="F202" s="5558" t="s">
        <v>2292</v>
      </c>
      <c r="G202" s="5558" t="s">
        <v>28</v>
      </c>
      <c r="H202" s="5558" t="s">
        <v>28</v>
      </c>
      <c r="I202" s="5558" t="s">
        <v>915</v>
      </c>
    </row>
    <row customHeight="1" ht="11.25">
      <c r="A203" s="5558" t="s">
        <v>2271</v>
      </c>
      <c r="B203" s="5558" t="s">
        <v>16</v>
      </c>
      <c r="C203" s="5558" t="s">
        <v>2296</v>
      </c>
      <c r="D203" s="5558" t="s">
        <v>2297</v>
      </c>
      <c r="E203" s="5558" t="s">
        <v>2298</v>
      </c>
      <c r="F203" s="5558" t="s">
        <v>2280</v>
      </c>
      <c r="G203" s="5558" t="s">
        <v>28</v>
      </c>
      <c r="H203" s="5558" t="s">
        <v>28</v>
      </c>
      <c r="I203" s="5558" t="s">
        <v>915</v>
      </c>
    </row>
    <row customHeight="1" ht="11.25">
      <c r="A204" s="5558" t="s">
        <v>2271</v>
      </c>
      <c r="B204" s="5558" t="s">
        <v>16</v>
      </c>
      <c r="C204" s="5558" t="s">
        <v>2299</v>
      </c>
      <c r="D204" s="5558" t="s">
        <v>2300</v>
      </c>
      <c r="E204" s="5558" t="s">
        <v>2301</v>
      </c>
      <c r="F204" s="5558" t="s">
        <v>2302</v>
      </c>
      <c r="G204" s="5558" t="s">
        <v>2276</v>
      </c>
      <c r="H204" s="5558" t="s">
        <v>28</v>
      </c>
      <c r="I204" s="5558" t="s">
        <v>915</v>
      </c>
    </row>
    <row customHeight="1" ht="11.25">
      <c r="A205" s="5558" t="s">
        <v>2271</v>
      </c>
      <c r="B205" s="5558" t="s">
        <v>16</v>
      </c>
      <c r="C205" s="5558" t="s">
        <v>2307</v>
      </c>
      <c r="D205" s="5558" t="s">
        <v>2308</v>
      </c>
      <c r="E205" s="5558" t="s">
        <v>2309</v>
      </c>
      <c r="F205" s="5558" t="s">
        <v>2310</v>
      </c>
      <c r="G205" s="5558" t="s">
        <v>2276</v>
      </c>
      <c r="H205" s="5558" t="s">
        <v>28</v>
      </c>
      <c r="I205" s="5558" t="s">
        <v>915</v>
      </c>
    </row>
    <row customHeight="1" ht="11.25">
      <c r="A206" s="5558" t="s">
        <v>2271</v>
      </c>
      <c r="B206" s="5558" t="s">
        <v>16</v>
      </c>
      <c r="C206" s="5558" t="s">
        <v>2311</v>
      </c>
      <c r="D206" s="5558" t="s">
        <v>2312</v>
      </c>
      <c r="E206" s="5558" t="s">
        <v>2313</v>
      </c>
      <c r="F206" s="5558" t="s">
        <v>2314</v>
      </c>
      <c r="G206" s="5558" t="s">
        <v>2315</v>
      </c>
      <c r="H206" s="5558" t="s">
        <v>28</v>
      </c>
      <c r="I206" s="5558" t="s">
        <v>915</v>
      </c>
    </row>
    <row customHeight="1" ht="11.25">
      <c r="A207" s="5558" t="s">
        <v>2271</v>
      </c>
      <c r="B207" s="5558" t="s">
        <v>16</v>
      </c>
      <c r="C207" s="5558" t="s">
        <v>2326</v>
      </c>
      <c r="D207" s="5558" t="s">
        <v>2327</v>
      </c>
      <c r="E207" s="5558" t="s">
        <v>2328</v>
      </c>
      <c r="F207" s="5558" t="s">
        <v>2329</v>
      </c>
      <c r="G207" s="5558" t="s">
        <v>2330</v>
      </c>
      <c r="H207" s="5558" t="s">
        <v>28</v>
      </c>
      <c r="I207" s="5558" t="s">
        <v>915</v>
      </c>
    </row>
    <row customHeight="1" ht="11.25">
      <c r="A208" s="5558" t="s">
        <v>2271</v>
      </c>
      <c r="B208" s="5558" t="s">
        <v>16</v>
      </c>
      <c r="C208" s="5558" t="s">
        <v>2331</v>
      </c>
      <c r="D208" s="5558" t="s">
        <v>2332</v>
      </c>
      <c r="E208" s="5558" t="s">
        <v>2328</v>
      </c>
      <c r="F208" s="5558" t="s">
        <v>2333</v>
      </c>
      <c r="G208" s="5558" t="s">
        <v>28</v>
      </c>
      <c r="H208" s="5558" t="s">
        <v>28</v>
      </c>
      <c r="I208" s="5558" t="s">
        <v>915</v>
      </c>
    </row>
    <row customHeight="1" ht="11.25">
      <c r="A209" s="5558" t="s">
        <v>2271</v>
      </c>
      <c r="B209" s="5558" t="s">
        <v>16</v>
      </c>
      <c r="C209" s="5558" t="s">
        <v>2338</v>
      </c>
      <c r="D209" s="5558" t="s">
        <v>2339</v>
      </c>
      <c r="E209" s="5558" t="s">
        <v>2340</v>
      </c>
      <c r="F209" s="5558" t="s">
        <v>2341</v>
      </c>
      <c r="G209" s="5558" t="s">
        <v>28</v>
      </c>
      <c r="H209" s="5558" t="s">
        <v>28</v>
      </c>
      <c r="I209" s="5558" t="s">
        <v>915</v>
      </c>
    </row>
    <row customHeight="1" ht="11.25">
      <c r="A210" s="5558" t="s">
        <v>2271</v>
      </c>
      <c r="B210" s="5558" t="s">
        <v>16</v>
      </c>
      <c r="C210" s="5558" t="s">
        <v>2346</v>
      </c>
      <c r="D210" s="5558" t="s">
        <v>2347</v>
      </c>
      <c r="E210" s="5558" t="s">
        <v>2348</v>
      </c>
      <c r="F210" s="5558" t="s">
        <v>2349</v>
      </c>
      <c r="G210" s="5558" t="s">
        <v>2350</v>
      </c>
      <c r="H210" s="5558" t="s">
        <v>28</v>
      </c>
      <c r="I210" s="5558" t="s">
        <v>915</v>
      </c>
    </row>
    <row customHeight="1" ht="11.25">
      <c r="A211" s="5558" t="s">
        <v>2271</v>
      </c>
      <c r="B211" s="5558" t="s">
        <v>16</v>
      </c>
      <c r="C211" s="5558" t="s">
        <v>2351</v>
      </c>
      <c r="D211" s="5558" t="s">
        <v>2352</v>
      </c>
      <c r="E211" s="5558" t="s">
        <v>2353</v>
      </c>
      <c r="F211" s="5558" t="s">
        <v>2354</v>
      </c>
      <c r="G211" s="5558" t="s">
        <v>2276</v>
      </c>
      <c r="H211" s="5558" t="s">
        <v>28</v>
      </c>
      <c r="I211" s="5558" t="s">
        <v>915</v>
      </c>
    </row>
    <row customHeight="1" ht="11.25">
      <c r="A212" s="5558" t="s">
        <v>2271</v>
      </c>
      <c r="B212" s="5558" t="s">
        <v>16</v>
      </c>
      <c r="C212" s="5558" t="s">
        <v>2359</v>
      </c>
      <c r="D212" s="5558" t="s">
        <v>2360</v>
      </c>
      <c r="E212" s="5558" t="s">
        <v>2361</v>
      </c>
      <c r="F212" s="5558" t="s">
        <v>2314</v>
      </c>
      <c r="G212" s="5558" t="s">
        <v>28</v>
      </c>
      <c r="H212" s="5558" t="s">
        <v>28</v>
      </c>
      <c r="I212" s="5558" t="s">
        <v>915</v>
      </c>
    </row>
    <row customHeight="1" ht="11.25">
      <c r="A213" s="5558" t="s">
        <v>2271</v>
      </c>
      <c r="B213" s="5558" t="s">
        <v>16</v>
      </c>
      <c r="C213" s="5558" t="s">
        <v>2362</v>
      </c>
      <c r="D213" s="5558" t="s">
        <v>2363</v>
      </c>
      <c r="E213" s="5558" t="s">
        <v>2364</v>
      </c>
      <c r="F213" s="5558" t="s">
        <v>2365</v>
      </c>
      <c r="G213" s="5558" t="s">
        <v>2366</v>
      </c>
      <c r="H213" s="5558" t="s">
        <v>28</v>
      </c>
      <c r="I213" s="5558" t="s">
        <v>915</v>
      </c>
    </row>
    <row customHeight="1" ht="11.25">
      <c r="A214" s="5558" t="s">
        <v>2271</v>
      </c>
      <c r="B214" s="5558" t="s">
        <v>16</v>
      </c>
      <c r="C214" s="5558" t="s">
        <v>2375</v>
      </c>
      <c r="D214" s="5558" t="s">
        <v>2376</v>
      </c>
      <c r="E214" s="5558" t="s">
        <v>2283</v>
      </c>
      <c r="F214" s="5558" t="s">
        <v>2377</v>
      </c>
      <c r="G214" s="5558" t="s">
        <v>2378</v>
      </c>
      <c r="H214" s="5558" t="s">
        <v>28</v>
      </c>
      <c r="I214" s="5558" t="s">
        <v>915</v>
      </c>
    </row>
    <row customHeight="1" ht="11.25">
      <c r="A215" s="5558" t="s">
        <v>2271</v>
      </c>
      <c r="B215" s="5558" t="s">
        <v>16</v>
      </c>
      <c r="C215" s="5558" t="s">
        <v>2379</v>
      </c>
      <c r="D215" s="5558" t="s">
        <v>2380</v>
      </c>
      <c r="E215" s="5558" t="s">
        <v>2381</v>
      </c>
      <c r="F215" s="5558" t="s">
        <v>2382</v>
      </c>
      <c r="G215" s="5558" t="s">
        <v>2383</v>
      </c>
      <c r="H215" s="5558" t="s">
        <v>28</v>
      </c>
      <c r="I215" s="5558" t="s">
        <v>915</v>
      </c>
    </row>
    <row customHeight="1" ht="11.25">
      <c r="A216" s="5558" t="s">
        <v>2271</v>
      </c>
      <c r="B216" s="5558" t="s">
        <v>16</v>
      </c>
      <c r="C216" s="5558" t="s">
        <v>2384</v>
      </c>
      <c r="D216" s="5558" t="s">
        <v>2385</v>
      </c>
      <c r="E216" s="5558" t="s">
        <v>2386</v>
      </c>
      <c r="F216" s="5558" t="s">
        <v>2292</v>
      </c>
      <c r="G216" s="5558" t="s">
        <v>28</v>
      </c>
      <c r="H216" s="5558" t="s">
        <v>28</v>
      </c>
      <c r="I216" s="5558" t="s">
        <v>915</v>
      </c>
    </row>
    <row customHeight="1" ht="11.25">
      <c r="A217" s="5558" t="s">
        <v>2271</v>
      </c>
      <c r="B217" s="5558" t="s">
        <v>16</v>
      </c>
      <c r="C217" s="5558" t="s">
        <v>2387</v>
      </c>
      <c r="D217" s="5558" t="s">
        <v>2388</v>
      </c>
      <c r="E217" s="5558" t="s">
        <v>2389</v>
      </c>
      <c r="F217" s="5558" t="s">
        <v>2306</v>
      </c>
      <c r="G217" s="5558" t="s">
        <v>28</v>
      </c>
      <c r="H217" s="5558" t="s">
        <v>28</v>
      </c>
      <c r="I217" s="5558" t="s">
        <v>915</v>
      </c>
    </row>
    <row customHeight="1" ht="11.25">
      <c r="A218" s="5558" t="s">
        <v>2271</v>
      </c>
      <c r="B218" s="5558" t="s">
        <v>16</v>
      </c>
      <c r="C218" s="5558" t="s">
        <v>2400</v>
      </c>
      <c r="D218" s="5558" t="s">
        <v>2401</v>
      </c>
      <c r="E218" s="5558" t="s">
        <v>2402</v>
      </c>
      <c r="F218" s="5558" t="s">
        <v>2280</v>
      </c>
      <c r="G218" s="5558" t="s">
        <v>2403</v>
      </c>
      <c r="H218" s="5558" t="s">
        <v>28</v>
      </c>
      <c r="I218" s="5558" t="s">
        <v>915</v>
      </c>
    </row>
    <row customHeight="1" ht="11.25">
      <c r="A219" s="5558" t="s">
        <v>2271</v>
      </c>
      <c r="B219" s="5558" t="s">
        <v>16</v>
      </c>
      <c r="C219" s="5558" t="s">
        <v>2409</v>
      </c>
      <c r="D219" s="5558" t="s">
        <v>2410</v>
      </c>
      <c r="E219" s="5558" t="s">
        <v>2411</v>
      </c>
      <c r="F219" s="5558" t="s">
        <v>2412</v>
      </c>
      <c r="G219" s="5558" t="s">
        <v>28</v>
      </c>
      <c r="H219" s="5558" t="s">
        <v>28</v>
      </c>
      <c r="I219" s="5558" t="s">
        <v>915</v>
      </c>
    </row>
    <row customHeight="1" ht="11.25">
      <c r="A220" s="5558" t="s">
        <v>2271</v>
      </c>
      <c r="B220" s="5558" t="s">
        <v>16</v>
      </c>
      <c r="C220" s="5558" t="s">
        <v>28</v>
      </c>
      <c r="D220" s="5558" t="s">
        <v>2426</v>
      </c>
      <c r="E220" s="5558" t="s">
        <v>2427</v>
      </c>
      <c r="F220" s="5558" t="s">
        <v>2412</v>
      </c>
      <c r="G220" s="5558" t="s">
        <v>28</v>
      </c>
      <c r="H220" s="5558" t="s">
        <v>28</v>
      </c>
      <c r="I220" s="5558" t="s">
        <v>915</v>
      </c>
    </row>
    <row customHeight="1" ht="11.25">
      <c r="A221" s="5558" t="s">
        <v>2271</v>
      </c>
      <c r="B221" s="5558" t="s">
        <v>16</v>
      </c>
      <c r="C221" s="5558" t="s">
        <v>2428</v>
      </c>
      <c r="D221" s="5558" t="s">
        <v>2429</v>
      </c>
      <c r="E221" s="5558" t="s">
        <v>2430</v>
      </c>
      <c r="F221" s="5558" t="s">
        <v>2306</v>
      </c>
      <c r="G221" s="5558" t="s">
        <v>28</v>
      </c>
      <c r="H221" s="5558" t="s">
        <v>28</v>
      </c>
      <c r="I221" s="5558" t="s">
        <v>915</v>
      </c>
    </row>
    <row customHeight="1" ht="11.25">
      <c r="A222" s="5558" t="s">
        <v>2271</v>
      </c>
      <c r="B222" s="5558" t="s">
        <v>16</v>
      </c>
      <c r="C222" s="5558" t="s">
        <v>2431</v>
      </c>
      <c r="D222" s="5558" t="s">
        <v>2432</v>
      </c>
      <c r="E222" s="5558" t="s">
        <v>2433</v>
      </c>
      <c r="F222" s="5558" t="s">
        <v>2306</v>
      </c>
      <c r="G222" s="5558" t="s">
        <v>28</v>
      </c>
      <c r="H222" s="5558" t="s">
        <v>28</v>
      </c>
      <c r="I222" s="5558" t="s">
        <v>915</v>
      </c>
    </row>
    <row customHeight="1" ht="11.25">
      <c r="A223" s="5558" t="s">
        <v>2271</v>
      </c>
      <c r="B223" s="5558" t="s">
        <v>16</v>
      </c>
      <c r="C223" s="5558" t="s">
        <v>2434</v>
      </c>
      <c r="D223" s="5558" t="s">
        <v>2435</v>
      </c>
      <c r="E223" s="5558" t="s">
        <v>2436</v>
      </c>
      <c r="F223" s="5558" t="s">
        <v>2407</v>
      </c>
      <c r="G223" s="5558" t="s">
        <v>28</v>
      </c>
      <c r="H223" s="5558" t="s">
        <v>28</v>
      </c>
      <c r="I223" s="5558" t="s">
        <v>915</v>
      </c>
    </row>
    <row customHeight="1" ht="11.25">
      <c r="A224" s="5558" t="s">
        <v>2271</v>
      </c>
      <c r="B224" s="5558" t="s">
        <v>16</v>
      </c>
      <c r="C224" s="5558" t="s">
        <v>2437</v>
      </c>
      <c r="D224" s="5558" t="s">
        <v>2438</v>
      </c>
      <c r="E224" s="5558" t="s">
        <v>2439</v>
      </c>
      <c r="F224" s="5558" t="s">
        <v>2306</v>
      </c>
      <c r="G224" s="5558" t="s">
        <v>28</v>
      </c>
      <c r="H224" s="5558" t="s">
        <v>28</v>
      </c>
      <c r="I224" s="5558" t="s">
        <v>915</v>
      </c>
    </row>
    <row customHeight="1" ht="11.25">
      <c r="A225" s="5558" t="s">
        <v>2271</v>
      </c>
      <c r="B225" s="5558" t="s">
        <v>16</v>
      </c>
      <c r="C225" s="5558" t="s">
        <v>2444</v>
      </c>
      <c r="D225" s="5558" t="s">
        <v>2445</v>
      </c>
      <c r="E225" s="5558" t="s">
        <v>2446</v>
      </c>
      <c r="F225" s="5558" t="s">
        <v>2275</v>
      </c>
      <c r="G225" s="5558" t="s">
        <v>28</v>
      </c>
      <c r="H225" s="5558" t="s">
        <v>28</v>
      </c>
      <c r="I225" s="5558" t="s">
        <v>915</v>
      </c>
    </row>
    <row customHeight="1" ht="11.25">
      <c r="A226" s="5558" t="s">
        <v>2271</v>
      </c>
      <c r="B226" s="5558" t="s">
        <v>16</v>
      </c>
      <c r="C226" s="5558" t="s">
        <v>2447</v>
      </c>
      <c r="D226" s="5558" t="s">
        <v>2448</v>
      </c>
      <c r="E226" s="5558" t="s">
        <v>2449</v>
      </c>
      <c r="F226" s="5558" t="s">
        <v>2280</v>
      </c>
      <c r="G226" s="5558" t="s">
        <v>2450</v>
      </c>
      <c r="H226" s="5558" t="s">
        <v>28</v>
      </c>
      <c r="I226" s="5558" t="s">
        <v>915</v>
      </c>
    </row>
    <row customHeight="1" ht="11.25">
      <c r="A227" s="5558" t="s">
        <v>2271</v>
      </c>
      <c r="B227" s="5558" t="s">
        <v>16</v>
      </c>
      <c r="C227" s="5558" t="s">
        <v>2455</v>
      </c>
      <c r="D227" s="5558" t="s">
        <v>2456</v>
      </c>
      <c r="E227" s="5558" t="s">
        <v>2457</v>
      </c>
      <c r="F227" s="5558" t="s">
        <v>2306</v>
      </c>
      <c r="G227" s="5558" t="s">
        <v>28</v>
      </c>
      <c r="H227" s="5558" t="s">
        <v>28</v>
      </c>
      <c r="I227" s="5558" t="s">
        <v>915</v>
      </c>
    </row>
    <row customHeight="1" ht="11.25">
      <c r="A228" s="5558" t="s">
        <v>2271</v>
      </c>
      <c r="B228" s="5558" t="s">
        <v>16</v>
      </c>
      <c r="C228" s="5558" t="s">
        <v>2458</v>
      </c>
      <c r="D228" s="5558" t="s">
        <v>2459</v>
      </c>
      <c r="E228" s="5558" t="s">
        <v>2460</v>
      </c>
      <c r="F228" s="5558" t="s">
        <v>2341</v>
      </c>
      <c r="G228" s="5558" t="s">
        <v>28</v>
      </c>
      <c r="H228" s="5558" t="s">
        <v>28</v>
      </c>
      <c r="I228" s="5558" t="s">
        <v>915</v>
      </c>
    </row>
    <row customHeight="1" ht="11.25">
      <c r="A229" s="5558" t="s">
        <v>2271</v>
      </c>
      <c r="B229" s="5558" t="s">
        <v>16</v>
      </c>
      <c r="C229" s="5558" t="s">
        <v>2461</v>
      </c>
      <c r="D229" s="5558" t="s">
        <v>2462</v>
      </c>
      <c r="E229" s="5558" t="s">
        <v>2463</v>
      </c>
      <c r="F229" s="5558" t="s">
        <v>2306</v>
      </c>
      <c r="G229" s="5558" t="s">
        <v>28</v>
      </c>
      <c r="H229" s="5558" t="s">
        <v>28</v>
      </c>
      <c r="I229" s="5558" t="s">
        <v>915</v>
      </c>
    </row>
    <row customHeight="1" ht="11.25">
      <c r="A230" s="5558" t="s">
        <v>2271</v>
      </c>
      <c r="B230" s="5558" t="s">
        <v>16</v>
      </c>
      <c r="C230" s="5558" t="s">
        <v>2464</v>
      </c>
      <c r="D230" s="5558" t="s">
        <v>2465</v>
      </c>
      <c r="E230" s="5558" t="s">
        <v>2466</v>
      </c>
      <c r="F230" s="5558" t="s">
        <v>2306</v>
      </c>
      <c r="G230" s="5558" t="s">
        <v>28</v>
      </c>
      <c r="H230" s="5558" t="s">
        <v>28</v>
      </c>
      <c r="I230" s="5558" t="s">
        <v>915</v>
      </c>
    </row>
    <row customHeight="1" ht="11.25">
      <c r="A231" s="5558" t="s">
        <v>2271</v>
      </c>
      <c r="B231" s="5558" t="s">
        <v>16</v>
      </c>
      <c r="C231" s="5558" t="s">
        <v>2467</v>
      </c>
      <c r="D231" s="5558" t="s">
        <v>2468</v>
      </c>
      <c r="E231" s="5558" t="s">
        <v>2469</v>
      </c>
      <c r="F231" s="5558" t="s">
        <v>2314</v>
      </c>
      <c r="G231" s="5558" t="s">
        <v>28</v>
      </c>
      <c r="H231" s="5558" t="s">
        <v>28</v>
      </c>
      <c r="I231" s="5558" t="s">
        <v>915</v>
      </c>
    </row>
    <row customHeight="1" ht="11.25">
      <c r="A232" s="5558" t="s">
        <v>2271</v>
      </c>
      <c r="B232" s="5558" t="s">
        <v>16</v>
      </c>
      <c r="C232" s="5558" t="s">
        <v>2477</v>
      </c>
      <c r="D232" s="5558" t="s">
        <v>2478</v>
      </c>
      <c r="E232" s="5558" t="s">
        <v>2479</v>
      </c>
      <c r="F232" s="5558" t="s">
        <v>2306</v>
      </c>
      <c r="G232" s="5558" t="s">
        <v>28</v>
      </c>
      <c r="H232" s="5558" t="s">
        <v>28</v>
      </c>
      <c r="I232" s="5558" t="s">
        <v>915</v>
      </c>
    </row>
    <row customHeight="1" ht="11.25">
      <c r="A233" s="5558" t="s">
        <v>2271</v>
      </c>
      <c r="B233" s="5558" t="s">
        <v>16</v>
      </c>
      <c r="C233" s="5558" t="s">
        <v>2480</v>
      </c>
      <c r="D233" s="5558" t="s">
        <v>2481</v>
      </c>
      <c r="E233" s="5558" t="s">
        <v>2482</v>
      </c>
      <c r="F233" s="5558" t="s">
        <v>2306</v>
      </c>
      <c r="G233" s="5558" t="s">
        <v>28</v>
      </c>
      <c r="H233" s="5558" t="s">
        <v>28</v>
      </c>
      <c r="I233" s="5558" t="s">
        <v>915</v>
      </c>
    </row>
    <row customHeight="1" ht="11.25">
      <c r="A234" s="5558" t="s">
        <v>2271</v>
      </c>
      <c r="B234" s="5558" t="s">
        <v>16</v>
      </c>
      <c r="C234" s="5558" t="s">
        <v>2483</v>
      </c>
      <c r="D234" s="5558" t="s">
        <v>2484</v>
      </c>
      <c r="E234" s="5558" t="s">
        <v>2485</v>
      </c>
      <c r="F234" s="5558" t="s">
        <v>2319</v>
      </c>
      <c r="G234" s="5558" t="s">
        <v>28</v>
      </c>
      <c r="H234" s="5558" t="s">
        <v>28</v>
      </c>
      <c r="I234" s="5558" t="s">
        <v>915</v>
      </c>
    </row>
    <row customHeight="1" ht="11.25">
      <c r="A235" s="5558" t="s">
        <v>2271</v>
      </c>
      <c r="B235" s="5558" t="s">
        <v>16</v>
      </c>
      <c r="C235" s="5558" t="s">
        <v>2489</v>
      </c>
      <c r="D235" s="5558" t="s">
        <v>2490</v>
      </c>
      <c r="E235" s="5558" t="s">
        <v>2491</v>
      </c>
      <c r="F235" s="5558" t="s">
        <v>2280</v>
      </c>
      <c r="G235" s="5558" t="s">
        <v>28</v>
      </c>
      <c r="H235" s="5558" t="s">
        <v>28</v>
      </c>
      <c r="I235" s="5558" t="s">
        <v>915</v>
      </c>
    </row>
    <row customHeight="1" ht="11.25">
      <c r="A236" s="5558" t="s">
        <v>2271</v>
      </c>
      <c r="B236" s="5558" t="s">
        <v>16</v>
      </c>
      <c r="C236" s="5558" t="s">
        <v>2492</v>
      </c>
      <c r="D236" s="5558" t="s">
        <v>2493</v>
      </c>
      <c r="E236" s="5558" t="s">
        <v>2494</v>
      </c>
      <c r="F236" s="5558" t="s">
        <v>2341</v>
      </c>
      <c r="G236" s="5558" t="s">
        <v>28</v>
      </c>
      <c r="H236" s="5558" t="s">
        <v>28</v>
      </c>
      <c r="I236" s="5558" t="s">
        <v>915</v>
      </c>
    </row>
    <row customHeight="1" ht="11.25">
      <c r="A237" s="5558" t="s">
        <v>2271</v>
      </c>
      <c r="B237" s="5558" t="s">
        <v>16</v>
      </c>
      <c r="C237" s="5558" t="s">
        <v>2495</v>
      </c>
      <c r="D237" s="5558" t="s">
        <v>2496</v>
      </c>
      <c r="E237" s="5558" t="s">
        <v>2497</v>
      </c>
      <c r="F237" s="5558" t="s">
        <v>2319</v>
      </c>
      <c r="G237" s="5558" t="s">
        <v>28</v>
      </c>
      <c r="H237" s="5558" t="s">
        <v>28</v>
      </c>
      <c r="I237" s="5558" t="s">
        <v>915</v>
      </c>
    </row>
    <row customHeight="1" ht="11.25">
      <c r="A238" s="5558" t="s">
        <v>2271</v>
      </c>
      <c r="B238" s="5558" t="s">
        <v>16</v>
      </c>
      <c r="C238" s="5558" t="s">
        <v>2498</v>
      </c>
      <c r="D238" s="5558" t="s">
        <v>2499</v>
      </c>
      <c r="E238" s="5558" t="s">
        <v>2500</v>
      </c>
      <c r="F238" s="5558" t="s">
        <v>2292</v>
      </c>
      <c r="G238" s="5558" t="s">
        <v>2501</v>
      </c>
      <c r="H238" s="5558" t="s">
        <v>28</v>
      </c>
      <c r="I238" s="5558" t="s">
        <v>915</v>
      </c>
    </row>
    <row customHeight="1" ht="11.25">
      <c r="A239" s="5558" t="s">
        <v>2271</v>
      </c>
      <c r="B239" s="5558" t="s">
        <v>16</v>
      </c>
      <c r="C239" s="5558" t="s">
        <v>2502</v>
      </c>
      <c r="D239" s="5558" t="s">
        <v>2503</v>
      </c>
      <c r="E239" s="5558" t="s">
        <v>2504</v>
      </c>
      <c r="F239" s="5558" t="s">
        <v>2341</v>
      </c>
      <c r="G239" s="5558" t="s">
        <v>28</v>
      </c>
      <c r="H239" s="5558" t="s">
        <v>28</v>
      </c>
      <c r="I239" s="5558" t="s">
        <v>915</v>
      </c>
    </row>
    <row customHeight="1" ht="11.25">
      <c r="A240" s="5558" t="s">
        <v>2271</v>
      </c>
      <c r="B240" s="5558" t="s">
        <v>16</v>
      </c>
      <c r="C240" s="5558" t="s">
        <v>2513</v>
      </c>
      <c r="D240" s="5558" t="s">
        <v>2514</v>
      </c>
      <c r="E240" s="5558" t="s">
        <v>2515</v>
      </c>
      <c r="F240" s="5558" t="s">
        <v>2292</v>
      </c>
      <c r="G240" s="5558" t="s">
        <v>28</v>
      </c>
      <c r="H240" s="5558" t="s">
        <v>28</v>
      </c>
      <c r="I240" s="5558" t="s">
        <v>915</v>
      </c>
    </row>
    <row customHeight="1" ht="11.25">
      <c r="A241" s="5558" t="s">
        <v>2271</v>
      </c>
      <c r="B241" s="5558" t="s">
        <v>16</v>
      </c>
      <c r="C241" s="5558" t="s">
        <v>2516</v>
      </c>
      <c r="D241" s="5558" t="s">
        <v>2517</v>
      </c>
      <c r="E241" s="5558" t="s">
        <v>2518</v>
      </c>
      <c r="F241" s="5558" t="s">
        <v>2280</v>
      </c>
      <c r="G241" s="5558" t="s">
        <v>28</v>
      </c>
      <c r="H241" s="5558" t="s">
        <v>28</v>
      </c>
      <c r="I241" s="5558" t="s">
        <v>915</v>
      </c>
    </row>
    <row customHeight="1" ht="11.25">
      <c r="A242" s="5558" t="s">
        <v>2271</v>
      </c>
      <c r="B242" s="5558" t="s">
        <v>16</v>
      </c>
      <c r="C242" s="5558" t="s">
        <v>2519</v>
      </c>
      <c r="D242" s="5558" t="s">
        <v>2520</v>
      </c>
      <c r="E242" s="5558" t="s">
        <v>2521</v>
      </c>
      <c r="F242" s="5558" t="s">
        <v>2522</v>
      </c>
      <c r="G242" s="5558" t="s">
        <v>2523</v>
      </c>
      <c r="H242" s="5558" t="s">
        <v>28</v>
      </c>
      <c r="I242" s="5558" t="s">
        <v>915</v>
      </c>
    </row>
    <row customHeight="1" ht="11.25">
      <c r="A243" s="5558" t="s">
        <v>2271</v>
      </c>
      <c r="B243" s="5558" t="s">
        <v>16</v>
      </c>
      <c r="C243" s="5558" t="s">
        <v>2527</v>
      </c>
      <c r="D243" s="5558" t="s">
        <v>2528</v>
      </c>
      <c r="E243" s="5558" t="s">
        <v>2529</v>
      </c>
      <c r="F243" s="5558" t="s">
        <v>2306</v>
      </c>
      <c r="G243" s="5558" t="s">
        <v>28</v>
      </c>
      <c r="H243" s="5558" t="s">
        <v>28</v>
      </c>
      <c r="I243" s="5558" t="s">
        <v>915</v>
      </c>
    </row>
    <row customHeight="1" ht="11.25">
      <c r="A244" s="5558" t="s">
        <v>2271</v>
      </c>
      <c r="B244" s="5558" t="s">
        <v>16</v>
      </c>
      <c r="C244" s="5558" t="s">
        <v>2530</v>
      </c>
      <c r="D244" s="5558" t="s">
        <v>2531</v>
      </c>
      <c r="E244" s="5558" t="s">
        <v>2532</v>
      </c>
      <c r="F244" s="5558" t="s">
        <v>2275</v>
      </c>
      <c r="G244" s="5558" t="s">
        <v>28</v>
      </c>
      <c r="H244" s="5558" t="s">
        <v>28</v>
      </c>
      <c r="I244" s="5558" t="s">
        <v>915</v>
      </c>
    </row>
    <row customHeight="1" ht="11.25">
      <c r="A245" s="5558" t="s">
        <v>2271</v>
      </c>
      <c r="B245" s="5558" t="s">
        <v>16</v>
      </c>
      <c r="C245" s="5558" t="s">
        <v>2538</v>
      </c>
      <c r="D245" s="5558" t="s">
        <v>2539</v>
      </c>
      <c r="E245" s="5558" t="s">
        <v>2540</v>
      </c>
      <c r="F245" s="5558" t="s">
        <v>2280</v>
      </c>
      <c r="G245" s="5558" t="s">
        <v>28</v>
      </c>
      <c r="H245" s="5558" t="s">
        <v>28</v>
      </c>
      <c r="I245" s="5558" t="s">
        <v>915</v>
      </c>
    </row>
    <row customHeight="1" ht="11.25">
      <c r="A246" s="5558" t="s">
        <v>2271</v>
      </c>
      <c r="B246" s="5558" t="s">
        <v>16</v>
      </c>
      <c r="C246" s="5558" t="s">
        <v>2541</v>
      </c>
      <c r="D246" s="5558" t="s">
        <v>2542</v>
      </c>
      <c r="E246" s="5558" t="s">
        <v>2543</v>
      </c>
      <c r="F246" s="5558" t="s">
        <v>2302</v>
      </c>
      <c r="G246" s="5558" t="s">
        <v>28</v>
      </c>
      <c r="H246" s="5558" t="s">
        <v>28</v>
      </c>
      <c r="I246" s="5558" t="s">
        <v>915</v>
      </c>
    </row>
    <row customHeight="1" ht="11.25">
      <c r="A247" s="5558" t="s">
        <v>2271</v>
      </c>
      <c r="B247" s="5558" t="s">
        <v>16</v>
      </c>
      <c r="C247" s="5558" t="s">
        <v>2544</v>
      </c>
      <c r="D247" s="5558" t="s">
        <v>2545</v>
      </c>
      <c r="E247" s="5558" t="s">
        <v>2546</v>
      </c>
      <c r="F247" s="5558" t="s">
        <v>2302</v>
      </c>
      <c r="G247" s="5558" t="s">
        <v>28</v>
      </c>
      <c r="H247" s="5558" t="s">
        <v>28</v>
      </c>
      <c r="I247" s="5558" t="s">
        <v>915</v>
      </c>
    </row>
    <row customHeight="1" ht="11.25">
      <c r="A248" s="5558" t="s">
        <v>2271</v>
      </c>
      <c r="B248" s="5558" t="s">
        <v>16</v>
      </c>
      <c r="C248" s="5558" t="s">
        <v>2547</v>
      </c>
      <c r="D248" s="5558" t="s">
        <v>2548</v>
      </c>
      <c r="E248" s="5558" t="s">
        <v>2549</v>
      </c>
      <c r="F248" s="5558" t="s">
        <v>2550</v>
      </c>
      <c r="G248" s="5558" t="s">
        <v>28</v>
      </c>
      <c r="H248" s="5558" t="s">
        <v>28</v>
      </c>
      <c r="I248" s="5558" t="s">
        <v>915</v>
      </c>
    </row>
    <row customHeight="1" ht="11.25">
      <c r="A249" s="5558" t="s">
        <v>2271</v>
      </c>
      <c r="B249" s="5558" t="s">
        <v>16</v>
      </c>
      <c r="C249" s="5558" t="s">
        <v>2551</v>
      </c>
      <c r="D249" s="5558" t="s">
        <v>2552</v>
      </c>
      <c r="E249" s="5558" t="s">
        <v>2553</v>
      </c>
      <c r="F249" s="5558" t="s">
        <v>2425</v>
      </c>
      <c r="G249" s="5558" t="s">
        <v>28</v>
      </c>
      <c r="H249" s="5558" t="s">
        <v>28</v>
      </c>
      <c r="I249" s="5558" t="s">
        <v>915</v>
      </c>
    </row>
    <row customHeight="1" ht="11.25">
      <c r="A250" s="5558" t="s">
        <v>2271</v>
      </c>
      <c r="B250" s="5558" t="s">
        <v>16</v>
      </c>
      <c r="C250" s="5558" t="s">
        <v>2554</v>
      </c>
      <c r="D250" s="5558" t="s">
        <v>2555</v>
      </c>
      <c r="E250" s="5558" t="s">
        <v>2556</v>
      </c>
      <c r="F250" s="5558" t="s">
        <v>2557</v>
      </c>
      <c r="G250" s="5558" t="s">
        <v>28</v>
      </c>
      <c r="H250" s="5558" t="s">
        <v>28</v>
      </c>
      <c r="I250" s="5558" t="s">
        <v>915</v>
      </c>
    </row>
    <row customHeight="1" ht="11.25">
      <c r="A251" s="5558" t="s">
        <v>2271</v>
      </c>
      <c r="B251" s="5558" t="s">
        <v>16</v>
      </c>
      <c r="C251" s="5558" t="s">
        <v>2558</v>
      </c>
      <c r="D251" s="5558" t="s">
        <v>2559</v>
      </c>
      <c r="E251" s="5558" t="s">
        <v>2560</v>
      </c>
      <c r="F251" s="5558" t="s">
        <v>2337</v>
      </c>
      <c r="G251" s="5558" t="s">
        <v>2561</v>
      </c>
      <c r="H251" s="5558" t="s">
        <v>28</v>
      </c>
      <c r="I251" s="5558" t="s">
        <v>915</v>
      </c>
    </row>
    <row customHeight="1" ht="11.25">
      <c r="A252" s="5558" t="s">
        <v>2271</v>
      </c>
      <c r="B252" s="5558" t="s">
        <v>16</v>
      </c>
      <c r="C252" s="5558" t="s">
        <v>2562</v>
      </c>
      <c r="D252" s="5558" t="s">
        <v>2563</v>
      </c>
      <c r="E252" s="5558" t="s">
        <v>2564</v>
      </c>
      <c r="F252" s="5558" t="s">
        <v>2306</v>
      </c>
      <c r="G252" s="5558" t="s">
        <v>2565</v>
      </c>
      <c r="H252" s="5558" t="s">
        <v>28</v>
      </c>
      <c r="I252" s="5558" t="s">
        <v>915</v>
      </c>
    </row>
    <row customHeight="1" ht="11.25">
      <c r="A253" s="5558" t="s">
        <v>2271</v>
      </c>
      <c r="B253" s="5558" t="s">
        <v>16</v>
      </c>
      <c r="C253" s="5558" t="s">
        <v>2950</v>
      </c>
      <c r="D253" s="5558" t="s">
        <v>2951</v>
      </c>
      <c r="E253" s="5558" t="s">
        <v>2952</v>
      </c>
      <c r="F253" s="5558" t="s">
        <v>2306</v>
      </c>
      <c r="G253" s="5558" t="s">
        <v>28</v>
      </c>
      <c r="H253" s="5558" t="s">
        <v>28</v>
      </c>
      <c r="I253" s="5558" t="s">
        <v>915</v>
      </c>
    </row>
    <row customHeight="1" ht="11.25">
      <c r="A254" s="5558" t="s">
        <v>2271</v>
      </c>
      <c r="B254" s="5558" t="s">
        <v>16</v>
      </c>
      <c r="C254" s="5558" t="s">
        <v>2566</v>
      </c>
      <c r="D254" s="5558" t="s">
        <v>2567</v>
      </c>
      <c r="E254" s="5558" t="s">
        <v>2568</v>
      </c>
      <c r="F254" s="5558" t="s">
        <v>2306</v>
      </c>
      <c r="G254" s="5558" t="s">
        <v>2569</v>
      </c>
      <c r="H254" s="5558" t="s">
        <v>28</v>
      </c>
      <c r="I254" s="5558" t="s">
        <v>915</v>
      </c>
    </row>
    <row customHeight="1" ht="11.25">
      <c r="A255" s="5558" t="s">
        <v>2271</v>
      </c>
      <c r="B255" s="5558" t="s">
        <v>16</v>
      </c>
      <c r="C255" s="5558" t="s">
        <v>2570</v>
      </c>
      <c r="D255" s="5558" t="s">
        <v>2571</v>
      </c>
      <c r="E255" s="5558" t="s">
        <v>2572</v>
      </c>
      <c r="F255" s="5558" t="s">
        <v>2319</v>
      </c>
      <c r="G255" s="5558" t="s">
        <v>28</v>
      </c>
      <c r="H255" s="5558" t="s">
        <v>28</v>
      </c>
      <c r="I255" s="5558" t="s">
        <v>915</v>
      </c>
    </row>
    <row customHeight="1" ht="11.25">
      <c r="A256" s="5558" t="s">
        <v>2271</v>
      </c>
      <c r="B256" s="5558" t="s">
        <v>16</v>
      </c>
      <c r="C256" s="5558" t="s">
        <v>2587</v>
      </c>
      <c r="D256" s="5558" t="s">
        <v>2588</v>
      </c>
      <c r="E256" s="5558" t="s">
        <v>2589</v>
      </c>
      <c r="F256" s="5558" t="s">
        <v>2557</v>
      </c>
      <c r="G256" s="5558" t="s">
        <v>28</v>
      </c>
      <c r="H256" s="5558" t="s">
        <v>28</v>
      </c>
      <c r="I256" s="5558" t="s">
        <v>915</v>
      </c>
    </row>
    <row customHeight="1" ht="11.25">
      <c r="A257" s="5558" t="s">
        <v>2271</v>
      </c>
      <c r="B257" s="5558" t="s">
        <v>16</v>
      </c>
      <c r="C257" s="5558" t="s">
        <v>2594</v>
      </c>
      <c r="D257" s="5558" t="s">
        <v>2595</v>
      </c>
      <c r="E257" s="5558" t="s">
        <v>2596</v>
      </c>
      <c r="F257" s="5558" t="s">
        <v>2280</v>
      </c>
      <c r="G257" s="5558" t="s">
        <v>28</v>
      </c>
      <c r="H257" s="5558" t="s">
        <v>28</v>
      </c>
      <c r="I257" s="5558" t="s">
        <v>915</v>
      </c>
    </row>
    <row customHeight="1" ht="11.25">
      <c r="A258" s="5558" t="s">
        <v>2271</v>
      </c>
      <c r="B258" s="5558" t="s">
        <v>16</v>
      </c>
      <c r="C258" s="5558" t="s">
        <v>2601</v>
      </c>
      <c r="D258" s="5558" t="s">
        <v>2602</v>
      </c>
      <c r="E258" s="5558" t="s">
        <v>2603</v>
      </c>
      <c r="F258" s="5558" t="s">
        <v>2604</v>
      </c>
      <c r="G258" s="5558" t="s">
        <v>28</v>
      </c>
      <c r="H258" s="5558" t="s">
        <v>28</v>
      </c>
      <c r="I258" s="5558" t="s">
        <v>915</v>
      </c>
    </row>
    <row customHeight="1" ht="11.25">
      <c r="A259" s="5558" t="s">
        <v>2271</v>
      </c>
      <c r="B259" s="5558" t="s">
        <v>16</v>
      </c>
      <c r="C259" s="5558" t="s">
        <v>2605</v>
      </c>
      <c r="D259" s="5558" t="s">
        <v>2606</v>
      </c>
      <c r="E259" s="5558" t="s">
        <v>2607</v>
      </c>
      <c r="F259" s="5558" t="s">
        <v>2319</v>
      </c>
      <c r="G259" s="5558" t="s">
        <v>28</v>
      </c>
      <c r="H259" s="5558" t="s">
        <v>28</v>
      </c>
      <c r="I259" s="5558" t="s">
        <v>915</v>
      </c>
    </row>
    <row customHeight="1" ht="11.25">
      <c r="A260" s="5558" t="s">
        <v>2271</v>
      </c>
      <c r="B260" s="5558" t="s">
        <v>16</v>
      </c>
      <c r="C260" s="5558" t="s">
        <v>2608</v>
      </c>
      <c r="D260" s="5558" t="s">
        <v>2609</v>
      </c>
      <c r="E260" s="5558" t="s">
        <v>2610</v>
      </c>
      <c r="F260" s="5558" t="s">
        <v>2314</v>
      </c>
      <c r="G260" s="5558" t="s">
        <v>28</v>
      </c>
      <c r="H260" s="5558" t="s">
        <v>28</v>
      </c>
      <c r="I260" s="5558" t="s">
        <v>915</v>
      </c>
    </row>
    <row customHeight="1" ht="11.25">
      <c r="A261" s="5558" t="s">
        <v>2271</v>
      </c>
      <c r="B261" s="5558" t="s">
        <v>16</v>
      </c>
      <c r="C261" s="5558" t="s">
        <v>2611</v>
      </c>
      <c r="D261" s="5558" t="s">
        <v>2612</v>
      </c>
      <c r="E261" s="5558" t="s">
        <v>2613</v>
      </c>
      <c r="F261" s="5558" t="s">
        <v>2341</v>
      </c>
      <c r="G261" s="5558" t="s">
        <v>28</v>
      </c>
      <c r="H261" s="5558" t="s">
        <v>28</v>
      </c>
      <c r="I261" s="5558" t="s">
        <v>915</v>
      </c>
    </row>
    <row customHeight="1" ht="11.25">
      <c r="A262" s="5558" t="s">
        <v>2271</v>
      </c>
      <c r="B262" s="5558" t="s">
        <v>16</v>
      </c>
      <c r="C262" s="5558" t="s">
        <v>2614</v>
      </c>
      <c r="D262" s="5558" t="s">
        <v>2615</v>
      </c>
      <c r="E262" s="5558" t="s">
        <v>2616</v>
      </c>
      <c r="F262" s="5558" t="s">
        <v>2306</v>
      </c>
      <c r="G262" s="5558" t="s">
        <v>2617</v>
      </c>
      <c r="H262" s="5558" t="s">
        <v>28</v>
      </c>
      <c r="I262" s="5558" t="s">
        <v>915</v>
      </c>
    </row>
    <row customHeight="1" ht="11.25">
      <c r="A263" s="5558" t="s">
        <v>2271</v>
      </c>
      <c r="B263" s="5558" t="s">
        <v>16</v>
      </c>
      <c r="C263" s="5558" t="s">
        <v>2624</v>
      </c>
      <c r="D263" s="5558" t="s">
        <v>2625</v>
      </c>
      <c r="E263" s="5558" t="s">
        <v>2626</v>
      </c>
      <c r="F263" s="5558" t="s">
        <v>2306</v>
      </c>
      <c r="G263" s="5558" t="s">
        <v>28</v>
      </c>
      <c r="H263" s="5558" t="s">
        <v>28</v>
      </c>
      <c r="I263" s="5558" t="s">
        <v>915</v>
      </c>
    </row>
    <row customHeight="1" ht="11.25">
      <c r="A264" s="5558" t="s">
        <v>2271</v>
      </c>
      <c r="B264" s="5558" t="s">
        <v>16</v>
      </c>
      <c r="C264" s="5558" t="s">
        <v>2627</v>
      </c>
      <c r="D264" s="5558" t="s">
        <v>2628</v>
      </c>
      <c r="E264" s="5558" t="s">
        <v>2629</v>
      </c>
      <c r="F264" s="5558" t="s">
        <v>2302</v>
      </c>
      <c r="G264" s="5558" t="s">
        <v>2276</v>
      </c>
      <c r="H264" s="5558" t="s">
        <v>28</v>
      </c>
      <c r="I264" s="5558" t="s">
        <v>915</v>
      </c>
    </row>
    <row customHeight="1" ht="11.25">
      <c r="A265" s="5558" t="s">
        <v>2271</v>
      </c>
      <c r="B265" s="5558" t="s">
        <v>16</v>
      </c>
      <c r="C265" s="5558" t="s">
        <v>2630</v>
      </c>
      <c r="D265" s="5558" t="s">
        <v>2631</v>
      </c>
      <c r="E265" s="5558" t="s">
        <v>2632</v>
      </c>
      <c r="F265" s="5558" t="s">
        <v>2557</v>
      </c>
      <c r="G265" s="5558" t="s">
        <v>2633</v>
      </c>
      <c r="H265" s="5558" t="s">
        <v>28</v>
      </c>
      <c r="I265" s="5558" t="s">
        <v>915</v>
      </c>
    </row>
    <row customHeight="1" ht="11.25">
      <c r="A266" s="5558" t="s">
        <v>2271</v>
      </c>
      <c r="B266" s="5558" t="s">
        <v>16</v>
      </c>
      <c r="C266" s="5558" t="s">
        <v>2640</v>
      </c>
      <c r="D266" s="5558" t="s">
        <v>2641</v>
      </c>
      <c r="E266" s="5558" t="s">
        <v>2642</v>
      </c>
      <c r="F266" s="5558" t="s">
        <v>2292</v>
      </c>
      <c r="G266" s="5558" t="s">
        <v>2643</v>
      </c>
      <c r="H266" s="5558" t="s">
        <v>28</v>
      </c>
      <c r="I266" s="5558" t="s">
        <v>915</v>
      </c>
    </row>
    <row customHeight="1" ht="11.25">
      <c r="A267" s="5558" t="s">
        <v>2271</v>
      </c>
      <c r="B267" s="5558" t="s">
        <v>16</v>
      </c>
      <c r="C267" s="5558" t="s">
        <v>2644</v>
      </c>
      <c r="D267" s="5558" t="s">
        <v>2645</v>
      </c>
      <c r="E267" s="5558" t="s">
        <v>2646</v>
      </c>
      <c r="F267" s="5558" t="s">
        <v>2647</v>
      </c>
      <c r="G267" s="5558" t="s">
        <v>28</v>
      </c>
      <c r="H267" s="5558" t="s">
        <v>28</v>
      </c>
      <c r="I267" s="5558" t="s">
        <v>915</v>
      </c>
    </row>
    <row customHeight="1" ht="11.25">
      <c r="A268" s="5558" t="s">
        <v>2271</v>
      </c>
      <c r="B268" s="5558" t="s">
        <v>16</v>
      </c>
      <c r="C268" s="5558" t="s">
        <v>2648</v>
      </c>
      <c r="D268" s="5558" t="s">
        <v>2649</v>
      </c>
      <c r="E268" s="5558" t="s">
        <v>2650</v>
      </c>
      <c r="F268" s="5558" t="s">
        <v>2651</v>
      </c>
      <c r="G268" s="5558" t="s">
        <v>2652</v>
      </c>
      <c r="H268" s="5558" t="s">
        <v>28</v>
      </c>
      <c r="I268" s="5558" t="s">
        <v>915</v>
      </c>
    </row>
    <row customHeight="1" ht="11.25">
      <c r="A269" s="5558" t="s">
        <v>2271</v>
      </c>
      <c r="B269" s="5558" t="s">
        <v>16</v>
      </c>
      <c r="C269" s="5558" t="s">
        <v>2656</v>
      </c>
      <c r="D269" s="5558" t="s">
        <v>2657</v>
      </c>
      <c r="E269" s="5558" t="s">
        <v>2658</v>
      </c>
      <c r="F269" s="5558" t="s">
        <v>2550</v>
      </c>
      <c r="G269" s="5558" t="s">
        <v>2659</v>
      </c>
      <c r="H269" s="5558" t="s">
        <v>28</v>
      </c>
      <c r="I269" s="5558" t="s">
        <v>915</v>
      </c>
    </row>
    <row customHeight="1" ht="11.25">
      <c r="A270" s="5558" t="s">
        <v>2271</v>
      </c>
      <c r="B270" s="5558" t="s">
        <v>16</v>
      </c>
      <c r="C270" s="5558" t="s">
        <v>2660</v>
      </c>
      <c r="D270" s="5558" t="s">
        <v>2661</v>
      </c>
      <c r="E270" s="5558" t="s">
        <v>2662</v>
      </c>
      <c r="F270" s="5558" t="s">
        <v>2512</v>
      </c>
      <c r="G270" s="5558" t="s">
        <v>28</v>
      </c>
      <c r="H270" s="5558" t="s">
        <v>28</v>
      </c>
      <c r="I270" s="5558" t="s">
        <v>915</v>
      </c>
    </row>
    <row customHeight="1" ht="11.25">
      <c r="A271" s="5558" t="s">
        <v>2271</v>
      </c>
      <c r="B271" s="5558" t="s">
        <v>16</v>
      </c>
      <c r="C271" s="5558" t="s">
        <v>2663</v>
      </c>
      <c r="D271" s="5558" t="s">
        <v>2664</v>
      </c>
      <c r="E271" s="5558" t="s">
        <v>2665</v>
      </c>
      <c r="F271" s="5558" t="s">
        <v>2280</v>
      </c>
      <c r="G271" s="5558" t="s">
        <v>2666</v>
      </c>
      <c r="H271" s="5558" t="s">
        <v>28</v>
      </c>
      <c r="I271" s="5558" t="s">
        <v>915</v>
      </c>
    </row>
    <row customHeight="1" ht="11.25">
      <c r="A272" s="5558" t="s">
        <v>2271</v>
      </c>
      <c r="B272" s="5558" t="s">
        <v>16</v>
      </c>
      <c r="C272" s="5558" t="s">
        <v>2667</v>
      </c>
      <c r="D272" s="5558" t="s">
        <v>2668</v>
      </c>
      <c r="E272" s="5558" t="s">
        <v>2669</v>
      </c>
      <c r="F272" s="5558" t="s">
        <v>2425</v>
      </c>
      <c r="G272" s="5558" t="s">
        <v>2670</v>
      </c>
      <c r="H272" s="5558" t="s">
        <v>28</v>
      </c>
      <c r="I272" s="5558" t="s">
        <v>915</v>
      </c>
    </row>
    <row customHeight="1" ht="11.25">
      <c r="A273" s="5558" t="s">
        <v>2271</v>
      </c>
      <c r="B273" s="5558" t="s">
        <v>16</v>
      </c>
      <c r="C273" s="5558" t="s">
        <v>2671</v>
      </c>
      <c r="D273" s="5558" t="s">
        <v>2672</v>
      </c>
      <c r="E273" s="5558" t="s">
        <v>2673</v>
      </c>
      <c r="F273" s="5558" t="s">
        <v>2557</v>
      </c>
      <c r="G273" s="5558" t="s">
        <v>28</v>
      </c>
      <c r="H273" s="5558" t="s">
        <v>28</v>
      </c>
      <c r="I273" s="5558" t="s">
        <v>915</v>
      </c>
    </row>
    <row customHeight="1" ht="11.25">
      <c r="A274" s="5558" t="s">
        <v>2271</v>
      </c>
      <c r="B274" s="5558" t="s">
        <v>16</v>
      </c>
      <c r="C274" s="5558" t="s">
        <v>2677</v>
      </c>
      <c r="D274" s="5558" t="s">
        <v>2678</v>
      </c>
      <c r="E274" s="5558" t="s">
        <v>2679</v>
      </c>
      <c r="F274" s="5558" t="s">
        <v>2341</v>
      </c>
      <c r="G274" s="5558" t="s">
        <v>28</v>
      </c>
      <c r="H274" s="5558" t="s">
        <v>28</v>
      </c>
      <c r="I274" s="5558" t="s">
        <v>915</v>
      </c>
    </row>
    <row customHeight="1" ht="11.25">
      <c r="A275" s="5558" t="s">
        <v>2271</v>
      </c>
      <c r="B275" s="5558" t="s">
        <v>16</v>
      </c>
      <c r="C275" s="5558" t="s">
        <v>2683</v>
      </c>
      <c r="D275" s="5558" t="s">
        <v>2684</v>
      </c>
      <c r="E275" s="5558" t="s">
        <v>2685</v>
      </c>
      <c r="F275" s="5558" t="s">
        <v>2319</v>
      </c>
      <c r="G275" s="5558" t="s">
        <v>28</v>
      </c>
      <c r="H275" s="5558" t="s">
        <v>28</v>
      </c>
      <c r="I275" s="5558" t="s">
        <v>915</v>
      </c>
    </row>
    <row customHeight="1" ht="11.25">
      <c r="A276" s="5558" t="s">
        <v>2271</v>
      </c>
      <c r="B276" s="5558" t="s">
        <v>16</v>
      </c>
      <c r="C276" s="5558" t="s">
        <v>2686</v>
      </c>
      <c r="D276" s="5558" t="s">
        <v>2687</v>
      </c>
      <c r="E276" s="5558" t="s">
        <v>2688</v>
      </c>
      <c r="F276" s="5558" t="s">
        <v>2358</v>
      </c>
      <c r="G276" s="5558" t="s">
        <v>28</v>
      </c>
      <c r="H276" s="5558" t="s">
        <v>28</v>
      </c>
      <c r="I276" s="5558" t="s">
        <v>915</v>
      </c>
    </row>
    <row customHeight="1" ht="11.25">
      <c r="A277" s="5558" t="s">
        <v>2271</v>
      </c>
      <c r="B277" s="5558" t="s">
        <v>16</v>
      </c>
      <c r="C277" s="5558" t="s">
        <v>2689</v>
      </c>
      <c r="D277" s="5558" t="s">
        <v>2690</v>
      </c>
      <c r="E277" s="5558" t="s">
        <v>2691</v>
      </c>
      <c r="F277" s="5558" t="s">
        <v>2319</v>
      </c>
      <c r="G277" s="5558" t="s">
        <v>28</v>
      </c>
      <c r="H277" s="5558" t="s">
        <v>28</v>
      </c>
      <c r="I277" s="5558" t="s">
        <v>915</v>
      </c>
    </row>
    <row customHeight="1" ht="11.25">
      <c r="A278" s="5558" t="s">
        <v>2271</v>
      </c>
      <c r="B278" s="5558" t="s">
        <v>16</v>
      </c>
      <c r="C278" s="5558" t="s">
        <v>2692</v>
      </c>
      <c r="D278" s="5558" t="s">
        <v>2693</v>
      </c>
      <c r="E278" s="5558" t="s">
        <v>2694</v>
      </c>
      <c r="F278" s="5558" t="s">
        <v>2341</v>
      </c>
      <c r="G278" s="5558" t="s">
        <v>2695</v>
      </c>
      <c r="H278" s="5558" t="s">
        <v>28</v>
      </c>
      <c r="I278" s="5558" t="s">
        <v>915</v>
      </c>
    </row>
    <row customHeight="1" ht="11.25">
      <c r="A279" s="5558" t="s">
        <v>2271</v>
      </c>
      <c r="B279" s="5558" t="s">
        <v>16</v>
      </c>
      <c r="C279" s="5558" t="s">
        <v>2696</v>
      </c>
      <c r="D279" s="5558" t="s">
        <v>2697</v>
      </c>
      <c r="E279" s="5558" t="s">
        <v>2698</v>
      </c>
      <c r="F279" s="5558" t="s">
        <v>2358</v>
      </c>
      <c r="G279" s="5558" t="s">
        <v>28</v>
      </c>
      <c r="H279" s="5558" t="s">
        <v>28</v>
      </c>
      <c r="I279" s="5558" t="s">
        <v>915</v>
      </c>
    </row>
    <row customHeight="1" ht="11.25">
      <c r="A280" s="5558" t="s">
        <v>2271</v>
      </c>
      <c r="B280" s="5558" t="s">
        <v>16</v>
      </c>
      <c r="C280" s="5558" t="s">
        <v>2699</v>
      </c>
      <c r="D280" s="5558" t="s">
        <v>2700</v>
      </c>
      <c r="E280" s="5558" t="s">
        <v>2701</v>
      </c>
      <c r="F280" s="5558" t="s">
        <v>2319</v>
      </c>
      <c r="G280" s="5558" t="s">
        <v>2702</v>
      </c>
      <c r="H280" s="5558" t="s">
        <v>28</v>
      </c>
      <c r="I280" s="5558" t="s">
        <v>915</v>
      </c>
    </row>
    <row customHeight="1" ht="11.25">
      <c r="A281" s="5558" t="s">
        <v>2271</v>
      </c>
      <c r="B281" s="5558" t="s">
        <v>16</v>
      </c>
      <c r="C281" s="5558" t="s">
        <v>2706</v>
      </c>
      <c r="D281" s="5558" t="s">
        <v>2707</v>
      </c>
      <c r="E281" s="5558" t="s">
        <v>2708</v>
      </c>
      <c r="F281" s="5558" t="s">
        <v>2647</v>
      </c>
      <c r="G281" s="5558" t="s">
        <v>28</v>
      </c>
      <c r="H281" s="5558" t="s">
        <v>28</v>
      </c>
      <c r="I281" s="5558" t="s">
        <v>915</v>
      </c>
    </row>
    <row customHeight="1" ht="11.25">
      <c r="A282" s="5558" t="s">
        <v>2271</v>
      </c>
      <c r="B282" s="5558" t="s">
        <v>16</v>
      </c>
      <c r="C282" s="5558" t="s">
        <v>2713</v>
      </c>
      <c r="D282" s="5558" t="s">
        <v>2714</v>
      </c>
      <c r="E282" s="5558" t="s">
        <v>2715</v>
      </c>
      <c r="F282" s="5558" t="s">
        <v>2306</v>
      </c>
      <c r="G282" s="5558" t="s">
        <v>28</v>
      </c>
      <c r="H282" s="5558" t="s">
        <v>28</v>
      </c>
      <c r="I282" s="5558" t="s">
        <v>915</v>
      </c>
    </row>
    <row customHeight="1" ht="11.25">
      <c r="A283" s="5558" t="s">
        <v>2271</v>
      </c>
      <c r="B283" s="5558" t="s">
        <v>16</v>
      </c>
      <c r="C283" s="5558" t="s">
        <v>2716</v>
      </c>
      <c r="D283" s="5558" t="s">
        <v>2717</v>
      </c>
      <c r="E283" s="5558" t="s">
        <v>2718</v>
      </c>
      <c r="F283" s="5558" t="s">
        <v>2306</v>
      </c>
      <c r="G283" s="5558" t="s">
        <v>2719</v>
      </c>
      <c r="H283" s="5558" t="s">
        <v>28</v>
      </c>
      <c r="I283" s="5558" t="s">
        <v>915</v>
      </c>
    </row>
    <row customHeight="1" ht="11.25">
      <c r="A284" s="5558" t="s">
        <v>2271</v>
      </c>
      <c r="B284" s="5558" t="s">
        <v>16</v>
      </c>
      <c r="C284" s="5558" t="s">
        <v>2720</v>
      </c>
      <c r="D284" s="5558" t="s">
        <v>2721</v>
      </c>
      <c r="E284" s="5558" t="s">
        <v>2722</v>
      </c>
      <c r="F284" s="5558" t="s">
        <v>2275</v>
      </c>
      <c r="G284" s="5558" t="s">
        <v>28</v>
      </c>
      <c r="H284" s="5558" t="s">
        <v>28</v>
      </c>
      <c r="I284" s="5558" t="s">
        <v>915</v>
      </c>
    </row>
    <row customHeight="1" ht="11.25">
      <c r="A285" s="5558" t="s">
        <v>2271</v>
      </c>
      <c r="B285" s="5558" t="s">
        <v>16</v>
      </c>
      <c r="C285" s="5558" t="s">
        <v>2730</v>
      </c>
      <c r="D285" s="5558" t="s">
        <v>2731</v>
      </c>
      <c r="E285" s="5558" t="s">
        <v>2732</v>
      </c>
      <c r="F285" s="5558" t="s">
        <v>2280</v>
      </c>
      <c r="G285" s="5558" t="s">
        <v>28</v>
      </c>
      <c r="H285" s="5558" t="s">
        <v>28</v>
      </c>
      <c r="I285" s="5558" t="s">
        <v>915</v>
      </c>
    </row>
    <row customHeight="1" ht="11.25">
      <c r="A286" s="5558" t="s">
        <v>2271</v>
      </c>
      <c r="B286" s="5558" t="s">
        <v>16</v>
      </c>
      <c r="C286" s="5558" t="s">
        <v>2733</v>
      </c>
      <c r="D286" s="5558" t="s">
        <v>2734</v>
      </c>
      <c r="E286" s="5558" t="s">
        <v>2735</v>
      </c>
      <c r="F286" s="5558" t="s">
        <v>2306</v>
      </c>
      <c r="G286" s="5558" t="s">
        <v>28</v>
      </c>
      <c r="H286" s="5558" t="s">
        <v>28</v>
      </c>
      <c r="I286" s="5558" t="s">
        <v>915</v>
      </c>
    </row>
    <row customHeight="1" ht="11.25">
      <c r="A287" s="5558" t="s">
        <v>2271</v>
      </c>
      <c r="B287" s="5558" t="s">
        <v>16</v>
      </c>
      <c r="C287" s="5558" t="s">
        <v>2736</v>
      </c>
      <c r="D287" s="5558" t="s">
        <v>2737</v>
      </c>
      <c r="E287" s="5558" t="s">
        <v>2738</v>
      </c>
      <c r="F287" s="5558" t="s">
        <v>2425</v>
      </c>
      <c r="G287" s="5558" t="s">
        <v>28</v>
      </c>
      <c r="H287" s="5558" t="s">
        <v>28</v>
      </c>
      <c r="I287" s="5558" t="s">
        <v>915</v>
      </c>
    </row>
    <row customHeight="1" ht="11.25">
      <c r="A288" s="5558" t="s">
        <v>2271</v>
      </c>
      <c r="B288" s="5558" t="s">
        <v>16</v>
      </c>
      <c r="C288" s="5558" t="s">
        <v>2742</v>
      </c>
      <c r="D288" s="5558" t="s">
        <v>2743</v>
      </c>
      <c r="E288" s="5558" t="s">
        <v>2744</v>
      </c>
      <c r="F288" s="5558" t="s">
        <v>2412</v>
      </c>
      <c r="G288" s="5558" t="s">
        <v>28</v>
      </c>
      <c r="H288" s="5558" t="s">
        <v>28</v>
      </c>
      <c r="I288" s="5558" t="s">
        <v>915</v>
      </c>
    </row>
    <row customHeight="1" ht="11.25">
      <c r="A289" s="5558" t="s">
        <v>2271</v>
      </c>
      <c r="B289" s="5558" t="s">
        <v>16</v>
      </c>
      <c r="C289" s="5558" t="s">
        <v>2751</v>
      </c>
      <c r="D289" s="5558" t="s">
        <v>2752</v>
      </c>
      <c r="E289" s="5558" t="s">
        <v>2753</v>
      </c>
      <c r="F289" s="5558" t="s">
        <v>2306</v>
      </c>
      <c r="G289" s="5558" t="s">
        <v>2754</v>
      </c>
      <c r="H289" s="5558" t="s">
        <v>28</v>
      </c>
      <c r="I289" s="5558" t="s">
        <v>915</v>
      </c>
    </row>
    <row customHeight="1" ht="11.25">
      <c r="A290" s="5558" t="s">
        <v>2271</v>
      </c>
      <c r="B290" s="5558" t="s">
        <v>16</v>
      </c>
      <c r="C290" s="5558" t="s">
        <v>2755</v>
      </c>
      <c r="D290" s="5558" t="s">
        <v>2756</v>
      </c>
      <c r="E290" s="5558" t="s">
        <v>2757</v>
      </c>
      <c r="F290" s="5558" t="s">
        <v>2358</v>
      </c>
      <c r="G290" s="5558" t="s">
        <v>2758</v>
      </c>
      <c r="H290" s="5558" t="s">
        <v>28</v>
      </c>
      <c r="I290" s="5558" t="s">
        <v>915</v>
      </c>
    </row>
    <row customHeight="1" ht="11.25">
      <c r="A291" s="5558" t="s">
        <v>2271</v>
      </c>
      <c r="B291" s="5558" t="s">
        <v>16</v>
      </c>
      <c r="C291" s="5558" t="s">
        <v>2759</v>
      </c>
      <c r="D291" s="5558" t="s">
        <v>2760</v>
      </c>
      <c r="E291" s="5558" t="s">
        <v>2761</v>
      </c>
      <c r="F291" s="5558" t="s">
        <v>2412</v>
      </c>
      <c r="G291" s="5558" t="s">
        <v>28</v>
      </c>
      <c r="H291" s="5558" t="s">
        <v>28</v>
      </c>
      <c r="I291" s="5558" t="s">
        <v>915</v>
      </c>
    </row>
    <row customHeight="1" ht="11.25">
      <c r="A292" s="5558" t="s">
        <v>2271</v>
      </c>
      <c r="B292" s="5558" t="s">
        <v>16</v>
      </c>
      <c r="C292" s="5558" t="s">
        <v>2762</v>
      </c>
      <c r="D292" s="5558" t="s">
        <v>2763</v>
      </c>
      <c r="E292" s="5558" t="s">
        <v>2764</v>
      </c>
      <c r="F292" s="5558" t="s">
        <v>2349</v>
      </c>
      <c r="G292" s="5558" t="s">
        <v>28</v>
      </c>
      <c r="H292" s="5558" t="s">
        <v>28</v>
      </c>
      <c r="I292" s="5558" t="s">
        <v>915</v>
      </c>
    </row>
    <row customHeight="1" ht="11.25">
      <c r="A293" s="5558" t="s">
        <v>2271</v>
      </c>
      <c r="B293" s="5558" t="s">
        <v>16</v>
      </c>
      <c r="C293" s="5558" t="s">
        <v>2765</v>
      </c>
      <c r="D293" s="5558" t="s">
        <v>2766</v>
      </c>
      <c r="E293" s="5558" t="s">
        <v>2767</v>
      </c>
      <c r="F293" s="5558" t="s">
        <v>2314</v>
      </c>
      <c r="G293" s="5558" t="s">
        <v>2768</v>
      </c>
      <c r="H293" s="5558" t="s">
        <v>28</v>
      </c>
      <c r="I293" s="5558" t="s">
        <v>915</v>
      </c>
    </row>
    <row customHeight="1" ht="11.25">
      <c r="A294" s="5558" t="s">
        <v>2271</v>
      </c>
      <c r="B294" s="5558" t="s">
        <v>16</v>
      </c>
      <c r="C294" s="5558" t="s">
        <v>2772</v>
      </c>
      <c r="D294" s="5558" t="s">
        <v>2773</v>
      </c>
      <c r="E294" s="5558" t="s">
        <v>2774</v>
      </c>
      <c r="F294" s="5558" t="s">
        <v>2557</v>
      </c>
      <c r="G294" s="5558" t="s">
        <v>28</v>
      </c>
      <c r="H294" s="5558" t="s">
        <v>28</v>
      </c>
      <c r="I294" s="5558" t="s">
        <v>915</v>
      </c>
    </row>
    <row customHeight="1" ht="11.25">
      <c r="A295" s="5558" t="s">
        <v>2271</v>
      </c>
      <c r="B295" s="5558" t="s">
        <v>16</v>
      </c>
      <c r="C295" s="5558" t="s">
        <v>2775</v>
      </c>
      <c r="D295" s="5558" t="s">
        <v>2776</v>
      </c>
      <c r="E295" s="5558" t="s">
        <v>2777</v>
      </c>
      <c r="F295" s="5558" t="s">
        <v>2302</v>
      </c>
      <c r="G295" s="5558" t="s">
        <v>2778</v>
      </c>
      <c r="H295" s="5558" t="s">
        <v>28</v>
      </c>
      <c r="I295" s="5558" t="s">
        <v>915</v>
      </c>
    </row>
    <row customHeight="1" ht="11.25">
      <c r="A296" s="5558" t="s">
        <v>2271</v>
      </c>
      <c r="B296" s="5558" t="s">
        <v>16</v>
      </c>
      <c r="C296" s="5558" t="s">
        <v>2779</v>
      </c>
      <c r="D296" s="5558" t="s">
        <v>2780</v>
      </c>
      <c r="E296" s="5558" t="s">
        <v>2781</v>
      </c>
      <c r="F296" s="5558" t="s">
        <v>2306</v>
      </c>
      <c r="G296" s="5558" t="s">
        <v>2276</v>
      </c>
      <c r="H296" s="5558" t="s">
        <v>28</v>
      </c>
      <c r="I296" s="5558" t="s">
        <v>915</v>
      </c>
    </row>
    <row customHeight="1" ht="11.25">
      <c r="A297" s="5558" t="s">
        <v>2271</v>
      </c>
      <c r="B297" s="5558" t="s">
        <v>16</v>
      </c>
      <c r="C297" s="5558" t="s">
        <v>2782</v>
      </c>
      <c r="D297" s="5558" t="s">
        <v>2783</v>
      </c>
      <c r="E297" s="5558" t="s">
        <v>2784</v>
      </c>
      <c r="F297" s="5558" t="s">
        <v>2341</v>
      </c>
      <c r="G297" s="5558" t="s">
        <v>28</v>
      </c>
      <c r="H297" s="5558" t="s">
        <v>28</v>
      </c>
      <c r="I297" s="5558" t="s">
        <v>915</v>
      </c>
    </row>
    <row customHeight="1" ht="11.25">
      <c r="A298" s="5558" t="s">
        <v>2271</v>
      </c>
      <c r="B298" s="5558" t="s">
        <v>16</v>
      </c>
      <c r="C298" s="5558" t="s">
        <v>2785</v>
      </c>
      <c r="D298" s="5558" t="s">
        <v>2786</v>
      </c>
      <c r="E298" s="5558" t="s">
        <v>2787</v>
      </c>
      <c r="F298" s="5558" t="s">
        <v>2425</v>
      </c>
      <c r="G298" s="5558" t="s">
        <v>2788</v>
      </c>
      <c r="H298" s="5558" t="s">
        <v>28</v>
      </c>
      <c r="I298" s="5558" t="s">
        <v>915</v>
      </c>
    </row>
    <row customHeight="1" ht="11.25">
      <c r="A299" s="5558" t="s">
        <v>2271</v>
      </c>
      <c r="B299" s="5558" t="s">
        <v>16</v>
      </c>
      <c r="C299" s="5558" t="s">
        <v>2796</v>
      </c>
      <c r="D299" s="5558" t="s">
        <v>2797</v>
      </c>
      <c r="E299" s="5558" t="s">
        <v>2798</v>
      </c>
      <c r="F299" s="5558" t="s">
        <v>2337</v>
      </c>
      <c r="G299" s="5558" t="s">
        <v>28</v>
      </c>
      <c r="H299" s="5558" t="s">
        <v>28</v>
      </c>
      <c r="I299" s="5558" t="s">
        <v>915</v>
      </c>
    </row>
    <row customHeight="1" ht="11.25">
      <c r="A300" s="5558" t="s">
        <v>2271</v>
      </c>
      <c r="B300" s="5558" t="s">
        <v>16</v>
      </c>
      <c r="C300" s="5558" t="s">
        <v>2802</v>
      </c>
      <c r="D300" s="5558" t="s">
        <v>2803</v>
      </c>
      <c r="E300" s="5558" t="s">
        <v>2804</v>
      </c>
      <c r="F300" s="5558" t="s">
        <v>2557</v>
      </c>
      <c r="G300" s="5558" t="s">
        <v>28</v>
      </c>
      <c r="H300" s="5558" t="s">
        <v>28</v>
      </c>
      <c r="I300" s="5558" t="s">
        <v>915</v>
      </c>
    </row>
    <row customHeight="1" ht="11.25">
      <c r="A301" s="5558" t="s">
        <v>2271</v>
      </c>
      <c r="B301" s="5558" t="s">
        <v>16</v>
      </c>
      <c r="C301" s="5558" t="s">
        <v>2805</v>
      </c>
      <c r="D301" s="5558" t="s">
        <v>2806</v>
      </c>
      <c r="E301" s="5558" t="s">
        <v>2807</v>
      </c>
      <c r="F301" s="5558" t="s">
        <v>51</v>
      </c>
      <c r="G301" s="5558" t="s">
        <v>28</v>
      </c>
      <c r="H301" s="5558" t="s">
        <v>28</v>
      </c>
      <c r="I301" s="5558" t="s">
        <v>915</v>
      </c>
    </row>
    <row customHeight="1" ht="11.25">
      <c r="A302" s="5558" t="s">
        <v>2271</v>
      </c>
      <c r="B302" s="5558" t="s">
        <v>16</v>
      </c>
      <c r="C302" s="5558" t="s">
        <v>2816</v>
      </c>
      <c r="D302" s="5558" t="s">
        <v>2817</v>
      </c>
      <c r="E302" s="5558" t="s">
        <v>2818</v>
      </c>
      <c r="F302" s="5558" t="s">
        <v>2811</v>
      </c>
      <c r="G302" s="5558" t="s">
        <v>28</v>
      </c>
      <c r="H302" s="5558" t="s">
        <v>28</v>
      </c>
      <c r="I302" s="5558" t="s">
        <v>915</v>
      </c>
    </row>
    <row customHeight="1" ht="11.25">
      <c r="A303" s="5558" t="s">
        <v>2271</v>
      </c>
      <c r="B303" s="5558" t="s">
        <v>16</v>
      </c>
      <c r="C303" s="5558" t="s">
        <v>2819</v>
      </c>
      <c r="D303" s="5558" t="s">
        <v>2820</v>
      </c>
      <c r="E303" s="5558" t="s">
        <v>2821</v>
      </c>
      <c r="F303" s="5558" t="s">
        <v>2341</v>
      </c>
      <c r="G303" s="5558" t="s">
        <v>28</v>
      </c>
      <c r="H303" s="5558" t="s">
        <v>28</v>
      </c>
      <c r="I303" s="5558" t="s">
        <v>915</v>
      </c>
    </row>
    <row customHeight="1" ht="11.25">
      <c r="A304" s="5558" t="s">
        <v>2271</v>
      </c>
      <c r="B304" s="5558" t="s">
        <v>16</v>
      </c>
      <c r="C304" s="5558" t="s">
        <v>2822</v>
      </c>
      <c r="D304" s="5558" t="s">
        <v>2823</v>
      </c>
      <c r="E304" s="5558" t="s">
        <v>2824</v>
      </c>
      <c r="F304" s="5558" t="s">
        <v>2358</v>
      </c>
      <c r="G304" s="5558" t="s">
        <v>2825</v>
      </c>
      <c r="H304" s="5558" t="s">
        <v>28</v>
      </c>
      <c r="I304" s="5558" t="s">
        <v>915</v>
      </c>
    </row>
    <row customHeight="1" ht="11.25">
      <c r="A305" s="5558" t="s">
        <v>2271</v>
      </c>
      <c r="B305" s="5558" t="s">
        <v>16</v>
      </c>
      <c r="C305" s="5558" t="s">
        <v>2829</v>
      </c>
      <c r="D305" s="5558" t="s">
        <v>2830</v>
      </c>
      <c r="E305" s="5558" t="s">
        <v>2831</v>
      </c>
      <c r="F305" s="5558" t="s">
        <v>2306</v>
      </c>
      <c r="G305" s="5558" t="s">
        <v>28</v>
      </c>
      <c r="H305" s="5558" t="s">
        <v>28</v>
      </c>
      <c r="I305" s="5558" t="s">
        <v>915</v>
      </c>
    </row>
    <row customHeight="1" ht="11.25">
      <c r="A306" s="5558" t="s">
        <v>2271</v>
      </c>
      <c r="B306" s="5558" t="s">
        <v>16</v>
      </c>
      <c r="C306" s="5558" t="s">
        <v>2832</v>
      </c>
      <c r="D306" s="5558" t="s">
        <v>2833</v>
      </c>
      <c r="E306" s="5558" t="s">
        <v>2834</v>
      </c>
      <c r="F306" s="5558" t="s">
        <v>2337</v>
      </c>
      <c r="G306" s="5558" t="s">
        <v>28</v>
      </c>
      <c r="H306" s="5558" t="s">
        <v>28</v>
      </c>
      <c r="I306" s="5558" t="s">
        <v>915</v>
      </c>
    </row>
    <row customHeight="1" ht="11.25">
      <c r="A307" s="5558" t="s">
        <v>2271</v>
      </c>
      <c r="B307" s="5558" t="s">
        <v>16</v>
      </c>
      <c r="C307" s="5558" t="s">
        <v>2835</v>
      </c>
      <c r="D307" s="5558" t="s">
        <v>2836</v>
      </c>
      <c r="E307" s="5558" t="s">
        <v>2837</v>
      </c>
      <c r="F307" s="5558" t="s">
        <v>2838</v>
      </c>
      <c r="G307" s="5558" t="s">
        <v>28</v>
      </c>
      <c r="H307" s="5558" t="s">
        <v>28</v>
      </c>
      <c r="I307" s="5558" t="s">
        <v>915</v>
      </c>
    </row>
    <row customHeight="1" ht="11.25">
      <c r="A308" s="5558" t="s">
        <v>2271</v>
      </c>
      <c r="B308" s="5558" t="s">
        <v>16</v>
      </c>
      <c r="C308" s="5558" t="s">
        <v>2845</v>
      </c>
      <c r="D308" s="5558" t="s">
        <v>2846</v>
      </c>
      <c r="E308" s="5558" t="s">
        <v>2847</v>
      </c>
      <c r="F308" s="5558" t="s">
        <v>2319</v>
      </c>
      <c r="G308" s="5558" t="s">
        <v>28</v>
      </c>
      <c r="H308" s="5558" t="s">
        <v>28</v>
      </c>
      <c r="I308" s="5558" t="s">
        <v>915</v>
      </c>
    </row>
    <row customHeight="1" ht="11.25">
      <c r="A309" s="5558" t="s">
        <v>2271</v>
      </c>
      <c r="B309" s="5558" t="s">
        <v>16</v>
      </c>
      <c r="C309" s="5558" t="s">
        <v>2848</v>
      </c>
      <c r="D309" s="5558" t="s">
        <v>2849</v>
      </c>
      <c r="E309" s="5558" t="s">
        <v>2850</v>
      </c>
      <c r="F309" s="5558" t="s">
        <v>2280</v>
      </c>
      <c r="G309" s="5558" t="s">
        <v>28</v>
      </c>
      <c r="H309" s="5558" t="s">
        <v>28</v>
      </c>
      <c r="I309" s="5558" t="s">
        <v>915</v>
      </c>
    </row>
    <row customHeight="1" ht="11.25">
      <c r="A310" s="5558" t="s">
        <v>2271</v>
      </c>
      <c r="B310" s="5558" t="s">
        <v>16</v>
      </c>
      <c r="C310" s="5558" t="s">
        <v>2851</v>
      </c>
      <c r="D310" s="5558" t="s">
        <v>2852</v>
      </c>
      <c r="E310" s="5558" t="s">
        <v>2853</v>
      </c>
      <c r="F310" s="5558" t="s">
        <v>2306</v>
      </c>
      <c r="G310" s="5558" t="s">
        <v>28</v>
      </c>
      <c r="H310" s="5558" t="s">
        <v>28</v>
      </c>
      <c r="I310" s="5558" t="s">
        <v>915</v>
      </c>
    </row>
    <row customHeight="1" ht="11.25">
      <c r="A311" s="5558" t="s">
        <v>2271</v>
      </c>
      <c r="B311" s="5558" t="s">
        <v>16</v>
      </c>
      <c r="C311" s="5558" t="s">
        <v>2854</v>
      </c>
      <c r="D311" s="5558" t="s">
        <v>2855</v>
      </c>
      <c r="E311" s="5558" t="s">
        <v>2856</v>
      </c>
      <c r="F311" s="5558" t="s">
        <v>2306</v>
      </c>
      <c r="G311" s="5558" t="s">
        <v>28</v>
      </c>
      <c r="H311" s="5558" t="s">
        <v>28</v>
      </c>
      <c r="I311" s="5558" t="s">
        <v>915</v>
      </c>
    </row>
    <row customHeight="1" ht="11.25">
      <c r="A312" s="5558" t="s">
        <v>2271</v>
      </c>
      <c r="B312" s="5558" t="s">
        <v>16</v>
      </c>
      <c r="C312" s="5558" t="s">
        <v>2857</v>
      </c>
      <c r="D312" s="5558" t="s">
        <v>2858</v>
      </c>
      <c r="E312" s="5558" t="s">
        <v>2859</v>
      </c>
      <c r="F312" s="5558" t="s">
        <v>2557</v>
      </c>
      <c r="G312" s="5558" t="s">
        <v>28</v>
      </c>
      <c r="H312" s="5558" t="s">
        <v>28</v>
      </c>
      <c r="I312" s="5558" t="s">
        <v>915</v>
      </c>
    </row>
    <row customHeight="1" ht="11.25">
      <c r="A313" s="5558" t="s">
        <v>2271</v>
      </c>
      <c r="B313" s="5558" t="s">
        <v>16</v>
      </c>
      <c r="C313" s="5558" t="s">
        <v>2867</v>
      </c>
      <c r="D313" s="5558" t="s">
        <v>2868</v>
      </c>
      <c r="E313" s="5558" t="s">
        <v>2869</v>
      </c>
      <c r="F313" s="5558" t="s">
        <v>2412</v>
      </c>
      <c r="G313" s="5558" t="s">
        <v>28</v>
      </c>
      <c r="H313" s="5558" t="s">
        <v>28</v>
      </c>
      <c r="I313" s="5558" t="s">
        <v>915</v>
      </c>
    </row>
    <row customHeight="1" ht="11.25">
      <c r="A314" s="5558" t="s">
        <v>2271</v>
      </c>
      <c r="B314" s="5558" t="s">
        <v>16</v>
      </c>
      <c r="C314" s="5558" t="s">
        <v>2873</v>
      </c>
      <c r="D314" s="5558" t="s">
        <v>2874</v>
      </c>
      <c r="E314" s="5558" t="s">
        <v>2875</v>
      </c>
      <c r="F314" s="5558" t="s">
        <v>2280</v>
      </c>
      <c r="G314" s="5558" t="s">
        <v>28</v>
      </c>
      <c r="H314" s="5558" t="s">
        <v>28</v>
      </c>
      <c r="I314" s="5558" t="s">
        <v>915</v>
      </c>
    </row>
    <row customHeight="1" ht="11.25">
      <c r="A315" s="5558" t="s">
        <v>2271</v>
      </c>
      <c r="B315" s="5558" t="s">
        <v>16</v>
      </c>
      <c r="C315" s="5558" t="s">
        <v>2883</v>
      </c>
      <c r="D315" s="5558" t="s">
        <v>2884</v>
      </c>
      <c r="E315" s="5558" t="s">
        <v>2885</v>
      </c>
      <c r="F315" s="5558" t="s">
        <v>2886</v>
      </c>
      <c r="G315" s="5558" t="s">
        <v>28</v>
      </c>
      <c r="H315" s="5558" t="s">
        <v>28</v>
      </c>
      <c r="I315" s="5558" t="s">
        <v>915</v>
      </c>
    </row>
    <row customHeight="1" ht="11.25">
      <c r="A316" s="5558" t="s">
        <v>2271</v>
      </c>
      <c r="B316" s="5558" t="s">
        <v>16</v>
      </c>
      <c r="C316" s="5558" t="s">
        <v>13</v>
      </c>
      <c r="D316" s="5558" t="s">
        <v>46</v>
      </c>
      <c r="E316" s="5558" t="s">
        <v>49</v>
      </c>
      <c r="F316" s="5558" t="s">
        <v>51</v>
      </c>
      <c r="G316" s="5558" t="s">
        <v>28</v>
      </c>
      <c r="H316" s="5558" t="s">
        <v>28</v>
      </c>
      <c r="I316" s="5558" t="s">
        <v>915</v>
      </c>
    </row>
    <row customHeight="1" ht="11.25">
      <c r="A317" s="5558" t="s">
        <v>2271</v>
      </c>
      <c r="B317" s="5558" t="s">
        <v>16</v>
      </c>
      <c r="C317" s="5558" t="s">
        <v>2887</v>
      </c>
      <c r="D317" s="5558" t="s">
        <v>2888</v>
      </c>
      <c r="E317" s="5558" t="s">
        <v>2889</v>
      </c>
      <c r="F317" s="5558" t="s">
        <v>2341</v>
      </c>
      <c r="G317" s="5558" t="s">
        <v>2276</v>
      </c>
      <c r="H317" s="5558" t="s">
        <v>28</v>
      </c>
      <c r="I317" s="5558" t="s">
        <v>915</v>
      </c>
    </row>
    <row customHeight="1" ht="11.25">
      <c r="A318" s="5558" t="s">
        <v>2271</v>
      </c>
      <c r="B318" s="5558" t="s">
        <v>16</v>
      </c>
      <c r="C318" s="5558" t="s">
        <v>2890</v>
      </c>
      <c r="D318" s="5558" t="s">
        <v>2891</v>
      </c>
      <c r="E318" s="5558" t="s">
        <v>2892</v>
      </c>
      <c r="F318" s="5558" t="s">
        <v>2412</v>
      </c>
      <c r="G318" s="5558" t="s">
        <v>28</v>
      </c>
      <c r="H318" s="5558" t="s">
        <v>28</v>
      </c>
      <c r="I318" s="5558" t="s">
        <v>915</v>
      </c>
    </row>
    <row customHeight="1" ht="11.25">
      <c r="A319" s="5558" t="s">
        <v>2271</v>
      </c>
      <c r="B319" s="5558" t="s">
        <v>16</v>
      </c>
      <c r="C319" s="5558" t="s">
        <v>2897</v>
      </c>
      <c r="D319" s="5558" t="s">
        <v>2898</v>
      </c>
      <c r="E319" s="5558" t="s">
        <v>2899</v>
      </c>
      <c r="F319" s="5558" t="s">
        <v>2600</v>
      </c>
      <c r="G319" s="5558" t="s">
        <v>28</v>
      </c>
      <c r="H319" s="5558" t="s">
        <v>28</v>
      </c>
      <c r="I319" s="5558" t="s">
        <v>915</v>
      </c>
    </row>
    <row customHeight="1" ht="11.25">
      <c r="A320" s="5558" t="s">
        <v>2271</v>
      </c>
      <c r="B320" s="5558" t="s">
        <v>16</v>
      </c>
      <c r="C320" s="5558" t="s">
        <v>2900</v>
      </c>
      <c r="D320" s="5558" t="s">
        <v>2901</v>
      </c>
      <c r="E320" s="5558" t="s">
        <v>2902</v>
      </c>
      <c r="F320" s="5558" t="s">
        <v>2275</v>
      </c>
      <c r="G320" s="5558" t="s">
        <v>28</v>
      </c>
      <c r="H320" s="5558" t="s">
        <v>28</v>
      </c>
      <c r="I320" s="5558" t="s">
        <v>915</v>
      </c>
    </row>
    <row customHeight="1" ht="11.25">
      <c r="A321" s="5558" t="s">
        <v>2271</v>
      </c>
      <c r="B321" s="5558" t="s">
        <v>16</v>
      </c>
      <c r="C321" s="5558" t="s">
        <v>2903</v>
      </c>
      <c r="D321" s="5558" t="s">
        <v>2904</v>
      </c>
      <c r="E321" s="5558" t="s">
        <v>2905</v>
      </c>
      <c r="F321" s="5558" t="s">
        <v>2600</v>
      </c>
      <c r="G321" s="5558" t="s">
        <v>2906</v>
      </c>
      <c r="H321" s="5558" t="s">
        <v>28</v>
      </c>
      <c r="I321" s="5558" t="s">
        <v>915</v>
      </c>
    </row>
    <row customHeight="1" ht="11.25">
      <c r="A322" s="5558" t="s">
        <v>2271</v>
      </c>
      <c r="B322" s="5558" t="s">
        <v>16</v>
      </c>
      <c r="C322" s="5558" t="s">
        <v>2953</v>
      </c>
      <c r="D322" s="5558" t="s">
        <v>2908</v>
      </c>
      <c r="E322" s="5558" t="s">
        <v>2909</v>
      </c>
      <c r="F322" s="5558" t="s">
        <v>2954</v>
      </c>
      <c r="G322" s="5558" t="s">
        <v>2911</v>
      </c>
      <c r="H322" s="5558" t="s">
        <v>28</v>
      </c>
      <c r="I322" s="5558" t="s">
        <v>915</v>
      </c>
    </row>
    <row customHeight="1" ht="11.25">
      <c r="A323" s="5558" t="s">
        <v>2271</v>
      </c>
      <c r="B323" s="5558" t="s">
        <v>16</v>
      </c>
      <c r="C323" s="5558" t="s">
        <v>2907</v>
      </c>
      <c r="D323" s="5558" t="s">
        <v>2908</v>
      </c>
      <c r="E323" s="5558" t="s">
        <v>2909</v>
      </c>
      <c r="F323" s="5558" t="s">
        <v>2910</v>
      </c>
      <c r="G323" s="5558" t="s">
        <v>2911</v>
      </c>
      <c r="H323" s="5558" t="s">
        <v>28</v>
      </c>
      <c r="I323" s="5558" t="s">
        <v>915</v>
      </c>
    </row>
    <row customHeight="1" ht="11.25">
      <c r="A324" s="5558" t="s">
        <v>2271</v>
      </c>
      <c r="B324" s="5558" t="s">
        <v>16</v>
      </c>
      <c r="C324" s="5558" t="s">
        <v>2915</v>
      </c>
      <c r="D324" s="5558" t="s">
        <v>2916</v>
      </c>
      <c r="E324" s="5558" t="s">
        <v>2917</v>
      </c>
      <c r="F324" s="5558" t="s">
        <v>2354</v>
      </c>
      <c r="G324" s="5558" t="s">
        <v>28</v>
      </c>
      <c r="H324" s="5558" t="s">
        <v>28</v>
      </c>
      <c r="I324" s="5558" t="s">
        <v>915</v>
      </c>
    </row>
    <row customHeight="1" ht="11.25">
      <c r="A325" s="5558" t="s">
        <v>2271</v>
      </c>
      <c r="B325" s="5558" t="s">
        <v>16</v>
      </c>
      <c r="C325" s="5558" t="s">
        <v>2918</v>
      </c>
      <c r="D325" s="5558" t="s">
        <v>2919</v>
      </c>
      <c r="E325" s="5558" t="s">
        <v>2920</v>
      </c>
      <c r="F325" s="5558" t="s">
        <v>2412</v>
      </c>
      <c r="G325" s="5558" t="s">
        <v>28</v>
      </c>
      <c r="H325" s="5558" t="s">
        <v>28</v>
      </c>
      <c r="I325" s="5558" t="s">
        <v>915</v>
      </c>
    </row>
    <row customHeight="1" ht="11.25">
      <c r="A326" s="5558" t="s">
        <v>2271</v>
      </c>
      <c r="B326" s="5558" t="s">
        <v>16</v>
      </c>
      <c r="C326" s="5558" t="s">
        <v>2925</v>
      </c>
      <c r="D326" s="5558" t="s">
        <v>2926</v>
      </c>
      <c r="E326" s="5558" t="s">
        <v>2353</v>
      </c>
      <c r="F326" s="5558" t="s">
        <v>2927</v>
      </c>
      <c r="G326" s="5558" t="s">
        <v>28</v>
      </c>
      <c r="H326" s="5558" t="s">
        <v>28</v>
      </c>
      <c r="I326" s="5558" t="s">
        <v>915</v>
      </c>
    </row>
    <row customHeight="1" ht="11.25">
      <c r="A327" s="5558" t="s">
        <v>2271</v>
      </c>
      <c r="B327" s="5558" t="s">
        <v>16</v>
      </c>
      <c r="C327" s="5558" t="s">
        <v>2928</v>
      </c>
      <c r="D327" s="5558" t="s">
        <v>2929</v>
      </c>
      <c r="E327" s="5558" t="s">
        <v>2930</v>
      </c>
      <c r="F327" s="5558" t="s">
        <v>2931</v>
      </c>
      <c r="G327" s="5558" t="s">
        <v>2932</v>
      </c>
      <c r="H327" s="5558" t="s">
        <v>28</v>
      </c>
      <c r="I327" s="5558" t="s">
        <v>915</v>
      </c>
    </row>
    <row customHeight="1" ht="11.25">
      <c r="A328" s="5558" t="s">
        <v>2271</v>
      </c>
      <c r="B328" s="5558" t="s">
        <v>16</v>
      </c>
      <c r="C328" s="5558" t="s">
        <v>2933</v>
      </c>
      <c r="D328" s="5558" t="s">
        <v>2934</v>
      </c>
      <c r="E328" s="5558" t="s">
        <v>2935</v>
      </c>
      <c r="F328" s="5558" t="s">
        <v>2936</v>
      </c>
      <c r="G328" s="5558" t="s">
        <v>28</v>
      </c>
      <c r="H328" s="5558" t="s">
        <v>28</v>
      </c>
      <c r="I328" s="5558" t="s">
        <v>915</v>
      </c>
    </row>
    <row customHeight="1" ht="11.25">
      <c r="A329" s="5558" t="s">
        <v>2271</v>
      </c>
      <c r="B329" s="5558" t="s">
        <v>16</v>
      </c>
      <c r="C329" s="5558" t="s">
        <v>2937</v>
      </c>
      <c r="D329" s="5558" t="s">
        <v>2938</v>
      </c>
      <c r="E329" s="5558" t="s">
        <v>2309</v>
      </c>
      <c r="F329" s="5558" t="s">
        <v>2939</v>
      </c>
      <c r="G329" s="5558" t="s">
        <v>28</v>
      </c>
      <c r="H329" s="5558" t="s">
        <v>28</v>
      </c>
      <c r="I329" s="5558" t="s">
        <v>915</v>
      </c>
    </row>
    <row customHeight="1" ht="11.25">
      <c r="A330" s="5558" t="s">
        <v>2271</v>
      </c>
      <c r="B330" s="5558" t="s">
        <v>16</v>
      </c>
      <c r="C330" s="5558" t="s">
        <v>2943</v>
      </c>
      <c r="D330" s="5558" t="s">
        <v>2944</v>
      </c>
      <c r="E330" s="5558" t="s">
        <v>2945</v>
      </c>
      <c r="F330" s="5558" t="s">
        <v>2454</v>
      </c>
      <c r="G330" s="5558" t="s">
        <v>2946</v>
      </c>
      <c r="H330" s="5558" t="s">
        <v>28</v>
      </c>
      <c r="I330" s="5558" t="s">
        <v>915</v>
      </c>
    </row>
    <row customHeight="1" ht="11.25">
      <c r="A331" s="5558" t="s">
        <v>2271</v>
      </c>
      <c r="B331" s="5558" t="s">
        <v>16</v>
      </c>
      <c r="C331" s="5558" t="s">
        <v>2947</v>
      </c>
      <c r="D331" s="5558" t="s">
        <v>2948</v>
      </c>
      <c r="E331" s="5558" t="s">
        <v>2945</v>
      </c>
      <c r="F331" s="5558" t="s">
        <v>2949</v>
      </c>
      <c r="G331" s="5558" t="s">
        <v>28</v>
      </c>
      <c r="H331" s="5558" t="s">
        <v>28</v>
      </c>
      <c r="I331" s="5558" t="s">
        <v>915</v>
      </c>
    </row>
    <row customHeight="1" ht="11.25">
      <c r="A332" s="5558" t="s">
        <v>2271</v>
      </c>
      <c r="B332" s="5558" t="s">
        <v>16</v>
      </c>
      <c r="C332" s="5558" t="s">
        <v>2955</v>
      </c>
      <c r="D332" s="5558" t="s">
        <v>2956</v>
      </c>
      <c r="E332" s="5558" t="s">
        <v>2957</v>
      </c>
      <c r="F332" s="5558" t="s">
        <v>2306</v>
      </c>
      <c r="G332" s="5558" t="s">
        <v>28</v>
      </c>
      <c r="H332" s="5558" t="s">
        <v>28</v>
      </c>
      <c r="I332" s="5558" t="s">
        <v>875</v>
      </c>
    </row>
    <row customHeight="1" ht="11.25">
      <c r="A333" s="5558" t="s">
        <v>2271</v>
      </c>
      <c r="B333" s="5558" t="s">
        <v>16</v>
      </c>
      <c r="C333" s="5558" t="s">
        <v>2958</v>
      </c>
      <c r="D333" s="5558" t="s">
        <v>2959</v>
      </c>
      <c r="E333" s="5558" t="s">
        <v>2960</v>
      </c>
      <c r="F333" s="5558" t="s">
        <v>2319</v>
      </c>
      <c r="G333" s="5558" t="s">
        <v>28</v>
      </c>
      <c r="H333" s="5558" t="s">
        <v>28</v>
      </c>
      <c r="I333" s="5558" t="s">
        <v>875</v>
      </c>
    </row>
    <row customHeight="1" ht="11.25">
      <c r="A334" s="5558" t="s">
        <v>2271</v>
      </c>
      <c r="B334" s="5558" t="s">
        <v>16</v>
      </c>
      <c r="C334" s="5558" t="s">
        <v>2277</v>
      </c>
      <c r="D334" s="5558" t="s">
        <v>2278</v>
      </c>
      <c r="E334" s="5558" t="s">
        <v>2279</v>
      </c>
      <c r="F334" s="5558" t="s">
        <v>2280</v>
      </c>
      <c r="G334" s="5558" t="s">
        <v>28</v>
      </c>
      <c r="H334" s="5558" t="s">
        <v>28</v>
      </c>
      <c r="I334" s="5558" t="s">
        <v>875</v>
      </c>
    </row>
    <row customHeight="1" ht="11.25">
      <c r="A335" s="5558" t="s">
        <v>2271</v>
      </c>
      <c r="B335" s="5558" t="s">
        <v>16</v>
      </c>
      <c r="C335" s="5558" t="s">
        <v>2281</v>
      </c>
      <c r="D335" s="5558" t="s">
        <v>2282</v>
      </c>
      <c r="E335" s="5558" t="s">
        <v>2283</v>
      </c>
      <c r="F335" s="5558" t="s">
        <v>2284</v>
      </c>
      <c r="G335" s="5558" t="s">
        <v>28</v>
      </c>
      <c r="H335" s="5558" t="s">
        <v>28</v>
      </c>
      <c r="I335" s="5558" t="s">
        <v>875</v>
      </c>
    </row>
    <row customHeight="1" ht="11.25">
      <c r="A336" s="5558" t="s">
        <v>2271</v>
      </c>
      <c r="B336" s="5558" t="s">
        <v>16</v>
      </c>
      <c r="C336" s="5558" t="s">
        <v>2961</v>
      </c>
      <c r="D336" s="5558" t="s">
        <v>2962</v>
      </c>
      <c r="E336" s="5558" t="s">
        <v>2963</v>
      </c>
      <c r="F336" s="5558" t="s">
        <v>2964</v>
      </c>
      <c r="G336" s="5558" t="s">
        <v>28</v>
      </c>
      <c r="H336" s="5558" t="s">
        <v>28</v>
      </c>
      <c r="I336" s="5558" t="s">
        <v>875</v>
      </c>
    </row>
    <row customHeight="1" ht="11.25">
      <c r="A337" s="5558" t="s">
        <v>2271</v>
      </c>
      <c r="B337" s="5558" t="s">
        <v>16</v>
      </c>
      <c r="C337" s="5558" t="s">
        <v>2965</v>
      </c>
      <c r="D337" s="5558" t="s">
        <v>2966</v>
      </c>
      <c r="E337" s="5558" t="s">
        <v>2967</v>
      </c>
      <c r="F337" s="5558" t="s">
        <v>2341</v>
      </c>
      <c r="G337" s="5558" t="s">
        <v>28</v>
      </c>
      <c r="H337" s="5558" t="s">
        <v>28</v>
      </c>
      <c r="I337" s="5558" t="s">
        <v>875</v>
      </c>
    </row>
    <row customHeight="1" ht="11.25">
      <c r="A338" s="5558" t="s">
        <v>2271</v>
      </c>
      <c r="B338" s="5558" t="s">
        <v>16</v>
      </c>
      <c r="C338" s="5558" t="s">
        <v>2289</v>
      </c>
      <c r="D338" s="5558" t="s">
        <v>2290</v>
      </c>
      <c r="E338" s="5558" t="s">
        <v>2291</v>
      </c>
      <c r="F338" s="5558" t="s">
        <v>2292</v>
      </c>
      <c r="G338" s="5558" t="s">
        <v>28</v>
      </c>
      <c r="H338" s="5558" t="s">
        <v>28</v>
      </c>
      <c r="I338" s="5558" t="s">
        <v>875</v>
      </c>
    </row>
    <row customHeight="1" ht="11.25">
      <c r="A339" s="5558" t="s">
        <v>2271</v>
      </c>
      <c r="B339" s="5558" t="s">
        <v>16</v>
      </c>
      <c r="C339" s="5558" t="s">
        <v>2968</v>
      </c>
      <c r="D339" s="5558" t="s">
        <v>2969</v>
      </c>
      <c r="E339" s="5558" t="s">
        <v>2970</v>
      </c>
      <c r="F339" s="5558" t="s">
        <v>2306</v>
      </c>
      <c r="G339" s="5558" t="s">
        <v>2971</v>
      </c>
      <c r="H339" s="5558" t="s">
        <v>28</v>
      </c>
      <c r="I339" s="5558" t="s">
        <v>875</v>
      </c>
    </row>
    <row customHeight="1" ht="11.25">
      <c r="A340" s="5558" t="s">
        <v>2271</v>
      </c>
      <c r="B340" s="5558" t="s">
        <v>16</v>
      </c>
      <c r="C340" s="5558" t="s">
        <v>2296</v>
      </c>
      <c r="D340" s="5558" t="s">
        <v>2297</v>
      </c>
      <c r="E340" s="5558" t="s">
        <v>2298</v>
      </c>
      <c r="F340" s="5558" t="s">
        <v>2280</v>
      </c>
      <c r="G340" s="5558" t="s">
        <v>28</v>
      </c>
      <c r="H340" s="5558" t="s">
        <v>28</v>
      </c>
      <c r="I340" s="5558" t="s">
        <v>875</v>
      </c>
    </row>
    <row customHeight="1" ht="11.25">
      <c r="A341" s="5558" t="s">
        <v>2271</v>
      </c>
      <c r="B341" s="5558" t="s">
        <v>16</v>
      </c>
      <c r="C341" s="5558" t="s">
        <v>2972</v>
      </c>
      <c r="D341" s="5558" t="s">
        <v>2973</v>
      </c>
      <c r="E341" s="5558" t="s">
        <v>2974</v>
      </c>
      <c r="F341" s="5558" t="s">
        <v>2975</v>
      </c>
      <c r="G341" s="5558" t="s">
        <v>2976</v>
      </c>
      <c r="H341" s="5558" t="s">
        <v>28</v>
      </c>
      <c r="I341" s="5558" t="s">
        <v>875</v>
      </c>
    </row>
    <row customHeight="1" ht="11.25">
      <c r="A342" s="5558" t="s">
        <v>2271</v>
      </c>
      <c r="B342" s="5558" t="s">
        <v>16</v>
      </c>
      <c r="C342" s="5558" t="s">
        <v>2977</v>
      </c>
      <c r="D342" s="5558" t="s">
        <v>2978</v>
      </c>
      <c r="E342" s="5558" t="s">
        <v>2979</v>
      </c>
      <c r="F342" s="5558" t="s">
        <v>2280</v>
      </c>
      <c r="G342" s="5558" t="s">
        <v>28</v>
      </c>
      <c r="H342" s="5558" t="s">
        <v>28</v>
      </c>
      <c r="I342" s="5558" t="s">
        <v>875</v>
      </c>
    </row>
    <row customHeight="1" ht="11.25">
      <c r="A343" s="5558" t="s">
        <v>2271</v>
      </c>
      <c r="B343" s="5558" t="s">
        <v>16</v>
      </c>
      <c r="C343" s="5558" t="s">
        <v>2299</v>
      </c>
      <c r="D343" s="5558" t="s">
        <v>2300</v>
      </c>
      <c r="E343" s="5558" t="s">
        <v>2301</v>
      </c>
      <c r="F343" s="5558" t="s">
        <v>2302</v>
      </c>
      <c r="G343" s="5558" t="s">
        <v>2276</v>
      </c>
      <c r="H343" s="5558" t="s">
        <v>28</v>
      </c>
      <c r="I343" s="5558" t="s">
        <v>875</v>
      </c>
    </row>
    <row customHeight="1" ht="11.25">
      <c r="A344" s="5558" t="s">
        <v>2271</v>
      </c>
      <c r="B344" s="5558" t="s">
        <v>16</v>
      </c>
      <c r="C344" s="5558" t="s">
        <v>2303</v>
      </c>
      <c r="D344" s="5558" t="s">
        <v>2304</v>
      </c>
      <c r="E344" s="5558" t="s">
        <v>2305</v>
      </c>
      <c r="F344" s="5558" t="s">
        <v>2306</v>
      </c>
      <c r="G344" s="5558" t="s">
        <v>28</v>
      </c>
      <c r="H344" s="5558" t="s">
        <v>28</v>
      </c>
      <c r="I344" s="5558" t="s">
        <v>875</v>
      </c>
    </row>
    <row customHeight="1" ht="11.25">
      <c r="A345" s="5558" t="s">
        <v>2271</v>
      </c>
      <c r="B345" s="5558" t="s">
        <v>16</v>
      </c>
      <c r="C345" s="5558" t="s">
        <v>2307</v>
      </c>
      <c r="D345" s="5558" t="s">
        <v>2308</v>
      </c>
      <c r="E345" s="5558" t="s">
        <v>2309</v>
      </c>
      <c r="F345" s="5558" t="s">
        <v>2310</v>
      </c>
      <c r="G345" s="5558" t="s">
        <v>2276</v>
      </c>
      <c r="H345" s="5558" t="s">
        <v>28</v>
      </c>
      <c r="I345" s="5558" t="s">
        <v>875</v>
      </c>
    </row>
    <row customHeight="1" ht="11.25">
      <c r="A346" s="5558" t="s">
        <v>2271</v>
      </c>
      <c r="B346" s="5558" t="s">
        <v>16</v>
      </c>
      <c r="C346" s="5558" t="s">
        <v>2320</v>
      </c>
      <c r="D346" s="5558" t="s">
        <v>2321</v>
      </c>
      <c r="E346" s="5558" t="s">
        <v>2322</v>
      </c>
      <c r="F346" s="5558" t="s">
        <v>2292</v>
      </c>
      <c r="G346" s="5558" t="s">
        <v>28</v>
      </c>
      <c r="H346" s="5558" t="s">
        <v>28</v>
      </c>
      <c r="I346" s="5558" t="s">
        <v>875</v>
      </c>
    </row>
    <row customHeight="1" ht="11.25">
      <c r="A347" s="5558" t="s">
        <v>2271</v>
      </c>
      <c r="B347" s="5558" t="s">
        <v>16</v>
      </c>
      <c r="C347" s="5558" t="s">
        <v>2980</v>
      </c>
      <c r="D347" s="5558" t="s">
        <v>2981</v>
      </c>
      <c r="E347" s="5558" t="s">
        <v>2982</v>
      </c>
      <c r="F347" s="5558" t="s">
        <v>2292</v>
      </c>
      <c r="G347" s="5558" t="s">
        <v>28</v>
      </c>
      <c r="H347" s="5558" t="s">
        <v>28</v>
      </c>
      <c r="I347" s="5558" t="s">
        <v>875</v>
      </c>
    </row>
    <row customHeight="1" ht="11.25">
      <c r="A348" s="5558" t="s">
        <v>2271</v>
      </c>
      <c r="B348" s="5558" t="s">
        <v>16</v>
      </c>
      <c r="C348" s="5558" t="s">
        <v>2983</v>
      </c>
      <c r="D348" s="5558" t="s">
        <v>2984</v>
      </c>
      <c r="E348" s="5558" t="s">
        <v>2985</v>
      </c>
      <c r="F348" s="5558" t="s">
        <v>2319</v>
      </c>
      <c r="G348" s="5558" t="s">
        <v>28</v>
      </c>
      <c r="H348" s="5558" t="s">
        <v>28</v>
      </c>
      <c r="I348" s="5558" t="s">
        <v>875</v>
      </c>
    </row>
    <row customHeight="1" ht="11.25">
      <c r="A349" s="5558" t="s">
        <v>2271</v>
      </c>
      <c r="B349" s="5558" t="s">
        <v>16</v>
      </c>
      <c r="C349" s="5558" t="s">
        <v>2338</v>
      </c>
      <c r="D349" s="5558" t="s">
        <v>2339</v>
      </c>
      <c r="E349" s="5558" t="s">
        <v>2340</v>
      </c>
      <c r="F349" s="5558" t="s">
        <v>2341</v>
      </c>
      <c r="G349" s="5558" t="s">
        <v>28</v>
      </c>
      <c r="H349" s="5558" t="s">
        <v>28</v>
      </c>
      <c r="I349" s="5558" t="s">
        <v>875</v>
      </c>
    </row>
    <row customHeight="1" ht="11.25">
      <c r="A350" s="5558" t="s">
        <v>2271</v>
      </c>
      <c r="B350" s="5558" t="s">
        <v>16</v>
      </c>
      <c r="C350" s="5558" t="s">
        <v>2342</v>
      </c>
      <c r="D350" s="5558" t="s">
        <v>2343</v>
      </c>
      <c r="E350" s="5558" t="s">
        <v>2344</v>
      </c>
      <c r="F350" s="5558" t="s">
        <v>2345</v>
      </c>
      <c r="G350" s="5558" t="s">
        <v>28</v>
      </c>
      <c r="H350" s="5558" t="s">
        <v>28</v>
      </c>
      <c r="I350" s="5558" t="s">
        <v>875</v>
      </c>
    </row>
    <row customHeight="1" ht="11.25">
      <c r="A351" s="5558" t="s">
        <v>2271</v>
      </c>
      <c r="B351" s="5558" t="s">
        <v>16</v>
      </c>
      <c r="C351" s="5558" t="s">
        <v>2351</v>
      </c>
      <c r="D351" s="5558" t="s">
        <v>2352</v>
      </c>
      <c r="E351" s="5558" t="s">
        <v>2353</v>
      </c>
      <c r="F351" s="5558" t="s">
        <v>2354</v>
      </c>
      <c r="G351" s="5558" t="s">
        <v>2276</v>
      </c>
      <c r="H351" s="5558" t="s">
        <v>28</v>
      </c>
      <c r="I351" s="5558" t="s">
        <v>875</v>
      </c>
    </row>
    <row customHeight="1" ht="11.25">
      <c r="A352" s="5558" t="s">
        <v>2271</v>
      </c>
      <c r="B352" s="5558" t="s">
        <v>16</v>
      </c>
      <c r="C352" s="5558" t="s">
        <v>2359</v>
      </c>
      <c r="D352" s="5558" t="s">
        <v>2360</v>
      </c>
      <c r="E352" s="5558" t="s">
        <v>2361</v>
      </c>
      <c r="F352" s="5558" t="s">
        <v>2314</v>
      </c>
      <c r="G352" s="5558" t="s">
        <v>28</v>
      </c>
      <c r="H352" s="5558" t="s">
        <v>28</v>
      </c>
      <c r="I352" s="5558" t="s">
        <v>875</v>
      </c>
    </row>
    <row customHeight="1" ht="11.25">
      <c r="A353" s="5558" t="s">
        <v>2271</v>
      </c>
      <c r="B353" s="5558" t="s">
        <v>16</v>
      </c>
      <c r="C353" s="5558" t="s">
        <v>2371</v>
      </c>
      <c r="D353" s="5558" t="s">
        <v>2372</v>
      </c>
      <c r="E353" s="5558" t="s">
        <v>2373</v>
      </c>
      <c r="F353" s="5558" t="s">
        <v>2306</v>
      </c>
      <c r="G353" s="5558" t="s">
        <v>2374</v>
      </c>
      <c r="H353" s="5558" t="s">
        <v>28</v>
      </c>
      <c r="I353" s="5558" t="s">
        <v>875</v>
      </c>
    </row>
    <row customHeight="1" ht="11.25">
      <c r="A354" s="5558" t="s">
        <v>2271</v>
      </c>
      <c r="B354" s="5558" t="s">
        <v>16</v>
      </c>
      <c r="C354" s="5558" t="s">
        <v>2375</v>
      </c>
      <c r="D354" s="5558" t="s">
        <v>2376</v>
      </c>
      <c r="E354" s="5558" t="s">
        <v>2283</v>
      </c>
      <c r="F354" s="5558" t="s">
        <v>2377</v>
      </c>
      <c r="G354" s="5558" t="s">
        <v>2378</v>
      </c>
      <c r="H354" s="5558" t="s">
        <v>28</v>
      </c>
      <c r="I354" s="5558" t="s">
        <v>875</v>
      </c>
    </row>
    <row customHeight="1" ht="11.25">
      <c r="A355" s="5558" t="s">
        <v>2271</v>
      </c>
      <c r="B355" s="5558" t="s">
        <v>16</v>
      </c>
      <c r="C355" s="5558" t="s">
        <v>2379</v>
      </c>
      <c r="D355" s="5558" t="s">
        <v>2380</v>
      </c>
      <c r="E355" s="5558" t="s">
        <v>2381</v>
      </c>
      <c r="F355" s="5558" t="s">
        <v>2382</v>
      </c>
      <c r="G355" s="5558" t="s">
        <v>2383</v>
      </c>
      <c r="H355" s="5558" t="s">
        <v>28</v>
      </c>
      <c r="I355" s="5558" t="s">
        <v>875</v>
      </c>
    </row>
    <row customHeight="1" ht="11.25">
      <c r="A356" s="5558" t="s">
        <v>2271</v>
      </c>
      <c r="B356" s="5558" t="s">
        <v>16</v>
      </c>
      <c r="C356" s="5558" t="s">
        <v>2986</v>
      </c>
      <c r="D356" s="5558" t="s">
        <v>2987</v>
      </c>
      <c r="E356" s="5558" t="s">
        <v>2988</v>
      </c>
      <c r="F356" s="5558" t="s">
        <v>2989</v>
      </c>
      <c r="G356" s="5558" t="s">
        <v>28</v>
      </c>
      <c r="H356" s="5558" t="s">
        <v>28</v>
      </c>
      <c r="I356" s="5558" t="s">
        <v>875</v>
      </c>
    </row>
    <row customHeight="1" ht="11.25">
      <c r="A357" s="5558" t="s">
        <v>2271</v>
      </c>
      <c r="B357" s="5558" t="s">
        <v>16</v>
      </c>
      <c r="C357" s="5558" t="s">
        <v>2990</v>
      </c>
      <c r="D357" s="5558" t="s">
        <v>2991</v>
      </c>
      <c r="E357" s="5558" t="s">
        <v>2992</v>
      </c>
      <c r="F357" s="5558" t="s">
        <v>2280</v>
      </c>
      <c r="G357" s="5558" t="s">
        <v>28</v>
      </c>
      <c r="H357" s="5558" t="s">
        <v>28</v>
      </c>
      <c r="I357" s="5558" t="s">
        <v>875</v>
      </c>
    </row>
    <row customHeight="1" ht="11.25">
      <c r="A358" s="5558" t="s">
        <v>2271</v>
      </c>
      <c r="B358" s="5558" t="s">
        <v>16</v>
      </c>
      <c r="C358" s="5558" t="s">
        <v>2993</v>
      </c>
      <c r="D358" s="5558" t="s">
        <v>2994</v>
      </c>
      <c r="E358" s="5558" t="s">
        <v>2995</v>
      </c>
      <c r="F358" s="5558" t="s">
        <v>2815</v>
      </c>
      <c r="G358" s="5558" t="s">
        <v>28</v>
      </c>
      <c r="H358" s="5558" t="s">
        <v>28</v>
      </c>
      <c r="I358" s="5558" t="s">
        <v>875</v>
      </c>
    </row>
    <row customHeight="1" ht="11.25">
      <c r="A359" s="5558" t="s">
        <v>2271</v>
      </c>
      <c r="B359" s="5558" t="s">
        <v>16</v>
      </c>
      <c r="C359" s="5558" t="s">
        <v>2390</v>
      </c>
      <c r="D359" s="5558" t="s">
        <v>2391</v>
      </c>
      <c r="E359" s="5558" t="s">
        <v>2392</v>
      </c>
      <c r="F359" s="5558" t="s">
        <v>2354</v>
      </c>
      <c r="G359" s="5558" t="s">
        <v>28</v>
      </c>
      <c r="H359" s="5558" t="s">
        <v>28</v>
      </c>
      <c r="I359" s="5558" t="s">
        <v>875</v>
      </c>
    </row>
    <row customHeight="1" ht="11.25">
      <c r="A360" s="5558" t="s">
        <v>2271</v>
      </c>
      <c r="B360" s="5558" t="s">
        <v>16</v>
      </c>
      <c r="C360" s="5558" t="s">
        <v>2400</v>
      </c>
      <c r="D360" s="5558" t="s">
        <v>2401</v>
      </c>
      <c r="E360" s="5558" t="s">
        <v>2402</v>
      </c>
      <c r="F360" s="5558" t="s">
        <v>2280</v>
      </c>
      <c r="G360" s="5558" t="s">
        <v>2403</v>
      </c>
      <c r="H360" s="5558" t="s">
        <v>28</v>
      </c>
      <c r="I360" s="5558" t="s">
        <v>875</v>
      </c>
    </row>
    <row customHeight="1" ht="11.25">
      <c r="A361" s="5558" t="s">
        <v>2271</v>
      </c>
      <c r="B361" s="5558" t="s">
        <v>16</v>
      </c>
      <c r="C361" s="5558" t="s">
        <v>2409</v>
      </c>
      <c r="D361" s="5558" t="s">
        <v>2410</v>
      </c>
      <c r="E361" s="5558" t="s">
        <v>2411</v>
      </c>
      <c r="F361" s="5558" t="s">
        <v>2412</v>
      </c>
      <c r="G361" s="5558" t="s">
        <v>28</v>
      </c>
      <c r="H361" s="5558" t="s">
        <v>28</v>
      </c>
      <c r="I361" s="5558" t="s">
        <v>875</v>
      </c>
    </row>
    <row customHeight="1" ht="11.25">
      <c r="A362" s="5558" t="s">
        <v>2271</v>
      </c>
      <c r="B362" s="5558" t="s">
        <v>16</v>
      </c>
      <c r="C362" s="5558" t="s">
        <v>2996</v>
      </c>
      <c r="D362" s="5558" t="s">
        <v>2997</v>
      </c>
      <c r="E362" s="5558" t="s">
        <v>2998</v>
      </c>
      <c r="F362" s="5558" t="s">
        <v>2275</v>
      </c>
      <c r="G362" s="5558" t="s">
        <v>28</v>
      </c>
      <c r="H362" s="5558" t="s">
        <v>28</v>
      </c>
      <c r="I362" s="5558" t="s">
        <v>875</v>
      </c>
    </row>
    <row customHeight="1" ht="11.25">
      <c r="A363" s="5558" t="s">
        <v>2271</v>
      </c>
      <c r="B363" s="5558" t="s">
        <v>16</v>
      </c>
      <c r="C363" s="5558" t="s">
        <v>2999</v>
      </c>
      <c r="D363" s="5558" t="s">
        <v>3000</v>
      </c>
      <c r="E363" s="5558" t="s">
        <v>3001</v>
      </c>
      <c r="F363" s="5558" t="s">
        <v>2349</v>
      </c>
      <c r="G363" s="5558" t="s">
        <v>28</v>
      </c>
      <c r="H363" s="5558" t="s">
        <v>28</v>
      </c>
      <c r="I363" s="5558" t="s">
        <v>875</v>
      </c>
    </row>
    <row customHeight="1" ht="11.25">
      <c r="A364" s="5558" t="s">
        <v>2271</v>
      </c>
      <c r="B364" s="5558" t="s">
        <v>16</v>
      </c>
      <c r="C364" s="5558" t="s">
        <v>2416</v>
      </c>
      <c r="D364" s="5558" t="s">
        <v>2417</v>
      </c>
      <c r="E364" s="5558" t="s">
        <v>2418</v>
      </c>
      <c r="F364" s="5558" t="s">
        <v>2275</v>
      </c>
      <c r="G364" s="5558" t="s">
        <v>28</v>
      </c>
      <c r="H364" s="5558" t="s">
        <v>28</v>
      </c>
      <c r="I364" s="5558" t="s">
        <v>875</v>
      </c>
    </row>
    <row customHeight="1" ht="11.25">
      <c r="A365" s="5558" t="s">
        <v>2271</v>
      </c>
      <c r="B365" s="5558" t="s">
        <v>16</v>
      </c>
      <c r="C365" s="5558" t="s">
        <v>3002</v>
      </c>
      <c r="D365" s="5558" t="s">
        <v>3003</v>
      </c>
      <c r="E365" s="5558" t="s">
        <v>3004</v>
      </c>
      <c r="F365" s="5558" t="s">
        <v>2275</v>
      </c>
      <c r="G365" s="5558" t="s">
        <v>28</v>
      </c>
      <c r="H365" s="5558" t="s">
        <v>28</v>
      </c>
      <c r="I365" s="5558" t="s">
        <v>875</v>
      </c>
    </row>
    <row customHeight="1" ht="11.25">
      <c r="A366" s="5558" t="s">
        <v>2271</v>
      </c>
      <c r="B366" s="5558" t="s">
        <v>16</v>
      </c>
      <c r="C366" s="5558" t="s">
        <v>3005</v>
      </c>
      <c r="D366" s="5558" t="s">
        <v>3006</v>
      </c>
      <c r="E366" s="5558" t="s">
        <v>3007</v>
      </c>
      <c r="F366" s="5558" t="s">
        <v>2314</v>
      </c>
      <c r="G366" s="5558" t="s">
        <v>28</v>
      </c>
      <c r="H366" s="5558" t="s">
        <v>28</v>
      </c>
      <c r="I366" s="5558" t="s">
        <v>875</v>
      </c>
    </row>
    <row customHeight="1" ht="11.25">
      <c r="A367" s="5558" t="s">
        <v>2271</v>
      </c>
      <c r="B367" s="5558" t="s">
        <v>16</v>
      </c>
      <c r="C367" s="5558" t="s">
        <v>28</v>
      </c>
      <c r="D367" s="5558" t="s">
        <v>2426</v>
      </c>
      <c r="E367" s="5558" t="s">
        <v>2427</v>
      </c>
      <c r="F367" s="5558" t="s">
        <v>2412</v>
      </c>
      <c r="G367" s="5558" t="s">
        <v>28</v>
      </c>
      <c r="H367" s="5558" t="s">
        <v>28</v>
      </c>
      <c r="I367" s="5558" t="s">
        <v>875</v>
      </c>
    </row>
    <row customHeight="1" ht="11.25">
      <c r="A368" s="5558" t="s">
        <v>2271</v>
      </c>
      <c r="B368" s="5558" t="s">
        <v>16</v>
      </c>
      <c r="C368" s="5558" t="s">
        <v>2431</v>
      </c>
      <c r="D368" s="5558" t="s">
        <v>2432</v>
      </c>
      <c r="E368" s="5558" t="s">
        <v>2433</v>
      </c>
      <c r="F368" s="5558" t="s">
        <v>2306</v>
      </c>
      <c r="G368" s="5558" t="s">
        <v>28</v>
      </c>
      <c r="H368" s="5558" t="s">
        <v>28</v>
      </c>
      <c r="I368" s="5558" t="s">
        <v>875</v>
      </c>
    </row>
    <row customHeight="1" ht="11.25">
      <c r="A369" s="5558" t="s">
        <v>2271</v>
      </c>
      <c r="B369" s="5558" t="s">
        <v>16</v>
      </c>
      <c r="C369" s="5558" t="s">
        <v>3008</v>
      </c>
      <c r="D369" s="5558" t="s">
        <v>3009</v>
      </c>
      <c r="E369" s="5558" t="s">
        <v>3010</v>
      </c>
      <c r="F369" s="5558" t="s">
        <v>2306</v>
      </c>
      <c r="G369" s="5558" t="s">
        <v>3011</v>
      </c>
      <c r="H369" s="5558" t="s">
        <v>28</v>
      </c>
      <c r="I369" s="5558" t="s">
        <v>875</v>
      </c>
    </row>
    <row customHeight="1" ht="11.25">
      <c r="A370" s="5558" t="s">
        <v>2271</v>
      </c>
      <c r="B370" s="5558" t="s">
        <v>16</v>
      </c>
      <c r="C370" s="5558" t="s">
        <v>2437</v>
      </c>
      <c r="D370" s="5558" t="s">
        <v>2438</v>
      </c>
      <c r="E370" s="5558" t="s">
        <v>2439</v>
      </c>
      <c r="F370" s="5558" t="s">
        <v>2306</v>
      </c>
      <c r="G370" s="5558" t="s">
        <v>28</v>
      </c>
      <c r="H370" s="5558" t="s">
        <v>28</v>
      </c>
      <c r="I370" s="5558" t="s">
        <v>875</v>
      </c>
    </row>
    <row customHeight="1" ht="11.25">
      <c r="A371" s="5558" t="s">
        <v>2271</v>
      </c>
      <c r="B371" s="5558" t="s">
        <v>16</v>
      </c>
      <c r="C371" s="5558" t="s">
        <v>2440</v>
      </c>
      <c r="D371" s="5558" t="s">
        <v>2441</v>
      </c>
      <c r="E371" s="5558" t="s">
        <v>2442</v>
      </c>
      <c r="F371" s="5558" t="s">
        <v>2306</v>
      </c>
      <c r="G371" s="5558" t="s">
        <v>2443</v>
      </c>
      <c r="H371" s="5558" t="s">
        <v>28</v>
      </c>
      <c r="I371" s="5558" t="s">
        <v>875</v>
      </c>
    </row>
    <row customHeight="1" ht="11.25">
      <c r="A372" s="5558" t="s">
        <v>2271</v>
      </c>
      <c r="B372" s="5558" t="s">
        <v>16</v>
      </c>
      <c r="C372" s="5558" t="s">
        <v>2447</v>
      </c>
      <c r="D372" s="5558" t="s">
        <v>2448</v>
      </c>
      <c r="E372" s="5558" t="s">
        <v>2449</v>
      </c>
      <c r="F372" s="5558" t="s">
        <v>2280</v>
      </c>
      <c r="G372" s="5558" t="s">
        <v>2450</v>
      </c>
      <c r="H372" s="5558" t="s">
        <v>28</v>
      </c>
      <c r="I372" s="5558" t="s">
        <v>875</v>
      </c>
    </row>
    <row customHeight="1" ht="11.25">
      <c r="A373" s="5558" t="s">
        <v>2271</v>
      </c>
      <c r="B373" s="5558" t="s">
        <v>16</v>
      </c>
      <c r="C373" s="5558" t="s">
        <v>2451</v>
      </c>
      <c r="D373" s="5558" t="s">
        <v>2452</v>
      </c>
      <c r="E373" s="5558" t="s">
        <v>2453</v>
      </c>
      <c r="F373" s="5558" t="s">
        <v>2454</v>
      </c>
      <c r="G373" s="5558" t="s">
        <v>28</v>
      </c>
      <c r="H373" s="5558" t="s">
        <v>28</v>
      </c>
      <c r="I373" s="5558" t="s">
        <v>875</v>
      </c>
    </row>
    <row customHeight="1" ht="11.25">
      <c r="A374" s="5558" t="s">
        <v>2271</v>
      </c>
      <c r="B374" s="5558" t="s">
        <v>16</v>
      </c>
      <c r="C374" s="5558" t="s">
        <v>2455</v>
      </c>
      <c r="D374" s="5558" t="s">
        <v>2456</v>
      </c>
      <c r="E374" s="5558" t="s">
        <v>2457</v>
      </c>
      <c r="F374" s="5558" t="s">
        <v>2306</v>
      </c>
      <c r="G374" s="5558" t="s">
        <v>28</v>
      </c>
      <c r="H374" s="5558" t="s">
        <v>28</v>
      </c>
      <c r="I374" s="5558" t="s">
        <v>875</v>
      </c>
    </row>
    <row customHeight="1" ht="11.25">
      <c r="A375" s="5558" t="s">
        <v>2271</v>
      </c>
      <c r="B375" s="5558" t="s">
        <v>16</v>
      </c>
      <c r="C375" s="5558" t="s">
        <v>2461</v>
      </c>
      <c r="D375" s="5558" t="s">
        <v>2462</v>
      </c>
      <c r="E375" s="5558" t="s">
        <v>2463</v>
      </c>
      <c r="F375" s="5558" t="s">
        <v>2306</v>
      </c>
      <c r="G375" s="5558" t="s">
        <v>28</v>
      </c>
      <c r="H375" s="5558" t="s">
        <v>28</v>
      </c>
      <c r="I375" s="5558" t="s">
        <v>875</v>
      </c>
    </row>
    <row customHeight="1" ht="11.25">
      <c r="A376" s="5558" t="s">
        <v>2271</v>
      </c>
      <c r="B376" s="5558" t="s">
        <v>16</v>
      </c>
      <c r="C376" s="5558" t="s">
        <v>3012</v>
      </c>
      <c r="D376" s="5558" t="s">
        <v>3013</v>
      </c>
      <c r="E376" s="5558" t="s">
        <v>3014</v>
      </c>
      <c r="F376" s="5558" t="s">
        <v>2314</v>
      </c>
      <c r="G376" s="5558" t="s">
        <v>3015</v>
      </c>
      <c r="H376" s="5558" t="s">
        <v>28</v>
      </c>
      <c r="I376" s="5558" t="s">
        <v>875</v>
      </c>
    </row>
    <row customHeight="1" ht="11.25">
      <c r="A377" s="5558" t="s">
        <v>2271</v>
      </c>
      <c r="B377" s="5558" t="s">
        <v>16</v>
      </c>
      <c r="C377" s="5558" t="s">
        <v>2464</v>
      </c>
      <c r="D377" s="5558" t="s">
        <v>2465</v>
      </c>
      <c r="E377" s="5558" t="s">
        <v>2466</v>
      </c>
      <c r="F377" s="5558" t="s">
        <v>2306</v>
      </c>
      <c r="G377" s="5558" t="s">
        <v>28</v>
      </c>
      <c r="H377" s="5558" t="s">
        <v>28</v>
      </c>
      <c r="I377" s="5558" t="s">
        <v>875</v>
      </c>
    </row>
    <row customHeight="1" ht="11.25">
      <c r="A378" s="5558" t="s">
        <v>2271</v>
      </c>
      <c r="B378" s="5558" t="s">
        <v>16</v>
      </c>
      <c r="C378" s="5558" t="s">
        <v>3016</v>
      </c>
      <c r="D378" s="5558" t="s">
        <v>3017</v>
      </c>
      <c r="E378" s="5558" t="s">
        <v>3018</v>
      </c>
      <c r="F378" s="5558" t="s">
        <v>2319</v>
      </c>
      <c r="G378" s="5558" t="s">
        <v>28</v>
      </c>
      <c r="H378" s="5558" t="s">
        <v>28</v>
      </c>
      <c r="I378" s="5558" t="s">
        <v>875</v>
      </c>
    </row>
    <row customHeight="1" ht="11.25">
      <c r="A379" s="5558" t="s">
        <v>2271</v>
      </c>
      <c r="B379" s="5558" t="s">
        <v>16</v>
      </c>
      <c r="C379" s="5558" t="s">
        <v>3019</v>
      </c>
      <c r="D379" s="5558" t="s">
        <v>3020</v>
      </c>
      <c r="E379" s="5558" t="s">
        <v>3021</v>
      </c>
      <c r="F379" s="5558" t="s">
        <v>2280</v>
      </c>
      <c r="G379" s="5558" t="s">
        <v>28</v>
      </c>
      <c r="H379" s="5558" t="s">
        <v>28</v>
      </c>
      <c r="I379" s="5558" t="s">
        <v>875</v>
      </c>
    </row>
    <row customHeight="1" ht="11.25">
      <c r="A380" s="5558" t="s">
        <v>2271</v>
      </c>
      <c r="B380" s="5558" t="s">
        <v>16</v>
      </c>
      <c r="C380" s="5558" t="s">
        <v>3022</v>
      </c>
      <c r="D380" s="5558" t="s">
        <v>3023</v>
      </c>
      <c r="E380" s="5558" t="s">
        <v>3024</v>
      </c>
      <c r="F380" s="5558" t="s">
        <v>2319</v>
      </c>
      <c r="G380" s="5558" t="s">
        <v>28</v>
      </c>
      <c r="H380" s="5558" t="s">
        <v>28</v>
      </c>
      <c r="I380" s="5558" t="s">
        <v>875</v>
      </c>
    </row>
    <row customHeight="1" ht="11.25">
      <c r="A381" s="5558" t="s">
        <v>2271</v>
      </c>
      <c r="B381" s="5558" t="s">
        <v>16</v>
      </c>
      <c r="C381" s="5558" t="s">
        <v>2474</v>
      </c>
      <c r="D381" s="5558" t="s">
        <v>2475</v>
      </c>
      <c r="E381" s="5558" t="s">
        <v>2476</v>
      </c>
      <c r="F381" s="5558" t="s">
        <v>2319</v>
      </c>
      <c r="G381" s="5558" t="s">
        <v>28</v>
      </c>
      <c r="H381" s="5558" t="s">
        <v>28</v>
      </c>
      <c r="I381" s="5558" t="s">
        <v>875</v>
      </c>
    </row>
    <row customHeight="1" ht="11.25">
      <c r="A382" s="5558" t="s">
        <v>2271</v>
      </c>
      <c r="B382" s="5558" t="s">
        <v>16</v>
      </c>
      <c r="C382" s="5558" t="s">
        <v>2477</v>
      </c>
      <c r="D382" s="5558" t="s">
        <v>2478</v>
      </c>
      <c r="E382" s="5558" t="s">
        <v>2479</v>
      </c>
      <c r="F382" s="5558" t="s">
        <v>2306</v>
      </c>
      <c r="G382" s="5558" t="s">
        <v>28</v>
      </c>
      <c r="H382" s="5558" t="s">
        <v>28</v>
      </c>
      <c r="I382" s="5558" t="s">
        <v>875</v>
      </c>
    </row>
    <row customHeight="1" ht="11.25">
      <c r="A383" s="5558" t="s">
        <v>2271</v>
      </c>
      <c r="B383" s="5558" t="s">
        <v>16</v>
      </c>
      <c r="C383" s="5558" t="s">
        <v>2480</v>
      </c>
      <c r="D383" s="5558" t="s">
        <v>2481</v>
      </c>
      <c r="E383" s="5558" t="s">
        <v>2482</v>
      </c>
      <c r="F383" s="5558" t="s">
        <v>2306</v>
      </c>
      <c r="G383" s="5558" t="s">
        <v>28</v>
      </c>
      <c r="H383" s="5558" t="s">
        <v>28</v>
      </c>
      <c r="I383" s="5558" t="s">
        <v>875</v>
      </c>
    </row>
    <row customHeight="1" ht="11.25">
      <c r="A384" s="5558" t="s">
        <v>2271</v>
      </c>
      <c r="B384" s="5558" t="s">
        <v>16</v>
      </c>
      <c r="C384" s="5558" t="s">
        <v>2486</v>
      </c>
      <c r="D384" s="5558" t="s">
        <v>2487</v>
      </c>
      <c r="E384" s="5558" t="s">
        <v>2488</v>
      </c>
      <c r="F384" s="5558" t="s">
        <v>2319</v>
      </c>
      <c r="G384" s="5558" t="s">
        <v>28</v>
      </c>
      <c r="H384" s="5558" t="s">
        <v>28</v>
      </c>
      <c r="I384" s="5558" t="s">
        <v>875</v>
      </c>
    </row>
    <row customHeight="1" ht="11.25">
      <c r="A385" s="5558" t="s">
        <v>2271</v>
      </c>
      <c r="B385" s="5558" t="s">
        <v>16</v>
      </c>
      <c r="C385" s="5558" t="s">
        <v>2489</v>
      </c>
      <c r="D385" s="5558" t="s">
        <v>2490</v>
      </c>
      <c r="E385" s="5558" t="s">
        <v>2491</v>
      </c>
      <c r="F385" s="5558" t="s">
        <v>2280</v>
      </c>
      <c r="G385" s="5558" t="s">
        <v>28</v>
      </c>
      <c r="H385" s="5558" t="s">
        <v>28</v>
      </c>
      <c r="I385" s="5558" t="s">
        <v>875</v>
      </c>
    </row>
    <row customHeight="1" ht="11.25">
      <c r="A386" s="5558" t="s">
        <v>2271</v>
      </c>
      <c r="B386" s="5558" t="s">
        <v>16</v>
      </c>
      <c r="C386" s="5558" t="s">
        <v>2498</v>
      </c>
      <c r="D386" s="5558" t="s">
        <v>2499</v>
      </c>
      <c r="E386" s="5558" t="s">
        <v>2500</v>
      </c>
      <c r="F386" s="5558" t="s">
        <v>2292</v>
      </c>
      <c r="G386" s="5558" t="s">
        <v>2501</v>
      </c>
      <c r="H386" s="5558" t="s">
        <v>28</v>
      </c>
      <c r="I386" s="5558" t="s">
        <v>875</v>
      </c>
    </row>
    <row customHeight="1" ht="11.25">
      <c r="A387" s="5558" t="s">
        <v>2271</v>
      </c>
      <c r="B387" s="5558" t="s">
        <v>16</v>
      </c>
      <c r="C387" s="5558" t="s">
        <v>2513</v>
      </c>
      <c r="D387" s="5558" t="s">
        <v>2514</v>
      </c>
      <c r="E387" s="5558" t="s">
        <v>2515</v>
      </c>
      <c r="F387" s="5558" t="s">
        <v>2292</v>
      </c>
      <c r="G387" s="5558" t="s">
        <v>28</v>
      </c>
      <c r="H387" s="5558" t="s">
        <v>28</v>
      </c>
      <c r="I387" s="5558" t="s">
        <v>875</v>
      </c>
    </row>
    <row customHeight="1" ht="11.25">
      <c r="A388" s="5558" t="s">
        <v>2271</v>
      </c>
      <c r="B388" s="5558" t="s">
        <v>16</v>
      </c>
      <c r="C388" s="5558" t="s">
        <v>2524</v>
      </c>
      <c r="D388" s="5558" t="s">
        <v>2525</v>
      </c>
      <c r="E388" s="5558" t="s">
        <v>2526</v>
      </c>
      <c r="F388" s="5558" t="s">
        <v>2275</v>
      </c>
      <c r="G388" s="5558" t="s">
        <v>28</v>
      </c>
      <c r="H388" s="5558" t="s">
        <v>28</v>
      </c>
      <c r="I388" s="5558" t="s">
        <v>875</v>
      </c>
    </row>
    <row customHeight="1" ht="11.25">
      <c r="A389" s="5558" t="s">
        <v>2271</v>
      </c>
      <c r="B389" s="5558" t="s">
        <v>16</v>
      </c>
      <c r="C389" s="5558" t="s">
        <v>2527</v>
      </c>
      <c r="D389" s="5558" t="s">
        <v>2528</v>
      </c>
      <c r="E389" s="5558" t="s">
        <v>2529</v>
      </c>
      <c r="F389" s="5558" t="s">
        <v>2306</v>
      </c>
      <c r="G389" s="5558" t="s">
        <v>28</v>
      </c>
      <c r="H389" s="5558" t="s">
        <v>28</v>
      </c>
      <c r="I389" s="5558" t="s">
        <v>875</v>
      </c>
    </row>
    <row customHeight="1" ht="11.25">
      <c r="A390" s="5558" t="s">
        <v>2271</v>
      </c>
      <c r="B390" s="5558" t="s">
        <v>16</v>
      </c>
      <c r="C390" s="5558" t="s">
        <v>3025</v>
      </c>
      <c r="D390" s="5558" t="s">
        <v>3026</v>
      </c>
      <c r="E390" s="5558" t="s">
        <v>3027</v>
      </c>
      <c r="F390" s="5558" t="s">
        <v>2275</v>
      </c>
      <c r="G390" s="5558" t="s">
        <v>28</v>
      </c>
      <c r="H390" s="5558" t="s">
        <v>28</v>
      </c>
      <c r="I390" s="5558" t="s">
        <v>875</v>
      </c>
    </row>
    <row customHeight="1" ht="11.25">
      <c r="A391" s="5558" t="s">
        <v>2271</v>
      </c>
      <c r="B391" s="5558" t="s">
        <v>16</v>
      </c>
      <c r="C391" s="5558" t="s">
        <v>3028</v>
      </c>
      <c r="D391" s="5558" t="s">
        <v>3029</v>
      </c>
      <c r="E391" s="5558" t="s">
        <v>3030</v>
      </c>
      <c r="F391" s="5558" t="s">
        <v>2302</v>
      </c>
      <c r="G391" s="5558" t="s">
        <v>28</v>
      </c>
      <c r="H391" s="5558" t="s">
        <v>28</v>
      </c>
      <c r="I391" s="5558" t="s">
        <v>875</v>
      </c>
    </row>
    <row customHeight="1" ht="11.25">
      <c r="A392" s="5558" t="s">
        <v>2271</v>
      </c>
      <c r="B392" s="5558" t="s">
        <v>16</v>
      </c>
      <c r="C392" s="5558" t="s">
        <v>3031</v>
      </c>
      <c r="D392" s="5558" t="s">
        <v>3032</v>
      </c>
      <c r="E392" s="5558" t="s">
        <v>3033</v>
      </c>
      <c r="F392" s="5558" t="s">
        <v>2280</v>
      </c>
      <c r="G392" s="5558" t="s">
        <v>28</v>
      </c>
      <c r="H392" s="5558" t="s">
        <v>28</v>
      </c>
      <c r="I392" s="5558" t="s">
        <v>875</v>
      </c>
    </row>
    <row customHeight="1" ht="11.25">
      <c r="A393" s="5558" t="s">
        <v>2271</v>
      </c>
      <c r="B393" s="5558" t="s">
        <v>16</v>
      </c>
      <c r="C393" s="5558" t="s">
        <v>2530</v>
      </c>
      <c r="D393" s="5558" t="s">
        <v>2531</v>
      </c>
      <c r="E393" s="5558" t="s">
        <v>2532</v>
      </c>
      <c r="F393" s="5558" t="s">
        <v>2275</v>
      </c>
      <c r="G393" s="5558" t="s">
        <v>28</v>
      </c>
      <c r="H393" s="5558" t="s">
        <v>28</v>
      </c>
      <c r="I393" s="5558" t="s">
        <v>875</v>
      </c>
    </row>
    <row customHeight="1" ht="11.25">
      <c r="A394" s="5558" t="s">
        <v>2271</v>
      </c>
      <c r="B394" s="5558" t="s">
        <v>16</v>
      </c>
      <c r="C394" s="5558" t="s">
        <v>2533</v>
      </c>
      <c r="D394" s="5558" t="s">
        <v>2534</v>
      </c>
      <c r="E394" s="5558" t="s">
        <v>2535</v>
      </c>
      <c r="F394" s="5558" t="s">
        <v>2536</v>
      </c>
      <c r="G394" s="5558" t="s">
        <v>2537</v>
      </c>
      <c r="H394" s="5558" t="s">
        <v>28</v>
      </c>
      <c r="I394" s="5558" t="s">
        <v>875</v>
      </c>
    </row>
    <row customHeight="1" ht="11.25">
      <c r="A395" s="5558" t="s">
        <v>2271</v>
      </c>
      <c r="B395" s="5558" t="s">
        <v>16</v>
      </c>
      <c r="C395" s="5558" t="s">
        <v>2538</v>
      </c>
      <c r="D395" s="5558" t="s">
        <v>2539</v>
      </c>
      <c r="E395" s="5558" t="s">
        <v>2540</v>
      </c>
      <c r="F395" s="5558" t="s">
        <v>2280</v>
      </c>
      <c r="G395" s="5558" t="s">
        <v>28</v>
      </c>
      <c r="H395" s="5558" t="s">
        <v>28</v>
      </c>
      <c r="I395" s="5558" t="s">
        <v>875</v>
      </c>
    </row>
    <row customHeight="1" ht="11.25">
      <c r="A396" s="5558" t="s">
        <v>2271</v>
      </c>
      <c r="B396" s="5558" t="s">
        <v>16</v>
      </c>
      <c r="C396" s="5558" t="s">
        <v>3034</v>
      </c>
      <c r="D396" s="5558" t="s">
        <v>3035</v>
      </c>
      <c r="E396" s="5558" t="s">
        <v>3036</v>
      </c>
      <c r="F396" s="5558" t="s">
        <v>2358</v>
      </c>
      <c r="G396" s="5558" t="s">
        <v>28</v>
      </c>
      <c r="H396" s="5558" t="s">
        <v>28</v>
      </c>
      <c r="I396" s="5558" t="s">
        <v>875</v>
      </c>
    </row>
    <row customHeight="1" ht="11.25">
      <c r="A397" s="5558" t="s">
        <v>2271</v>
      </c>
      <c r="B397" s="5558" t="s">
        <v>16</v>
      </c>
      <c r="C397" s="5558" t="s">
        <v>3037</v>
      </c>
      <c r="D397" s="5558" t="s">
        <v>3038</v>
      </c>
      <c r="E397" s="5558" t="s">
        <v>3039</v>
      </c>
      <c r="F397" s="5558" t="s">
        <v>51</v>
      </c>
      <c r="G397" s="5558" t="s">
        <v>28</v>
      </c>
      <c r="H397" s="5558" t="s">
        <v>28</v>
      </c>
      <c r="I397" s="5558" t="s">
        <v>875</v>
      </c>
    </row>
    <row customHeight="1" ht="11.25">
      <c r="A398" s="5558" t="s">
        <v>2271</v>
      </c>
      <c r="B398" s="5558" t="s">
        <v>16</v>
      </c>
      <c r="C398" s="5558" t="s">
        <v>2541</v>
      </c>
      <c r="D398" s="5558" t="s">
        <v>2542</v>
      </c>
      <c r="E398" s="5558" t="s">
        <v>2543</v>
      </c>
      <c r="F398" s="5558" t="s">
        <v>2302</v>
      </c>
      <c r="G398" s="5558" t="s">
        <v>28</v>
      </c>
      <c r="H398" s="5558" t="s">
        <v>28</v>
      </c>
      <c r="I398" s="5558" t="s">
        <v>875</v>
      </c>
    </row>
    <row customHeight="1" ht="11.25">
      <c r="A399" s="5558" t="s">
        <v>2271</v>
      </c>
      <c r="B399" s="5558" t="s">
        <v>16</v>
      </c>
      <c r="C399" s="5558" t="s">
        <v>2551</v>
      </c>
      <c r="D399" s="5558" t="s">
        <v>2552</v>
      </c>
      <c r="E399" s="5558" t="s">
        <v>2553</v>
      </c>
      <c r="F399" s="5558" t="s">
        <v>2425</v>
      </c>
      <c r="G399" s="5558" t="s">
        <v>28</v>
      </c>
      <c r="H399" s="5558" t="s">
        <v>28</v>
      </c>
      <c r="I399" s="5558" t="s">
        <v>875</v>
      </c>
    </row>
    <row customHeight="1" ht="11.25">
      <c r="A400" s="5558" t="s">
        <v>2271</v>
      </c>
      <c r="B400" s="5558" t="s">
        <v>16</v>
      </c>
      <c r="C400" s="5558" t="s">
        <v>3040</v>
      </c>
      <c r="D400" s="5558" t="s">
        <v>3041</v>
      </c>
      <c r="E400" s="5558" t="s">
        <v>3042</v>
      </c>
      <c r="F400" s="5558" t="s">
        <v>2275</v>
      </c>
      <c r="G400" s="5558" t="s">
        <v>28</v>
      </c>
      <c r="H400" s="5558" t="s">
        <v>28</v>
      </c>
      <c r="I400" s="5558" t="s">
        <v>875</v>
      </c>
    </row>
    <row customHeight="1" ht="11.25">
      <c r="A401" s="5558" t="s">
        <v>2271</v>
      </c>
      <c r="B401" s="5558" t="s">
        <v>16</v>
      </c>
      <c r="C401" s="5558" t="s">
        <v>3043</v>
      </c>
      <c r="D401" s="5558" t="s">
        <v>3044</v>
      </c>
      <c r="E401" s="5558" t="s">
        <v>3045</v>
      </c>
      <c r="F401" s="5558" t="s">
        <v>2354</v>
      </c>
      <c r="G401" s="5558" t="s">
        <v>3046</v>
      </c>
      <c r="H401" s="5558" t="s">
        <v>28</v>
      </c>
      <c r="I401" s="5558" t="s">
        <v>875</v>
      </c>
    </row>
    <row customHeight="1" ht="11.25">
      <c r="A402" s="5558" t="s">
        <v>2271</v>
      </c>
      <c r="B402" s="5558" t="s">
        <v>16</v>
      </c>
      <c r="C402" s="5558" t="s">
        <v>3047</v>
      </c>
      <c r="D402" s="5558" t="s">
        <v>3048</v>
      </c>
      <c r="E402" s="5558" t="s">
        <v>3049</v>
      </c>
      <c r="F402" s="5558" t="s">
        <v>2319</v>
      </c>
      <c r="G402" s="5558" t="s">
        <v>28</v>
      </c>
      <c r="H402" s="5558" t="s">
        <v>28</v>
      </c>
      <c r="I402" s="5558" t="s">
        <v>875</v>
      </c>
    </row>
    <row customHeight="1" ht="11.25">
      <c r="A403" s="5558" t="s">
        <v>2271</v>
      </c>
      <c r="B403" s="5558" t="s">
        <v>16</v>
      </c>
      <c r="C403" s="5558" t="s">
        <v>2950</v>
      </c>
      <c r="D403" s="5558" t="s">
        <v>2951</v>
      </c>
      <c r="E403" s="5558" t="s">
        <v>2952</v>
      </c>
      <c r="F403" s="5558" t="s">
        <v>2306</v>
      </c>
      <c r="G403" s="5558" t="s">
        <v>28</v>
      </c>
      <c r="H403" s="5558" t="s">
        <v>28</v>
      </c>
      <c r="I403" s="5558" t="s">
        <v>875</v>
      </c>
    </row>
    <row customHeight="1" ht="11.25">
      <c r="A404" s="5558" t="s">
        <v>2271</v>
      </c>
      <c r="B404" s="5558" t="s">
        <v>16</v>
      </c>
      <c r="C404" s="5558" t="s">
        <v>3050</v>
      </c>
      <c r="D404" s="5558" t="s">
        <v>3051</v>
      </c>
      <c r="E404" s="5558" t="s">
        <v>3052</v>
      </c>
      <c r="F404" s="5558" t="s">
        <v>2319</v>
      </c>
      <c r="G404" s="5558" t="s">
        <v>28</v>
      </c>
      <c r="H404" s="5558" t="s">
        <v>28</v>
      </c>
      <c r="I404" s="5558" t="s">
        <v>875</v>
      </c>
    </row>
    <row customHeight="1" ht="11.25">
      <c r="A405" s="5558" t="s">
        <v>2271</v>
      </c>
      <c r="B405" s="5558" t="s">
        <v>16</v>
      </c>
      <c r="C405" s="5558" t="s">
        <v>3053</v>
      </c>
      <c r="D405" s="5558" t="s">
        <v>3054</v>
      </c>
      <c r="E405" s="5558" t="s">
        <v>3055</v>
      </c>
      <c r="F405" s="5558" t="s">
        <v>2319</v>
      </c>
      <c r="G405" s="5558" t="s">
        <v>3056</v>
      </c>
      <c r="H405" s="5558" t="s">
        <v>28</v>
      </c>
      <c r="I405" s="5558" t="s">
        <v>875</v>
      </c>
    </row>
    <row customHeight="1" ht="11.25">
      <c r="A406" s="5558" t="s">
        <v>2271</v>
      </c>
      <c r="B406" s="5558" t="s">
        <v>16</v>
      </c>
      <c r="C406" s="5558" t="s">
        <v>3057</v>
      </c>
      <c r="D406" s="5558" t="s">
        <v>3058</v>
      </c>
      <c r="E406" s="5558" t="s">
        <v>3059</v>
      </c>
      <c r="F406" s="5558" t="s">
        <v>2319</v>
      </c>
      <c r="G406" s="5558" t="s">
        <v>28</v>
      </c>
      <c r="H406" s="5558" t="s">
        <v>28</v>
      </c>
      <c r="I406" s="5558" t="s">
        <v>875</v>
      </c>
    </row>
    <row customHeight="1" ht="11.25">
      <c r="A407" s="5558" t="s">
        <v>2271</v>
      </c>
      <c r="B407" s="5558" t="s">
        <v>16</v>
      </c>
      <c r="C407" s="5558" t="s">
        <v>2566</v>
      </c>
      <c r="D407" s="5558" t="s">
        <v>2567</v>
      </c>
      <c r="E407" s="5558" t="s">
        <v>2568</v>
      </c>
      <c r="F407" s="5558" t="s">
        <v>2306</v>
      </c>
      <c r="G407" s="5558" t="s">
        <v>2569</v>
      </c>
      <c r="H407" s="5558" t="s">
        <v>28</v>
      </c>
      <c r="I407" s="5558" t="s">
        <v>875</v>
      </c>
    </row>
    <row customHeight="1" ht="11.25">
      <c r="A408" s="5558" t="s">
        <v>2271</v>
      </c>
      <c r="B408" s="5558" t="s">
        <v>16</v>
      </c>
      <c r="C408" s="5558" t="s">
        <v>3060</v>
      </c>
      <c r="D408" s="5558" t="s">
        <v>3061</v>
      </c>
      <c r="E408" s="5558" t="s">
        <v>3062</v>
      </c>
      <c r="F408" s="5558" t="s">
        <v>2275</v>
      </c>
      <c r="G408" s="5558" t="s">
        <v>28</v>
      </c>
      <c r="H408" s="5558" t="s">
        <v>28</v>
      </c>
      <c r="I408" s="5558" t="s">
        <v>875</v>
      </c>
    </row>
    <row customHeight="1" ht="11.25">
      <c r="A409" s="5558" t="s">
        <v>2271</v>
      </c>
      <c r="B409" s="5558" t="s">
        <v>16</v>
      </c>
      <c r="C409" s="5558" t="s">
        <v>3063</v>
      </c>
      <c r="D409" s="5558" t="s">
        <v>3064</v>
      </c>
      <c r="E409" s="5558" t="s">
        <v>3065</v>
      </c>
      <c r="F409" s="5558" t="s">
        <v>2319</v>
      </c>
      <c r="G409" s="5558" t="s">
        <v>28</v>
      </c>
      <c r="H409" s="5558" t="s">
        <v>28</v>
      </c>
      <c r="I409" s="5558" t="s">
        <v>875</v>
      </c>
    </row>
    <row customHeight="1" ht="11.25">
      <c r="A410" s="5558" t="s">
        <v>2271</v>
      </c>
      <c r="B410" s="5558" t="s">
        <v>16</v>
      </c>
      <c r="C410" s="5558" t="s">
        <v>3066</v>
      </c>
      <c r="D410" s="5558" t="s">
        <v>3067</v>
      </c>
      <c r="E410" s="5558" t="s">
        <v>3068</v>
      </c>
      <c r="F410" s="5558" t="s">
        <v>2319</v>
      </c>
      <c r="G410" s="5558" t="s">
        <v>28</v>
      </c>
      <c r="H410" s="5558" t="s">
        <v>28</v>
      </c>
      <c r="I410" s="5558" t="s">
        <v>875</v>
      </c>
    </row>
    <row customHeight="1" ht="11.25">
      <c r="A411" s="5558" t="s">
        <v>2271</v>
      </c>
      <c r="B411" s="5558" t="s">
        <v>16</v>
      </c>
      <c r="C411" s="5558" t="s">
        <v>3069</v>
      </c>
      <c r="D411" s="5558" t="s">
        <v>2577</v>
      </c>
      <c r="E411" s="5558" t="s">
        <v>3070</v>
      </c>
      <c r="F411" s="5558" t="s">
        <v>2600</v>
      </c>
      <c r="G411" s="5558" t="s">
        <v>28</v>
      </c>
      <c r="H411" s="5558" t="s">
        <v>28</v>
      </c>
      <c r="I411" s="5558" t="s">
        <v>875</v>
      </c>
    </row>
    <row customHeight="1" ht="11.25">
      <c r="A412" s="5558" t="s">
        <v>2271</v>
      </c>
      <c r="B412" s="5558" t="s">
        <v>16</v>
      </c>
      <c r="C412" s="5558" t="s">
        <v>2579</v>
      </c>
      <c r="D412" s="5558" t="s">
        <v>2580</v>
      </c>
      <c r="E412" s="5558" t="s">
        <v>2581</v>
      </c>
      <c r="F412" s="5558" t="s">
        <v>2306</v>
      </c>
      <c r="G412" s="5558" t="s">
        <v>2582</v>
      </c>
      <c r="H412" s="5558" t="s">
        <v>28</v>
      </c>
      <c r="I412" s="5558" t="s">
        <v>875</v>
      </c>
    </row>
    <row customHeight="1" ht="11.25">
      <c r="A413" s="5558" t="s">
        <v>2271</v>
      </c>
      <c r="B413" s="5558" t="s">
        <v>16</v>
      </c>
      <c r="C413" s="5558" t="s">
        <v>2583</v>
      </c>
      <c r="D413" s="5558" t="s">
        <v>2584</v>
      </c>
      <c r="E413" s="5558" t="s">
        <v>2585</v>
      </c>
      <c r="F413" s="5558" t="s">
        <v>2275</v>
      </c>
      <c r="G413" s="5558" t="s">
        <v>2586</v>
      </c>
      <c r="H413" s="5558" t="s">
        <v>28</v>
      </c>
      <c r="I413" s="5558" t="s">
        <v>875</v>
      </c>
    </row>
    <row customHeight="1" ht="11.25">
      <c r="A414" s="5558" t="s">
        <v>2271</v>
      </c>
      <c r="B414" s="5558" t="s">
        <v>16</v>
      </c>
      <c r="C414" s="5558" t="s">
        <v>2597</v>
      </c>
      <c r="D414" s="5558" t="s">
        <v>2598</v>
      </c>
      <c r="E414" s="5558" t="s">
        <v>2599</v>
      </c>
      <c r="F414" s="5558" t="s">
        <v>2600</v>
      </c>
      <c r="G414" s="5558" t="s">
        <v>28</v>
      </c>
      <c r="H414" s="5558" t="s">
        <v>28</v>
      </c>
      <c r="I414" s="5558" t="s">
        <v>875</v>
      </c>
    </row>
    <row customHeight="1" ht="11.25">
      <c r="A415" s="5558" t="s">
        <v>2271</v>
      </c>
      <c r="B415" s="5558" t="s">
        <v>16</v>
      </c>
      <c r="C415" s="5558" t="s">
        <v>2601</v>
      </c>
      <c r="D415" s="5558" t="s">
        <v>2602</v>
      </c>
      <c r="E415" s="5558" t="s">
        <v>2603</v>
      </c>
      <c r="F415" s="5558" t="s">
        <v>2604</v>
      </c>
      <c r="G415" s="5558" t="s">
        <v>28</v>
      </c>
      <c r="H415" s="5558" t="s">
        <v>28</v>
      </c>
      <c r="I415" s="5558" t="s">
        <v>875</v>
      </c>
    </row>
    <row customHeight="1" ht="11.25">
      <c r="A416" s="5558" t="s">
        <v>2271</v>
      </c>
      <c r="B416" s="5558" t="s">
        <v>16</v>
      </c>
      <c r="C416" s="5558" t="s">
        <v>3071</v>
      </c>
      <c r="D416" s="5558" t="s">
        <v>3072</v>
      </c>
      <c r="E416" s="5558" t="s">
        <v>3073</v>
      </c>
      <c r="F416" s="5558" t="s">
        <v>2358</v>
      </c>
      <c r="G416" s="5558" t="s">
        <v>28</v>
      </c>
      <c r="H416" s="5558" t="s">
        <v>28</v>
      </c>
      <c r="I416" s="5558" t="s">
        <v>875</v>
      </c>
    </row>
    <row customHeight="1" ht="11.25">
      <c r="A417" s="5558" t="s">
        <v>2271</v>
      </c>
      <c r="B417" s="5558" t="s">
        <v>16</v>
      </c>
      <c r="C417" s="5558" t="s">
        <v>3074</v>
      </c>
      <c r="D417" s="5558" t="s">
        <v>3075</v>
      </c>
      <c r="E417" s="5558" t="s">
        <v>3076</v>
      </c>
      <c r="F417" s="5558" t="s">
        <v>2280</v>
      </c>
      <c r="G417" s="5558" t="s">
        <v>3077</v>
      </c>
      <c r="H417" s="5558" t="s">
        <v>28</v>
      </c>
      <c r="I417" s="5558" t="s">
        <v>875</v>
      </c>
    </row>
    <row customHeight="1" ht="11.25">
      <c r="A418" s="5558" t="s">
        <v>2271</v>
      </c>
      <c r="B418" s="5558" t="s">
        <v>16</v>
      </c>
      <c r="C418" s="5558" t="s">
        <v>3078</v>
      </c>
      <c r="D418" s="5558" t="s">
        <v>3079</v>
      </c>
      <c r="E418" s="5558" t="s">
        <v>3080</v>
      </c>
      <c r="F418" s="5558" t="s">
        <v>2425</v>
      </c>
      <c r="G418" s="5558" t="s">
        <v>28</v>
      </c>
      <c r="H418" s="5558" t="s">
        <v>28</v>
      </c>
      <c r="I418" s="5558" t="s">
        <v>875</v>
      </c>
    </row>
    <row customHeight="1" ht="11.25">
      <c r="A419" s="5558" t="s">
        <v>2271</v>
      </c>
      <c r="B419" s="5558" t="s">
        <v>16</v>
      </c>
      <c r="C419" s="5558" t="s">
        <v>3081</v>
      </c>
      <c r="D419" s="5558" t="s">
        <v>3082</v>
      </c>
      <c r="E419" s="5558" t="s">
        <v>3083</v>
      </c>
      <c r="F419" s="5558" t="s">
        <v>2341</v>
      </c>
      <c r="G419" s="5558" t="s">
        <v>3084</v>
      </c>
      <c r="H419" s="5558" t="s">
        <v>28</v>
      </c>
      <c r="I419" s="5558" t="s">
        <v>875</v>
      </c>
    </row>
    <row customHeight="1" ht="11.25">
      <c r="A420" s="5558" t="s">
        <v>2271</v>
      </c>
      <c r="B420" s="5558" t="s">
        <v>16</v>
      </c>
      <c r="C420" s="5558" t="s">
        <v>3085</v>
      </c>
      <c r="D420" s="5558" t="s">
        <v>3086</v>
      </c>
      <c r="E420" s="5558" t="s">
        <v>3087</v>
      </c>
      <c r="F420" s="5558" t="s">
        <v>2407</v>
      </c>
      <c r="G420" s="5558" t="s">
        <v>28</v>
      </c>
      <c r="H420" s="5558" t="s">
        <v>28</v>
      </c>
      <c r="I420" s="5558" t="s">
        <v>875</v>
      </c>
    </row>
    <row customHeight="1" ht="11.25">
      <c r="A421" s="5558" t="s">
        <v>2271</v>
      </c>
      <c r="B421" s="5558" t="s">
        <v>16</v>
      </c>
      <c r="C421" s="5558" t="s">
        <v>2627</v>
      </c>
      <c r="D421" s="5558" t="s">
        <v>2628</v>
      </c>
      <c r="E421" s="5558" t="s">
        <v>2629</v>
      </c>
      <c r="F421" s="5558" t="s">
        <v>2302</v>
      </c>
      <c r="G421" s="5558" t="s">
        <v>2276</v>
      </c>
      <c r="H421" s="5558" t="s">
        <v>28</v>
      </c>
      <c r="I421" s="5558" t="s">
        <v>875</v>
      </c>
    </row>
    <row customHeight="1" ht="11.25">
      <c r="A422" s="5558" t="s">
        <v>2271</v>
      </c>
      <c r="B422" s="5558" t="s">
        <v>16</v>
      </c>
      <c r="C422" s="5558" t="s">
        <v>3088</v>
      </c>
      <c r="D422" s="5558" t="s">
        <v>3089</v>
      </c>
      <c r="E422" s="5558" t="s">
        <v>3090</v>
      </c>
      <c r="F422" s="5558" t="s">
        <v>51</v>
      </c>
      <c r="G422" s="5558" t="s">
        <v>28</v>
      </c>
      <c r="H422" s="5558" t="s">
        <v>28</v>
      </c>
      <c r="I422" s="5558" t="s">
        <v>875</v>
      </c>
    </row>
    <row customHeight="1" ht="11.25">
      <c r="A423" s="5558" t="s">
        <v>2271</v>
      </c>
      <c r="B423" s="5558" t="s">
        <v>16</v>
      </c>
      <c r="C423" s="5558" t="s">
        <v>3091</v>
      </c>
      <c r="D423" s="5558" t="s">
        <v>3092</v>
      </c>
      <c r="E423" s="5558" t="s">
        <v>3093</v>
      </c>
      <c r="F423" s="5558" t="s">
        <v>2306</v>
      </c>
      <c r="G423" s="5558" t="s">
        <v>28</v>
      </c>
      <c r="H423" s="5558" t="s">
        <v>28</v>
      </c>
      <c r="I423" s="5558" t="s">
        <v>875</v>
      </c>
    </row>
    <row customHeight="1" ht="11.25">
      <c r="A424" s="5558" t="s">
        <v>2271</v>
      </c>
      <c r="B424" s="5558" t="s">
        <v>16</v>
      </c>
      <c r="C424" s="5558" t="s">
        <v>3094</v>
      </c>
      <c r="D424" s="5558" t="s">
        <v>3095</v>
      </c>
      <c r="E424" s="5558" t="s">
        <v>3096</v>
      </c>
      <c r="F424" s="5558" t="s">
        <v>2306</v>
      </c>
      <c r="G424" s="5558" t="s">
        <v>28</v>
      </c>
      <c r="H424" s="5558" t="s">
        <v>28</v>
      </c>
      <c r="I424" s="5558" t="s">
        <v>875</v>
      </c>
    </row>
    <row customHeight="1" ht="11.25">
      <c r="A425" s="5558" t="s">
        <v>2271</v>
      </c>
      <c r="B425" s="5558" t="s">
        <v>16</v>
      </c>
      <c r="C425" s="5558" t="s">
        <v>2640</v>
      </c>
      <c r="D425" s="5558" t="s">
        <v>2641</v>
      </c>
      <c r="E425" s="5558" t="s">
        <v>2642</v>
      </c>
      <c r="F425" s="5558" t="s">
        <v>2292</v>
      </c>
      <c r="G425" s="5558" t="s">
        <v>2643</v>
      </c>
      <c r="H425" s="5558" t="s">
        <v>28</v>
      </c>
      <c r="I425" s="5558" t="s">
        <v>875</v>
      </c>
    </row>
    <row customHeight="1" ht="11.25">
      <c r="A426" s="5558" t="s">
        <v>2271</v>
      </c>
      <c r="B426" s="5558" t="s">
        <v>16</v>
      </c>
      <c r="C426" s="5558" t="s">
        <v>3097</v>
      </c>
      <c r="D426" s="5558" t="s">
        <v>3098</v>
      </c>
      <c r="E426" s="5558" t="s">
        <v>3099</v>
      </c>
      <c r="F426" s="5558" t="s">
        <v>2306</v>
      </c>
      <c r="G426" s="5558" t="s">
        <v>28</v>
      </c>
      <c r="H426" s="5558" t="s">
        <v>28</v>
      </c>
      <c r="I426" s="5558" t="s">
        <v>875</v>
      </c>
    </row>
    <row customHeight="1" ht="11.25">
      <c r="A427" s="5558" t="s">
        <v>2271</v>
      </c>
      <c r="B427" s="5558" t="s">
        <v>16</v>
      </c>
      <c r="C427" s="5558" t="s">
        <v>3100</v>
      </c>
      <c r="D427" s="5558" t="s">
        <v>3101</v>
      </c>
      <c r="E427" s="5558" t="s">
        <v>3102</v>
      </c>
      <c r="F427" s="5558" t="s">
        <v>2341</v>
      </c>
      <c r="G427" s="5558" t="s">
        <v>2593</v>
      </c>
      <c r="H427" s="5558" t="s">
        <v>28</v>
      </c>
      <c r="I427" s="5558" t="s">
        <v>875</v>
      </c>
    </row>
    <row customHeight="1" ht="11.25">
      <c r="A428" s="5558" t="s">
        <v>2271</v>
      </c>
      <c r="B428" s="5558" t="s">
        <v>16</v>
      </c>
      <c r="C428" s="5558" t="s">
        <v>2653</v>
      </c>
      <c r="D428" s="5558" t="s">
        <v>2654</v>
      </c>
      <c r="E428" s="5558" t="s">
        <v>2655</v>
      </c>
      <c r="F428" s="5558" t="s">
        <v>2306</v>
      </c>
      <c r="G428" s="5558" t="s">
        <v>28</v>
      </c>
      <c r="H428" s="5558" t="s">
        <v>28</v>
      </c>
      <c r="I428" s="5558" t="s">
        <v>875</v>
      </c>
    </row>
    <row customHeight="1" ht="11.25">
      <c r="A429" s="5558" t="s">
        <v>2271</v>
      </c>
      <c r="B429" s="5558" t="s">
        <v>16</v>
      </c>
      <c r="C429" s="5558" t="s">
        <v>3103</v>
      </c>
      <c r="D429" s="5558" t="s">
        <v>3104</v>
      </c>
      <c r="E429" s="5558" t="s">
        <v>3105</v>
      </c>
      <c r="F429" s="5558" t="s">
        <v>2292</v>
      </c>
      <c r="G429" s="5558" t="s">
        <v>3106</v>
      </c>
      <c r="H429" s="5558" t="s">
        <v>28</v>
      </c>
      <c r="I429" s="5558" t="s">
        <v>875</v>
      </c>
    </row>
    <row customHeight="1" ht="11.25">
      <c r="A430" s="5558" t="s">
        <v>2271</v>
      </c>
      <c r="B430" s="5558" t="s">
        <v>16</v>
      </c>
      <c r="C430" s="5558" t="s">
        <v>2667</v>
      </c>
      <c r="D430" s="5558" t="s">
        <v>2668</v>
      </c>
      <c r="E430" s="5558" t="s">
        <v>2669</v>
      </c>
      <c r="F430" s="5558" t="s">
        <v>2425</v>
      </c>
      <c r="G430" s="5558" t="s">
        <v>2670</v>
      </c>
      <c r="H430" s="5558" t="s">
        <v>28</v>
      </c>
      <c r="I430" s="5558" t="s">
        <v>875</v>
      </c>
    </row>
    <row customHeight="1" ht="11.25">
      <c r="A431" s="5558" t="s">
        <v>2271</v>
      </c>
      <c r="B431" s="5558" t="s">
        <v>16</v>
      </c>
      <c r="C431" s="5558" t="s">
        <v>2674</v>
      </c>
      <c r="D431" s="5558" t="s">
        <v>2675</v>
      </c>
      <c r="E431" s="5558" t="s">
        <v>2676</v>
      </c>
      <c r="F431" s="5558" t="s">
        <v>2275</v>
      </c>
      <c r="G431" s="5558" t="s">
        <v>28</v>
      </c>
      <c r="H431" s="5558" t="s">
        <v>28</v>
      </c>
      <c r="I431" s="5558" t="s">
        <v>875</v>
      </c>
    </row>
    <row customHeight="1" ht="11.25">
      <c r="A432" s="5558" t="s">
        <v>2271</v>
      </c>
      <c r="B432" s="5558" t="s">
        <v>16</v>
      </c>
      <c r="C432" s="5558" t="s">
        <v>3107</v>
      </c>
      <c r="D432" s="5558" t="s">
        <v>3108</v>
      </c>
      <c r="E432" s="5558" t="s">
        <v>3109</v>
      </c>
      <c r="F432" s="5558" t="s">
        <v>2964</v>
      </c>
      <c r="G432" s="5558" t="s">
        <v>28</v>
      </c>
      <c r="H432" s="5558" t="s">
        <v>28</v>
      </c>
      <c r="I432" s="5558" t="s">
        <v>875</v>
      </c>
    </row>
    <row customHeight="1" ht="11.25">
      <c r="A433" s="5558" t="s">
        <v>2271</v>
      </c>
      <c r="B433" s="5558" t="s">
        <v>16</v>
      </c>
      <c r="C433" s="5558" t="s">
        <v>2680</v>
      </c>
      <c r="D433" s="5558" t="s">
        <v>2681</v>
      </c>
      <c r="E433" s="5558" t="s">
        <v>2682</v>
      </c>
      <c r="F433" s="5558" t="s">
        <v>2314</v>
      </c>
      <c r="G433" s="5558" t="s">
        <v>2276</v>
      </c>
      <c r="H433" s="5558" t="s">
        <v>28</v>
      </c>
      <c r="I433" s="5558" t="s">
        <v>875</v>
      </c>
    </row>
    <row customHeight="1" ht="11.25">
      <c r="A434" s="5558" t="s">
        <v>2271</v>
      </c>
      <c r="B434" s="5558" t="s">
        <v>16</v>
      </c>
      <c r="C434" s="5558" t="s">
        <v>3110</v>
      </c>
      <c r="D434" s="5558" t="s">
        <v>3111</v>
      </c>
      <c r="E434" s="5558" t="s">
        <v>3112</v>
      </c>
      <c r="F434" s="5558" t="s">
        <v>2345</v>
      </c>
      <c r="G434" s="5558" t="s">
        <v>28</v>
      </c>
      <c r="H434" s="5558" t="s">
        <v>28</v>
      </c>
      <c r="I434" s="5558" t="s">
        <v>875</v>
      </c>
    </row>
    <row customHeight="1" ht="11.25">
      <c r="A435" s="5558" t="s">
        <v>2271</v>
      </c>
      <c r="B435" s="5558" t="s">
        <v>16</v>
      </c>
      <c r="C435" s="5558" t="s">
        <v>3113</v>
      </c>
      <c r="D435" s="5558" t="s">
        <v>3114</v>
      </c>
      <c r="E435" s="5558" t="s">
        <v>3115</v>
      </c>
      <c r="F435" s="5558" t="s">
        <v>2306</v>
      </c>
      <c r="G435" s="5558" t="s">
        <v>28</v>
      </c>
      <c r="H435" s="5558" t="s">
        <v>28</v>
      </c>
      <c r="I435" s="5558" t="s">
        <v>875</v>
      </c>
    </row>
    <row customHeight="1" ht="11.25">
      <c r="A436" s="5558" t="s">
        <v>2271</v>
      </c>
      <c r="B436" s="5558" t="s">
        <v>16</v>
      </c>
      <c r="C436" s="5558" t="s">
        <v>3116</v>
      </c>
      <c r="D436" s="5558" t="s">
        <v>3117</v>
      </c>
      <c r="E436" s="5558" t="s">
        <v>3118</v>
      </c>
      <c r="F436" s="5558" t="s">
        <v>2306</v>
      </c>
      <c r="G436" s="5558" t="s">
        <v>3119</v>
      </c>
      <c r="H436" s="5558" t="s">
        <v>28</v>
      </c>
      <c r="I436" s="5558" t="s">
        <v>875</v>
      </c>
    </row>
    <row customHeight="1" ht="11.25">
      <c r="A437" s="5558" t="s">
        <v>2271</v>
      </c>
      <c r="B437" s="5558" t="s">
        <v>16</v>
      </c>
      <c r="C437" s="5558" t="s">
        <v>3120</v>
      </c>
      <c r="D437" s="5558" t="s">
        <v>3121</v>
      </c>
      <c r="E437" s="5558" t="s">
        <v>3122</v>
      </c>
      <c r="F437" s="5558" t="s">
        <v>2302</v>
      </c>
      <c r="G437" s="5558" t="s">
        <v>3123</v>
      </c>
      <c r="H437" s="5558" t="s">
        <v>28</v>
      </c>
      <c r="I437" s="5558" t="s">
        <v>875</v>
      </c>
    </row>
    <row customHeight="1" ht="11.25">
      <c r="A438" s="5558" t="s">
        <v>2271</v>
      </c>
      <c r="B438" s="5558" t="s">
        <v>16</v>
      </c>
      <c r="C438" s="5558" t="s">
        <v>3124</v>
      </c>
      <c r="D438" s="5558" t="s">
        <v>3125</v>
      </c>
      <c r="E438" s="5558" t="s">
        <v>3126</v>
      </c>
      <c r="F438" s="5558" t="s">
        <v>2306</v>
      </c>
      <c r="G438" s="5558" t="s">
        <v>28</v>
      </c>
      <c r="H438" s="5558" t="s">
        <v>28</v>
      </c>
      <c r="I438" s="5558" t="s">
        <v>875</v>
      </c>
    </row>
    <row customHeight="1" ht="11.25">
      <c r="A439" s="5558" t="s">
        <v>2271</v>
      </c>
      <c r="B439" s="5558" t="s">
        <v>16</v>
      </c>
      <c r="C439" s="5558" t="s">
        <v>3127</v>
      </c>
      <c r="D439" s="5558" t="s">
        <v>3128</v>
      </c>
      <c r="E439" s="5558" t="s">
        <v>3129</v>
      </c>
      <c r="F439" s="5558" t="s">
        <v>51</v>
      </c>
      <c r="G439" s="5558" t="s">
        <v>3130</v>
      </c>
      <c r="H439" s="5558" t="s">
        <v>28</v>
      </c>
      <c r="I439" s="5558" t="s">
        <v>875</v>
      </c>
    </row>
    <row customHeight="1" ht="11.25">
      <c r="A440" s="5558" t="s">
        <v>2271</v>
      </c>
      <c r="B440" s="5558" t="s">
        <v>16</v>
      </c>
      <c r="C440" s="5558" t="s">
        <v>3131</v>
      </c>
      <c r="D440" s="5558" t="s">
        <v>3132</v>
      </c>
      <c r="E440" s="5558" t="s">
        <v>3133</v>
      </c>
      <c r="F440" s="5558" t="s">
        <v>2354</v>
      </c>
      <c r="G440" s="5558" t="s">
        <v>3134</v>
      </c>
      <c r="H440" s="5558" t="s">
        <v>28</v>
      </c>
      <c r="I440" s="5558" t="s">
        <v>875</v>
      </c>
    </row>
    <row customHeight="1" ht="11.25">
      <c r="A441" s="5558" t="s">
        <v>2271</v>
      </c>
      <c r="B441" s="5558" t="s">
        <v>16</v>
      </c>
      <c r="C441" s="5558" t="s">
        <v>3135</v>
      </c>
      <c r="D441" s="5558" t="s">
        <v>3136</v>
      </c>
      <c r="E441" s="5558" t="s">
        <v>3137</v>
      </c>
      <c r="F441" s="5558" t="s">
        <v>2425</v>
      </c>
      <c r="G441" s="5558" t="s">
        <v>28</v>
      </c>
      <c r="H441" s="5558" t="s">
        <v>28</v>
      </c>
      <c r="I441" s="5558" t="s">
        <v>875</v>
      </c>
    </row>
    <row customHeight="1" ht="11.25">
      <c r="A442" s="5558" t="s">
        <v>2271</v>
      </c>
      <c r="B442" s="5558" t="s">
        <v>16</v>
      </c>
      <c r="C442" s="5558" t="s">
        <v>3138</v>
      </c>
      <c r="D442" s="5558" t="s">
        <v>3139</v>
      </c>
      <c r="E442" s="5558" t="s">
        <v>3140</v>
      </c>
      <c r="F442" s="5558" t="s">
        <v>2306</v>
      </c>
      <c r="G442" s="5558" t="s">
        <v>3084</v>
      </c>
      <c r="H442" s="5558" t="s">
        <v>28</v>
      </c>
      <c r="I442" s="5558" t="s">
        <v>875</v>
      </c>
    </row>
    <row customHeight="1" ht="11.25">
      <c r="A443" s="5558" t="s">
        <v>2271</v>
      </c>
      <c r="B443" s="5558" t="s">
        <v>16</v>
      </c>
      <c r="C443" s="5558" t="s">
        <v>3141</v>
      </c>
      <c r="D443" s="5558" t="s">
        <v>3142</v>
      </c>
      <c r="E443" s="5558" t="s">
        <v>3143</v>
      </c>
      <c r="F443" s="5558" t="s">
        <v>2280</v>
      </c>
      <c r="G443" s="5558" t="s">
        <v>28</v>
      </c>
      <c r="H443" s="5558" t="s">
        <v>28</v>
      </c>
      <c r="I443" s="5558" t="s">
        <v>875</v>
      </c>
    </row>
    <row customHeight="1" ht="11.25">
      <c r="A444" s="5558" t="s">
        <v>2271</v>
      </c>
      <c r="B444" s="5558" t="s">
        <v>16</v>
      </c>
      <c r="C444" s="5558" t="s">
        <v>2713</v>
      </c>
      <c r="D444" s="5558" t="s">
        <v>2714</v>
      </c>
      <c r="E444" s="5558" t="s">
        <v>2715</v>
      </c>
      <c r="F444" s="5558" t="s">
        <v>2306</v>
      </c>
      <c r="G444" s="5558" t="s">
        <v>28</v>
      </c>
      <c r="H444" s="5558" t="s">
        <v>28</v>
      </c>
      <c r="I444" s="5558" t="s">
        <v>875</v>
      </c>
    </row>
    <row customHeight="1" ht="11.25">
      <c r="A445" s="5558" t="s">
        <v>2271</v>
      </c>
      <c r="B445" s="5558" t="s">
        <v>16</v>
      </c>
      <c r="C445" s="5558" t="s">
        <v>2720</v>
      </c>
      <c r="D445" s="5558" t="s">
        <v>2721</v>
      </c>
      <c r="E445" s="5558" t="s">
        <v>2722</v>
      </c>
      <c r="F445" s="5558" t="s">
        <v>2275</v>
      </c>
      <c r="G445" s="5558" t="s">
        <v>28</v>
      </c>
      <c r="H445" s="5558" t="s">
        <v>28</v>
      </c>
      <c r="I445" s="5558" t="s">
        <v>875</v>
      </c>
    </row>
    <row customHeight="1" ht="11.25">
      <c r="A446" s="5558" t="s">
        <v>2271</v>
      </c>
      <c r="B446" s="5558" t="s">
        <v>16</v>
      </c>
      <c r="C446" s="5558" t="s">
        <v>3144</v>
      </c>
      <c r="D446" s="5558" t="s">
        <v>3145</v>
      </c>
      <c r="E446" s="5558" t="s">
        <v>3146</v>
      </c>
      <c r="F446" s="5558" t="s">
        <v>2306</v>
      </c>
      <c r="G446" s="5558" t="s">
        <v>28</v>
      </c>
      <c r="H446" s="5558" t="s">
        <v>28</v>
      </c>
      <c r="I446" s="5558" t="s">
        <v>875</v>
      </c>
    </row>
    <row customHeight="1" ht="11.25">
      <c r="A447" s="5558" t="s">
        <v>2271</v>
      </c>
      <c r="B447" s="5558" t="s">
        <v>16</v>
      </c>
      <c r="C447" s="5558" t="s">
        <v>3147</v>
      </c>
      <c r="D447" s="5558" t="s">
        <v>3148</v>
      </c>
      <c r="E447" s="5558" t="s">
        <v>3149</v>
      </c>
      <c r="F447" s="5558" t="s">
        <v>2280</v>
      </c>
      <c r="G447" s="5558" t="s">
        <v>28</v>
      </c>
      <c r="H447" s="5558" t="s">
        <v>28</v>
      </c>
      <c r="I447" s="5558" t="s">
        <v>875</v>
      </c>
    </row>
    <row customHeight="1" ht="11.25">
      <c r="A448" s="5558" t="s">
        <v>2271</v>
      </c>
      <c r="B448" s="5558" t="s">
        <v>16</v>
      </c>
      <c r="C448" s="5558" t="s">
        <v>2723</v>
      </c>
      <c r="D448" s="5558" t="s">
        <v>2724</v>
      </c>
      <c r="E448" s="5558" t="s">
        <v>2725</v>
      </c>
      <c r="F448" s="5558" t="s">
        <v>2302</v>
      </c>
      <c r="G448" s="5558" t="s">
        <v>2726</v>
      </c>
      <c r="H448" s="5558" t="s">
        <v>28</v>
      </c>
      <c r="I448" s="5558" t="s">
        <v>875</v>
      </c>
    </row>
    <row customHeight="1" ht="11.25">
      <c r="A449" s="5558" t="s">
        <v>2271</v>
      </c>
      <c r="B449" s="5558" t="s">
        <v>16</v>
      </c>
      <c r="C449" s="5558" t="s">
        <v>3150</v>
      </c>
      <c r="D449" s="5558" t="s">
        <v>3151</v>
      </c>
      <c r="E449" s="5558" t="s">
        <v>3152</v>
      </c>
      <c r="F449" s="5558" t="s">
        <v>2354</v>
      </c>
      <c r="G449" s="5558" t="s">
        <v>28</v>
      </c>
      <c r="H449" s="5558" t="s">
        <v>28</v>
      </c>
      <c r="I449" s="5558" t="s">
        <v>875</v>
      </c>
    </row>
    <row customHeight="1" ht="11.25">
      <c r="A450" s="5558" t="s">
        <v>2271</v>
      </c>
      <c r="B450" s="5558" t="s">
        <v>16</v>
      </c>
      <c r="C450" s="5558" t="s">
        <v>2739</v>
      </c>
      <c r="D450" s="5558" t="s">
        <v>2740</v>
      </c>
      <c r="E450" s="5558" t="s">
        <v>2741</v>
      </c>
      <c r="F450" s="5558" t="s">
        <v>2275</v>
      </c>
      <c r="G450" s="5558" t="s">
        <v>28</v>
      </c>
      <c r="H450" s="5558" t="s">
        <v>28</v>
      </c>
      <c r="I450" s="5558" t="s">
        <v>875</v>
      </c>
    </row>
    <row customHeight="1" ht="11.25">
      <c r="A451" s="5558" t="s">
        <v>2271</v>
      </c>
      <c r="B451" s="5558" t="s">
        <v>16</v>
      </c>
      <c r="C451" s="5558" t="s">
        <v>3153</v>
      </c>
      <c r="D451" s="5558" t="s">
        <v>3154</v>
      </c>
      <c r="E451" s="5558" t="s">
        <v>3155</v>
      </c>
      <c r="F451" s="5558" t="s">
        <v>2557</v>
      </c>
      <c r="G451" s="5558" t="s">
        <v>28</v>
      </c>
      <c r="H451" s="5558" t="s">
        <v>28</v>
      </c>
      <c r="I451" s="5558" t="s">
        <v>875</v>
      </c>
    </row>
    <row customHeight="1" ht="11.25">
      <c r="A452" s="5558" t="s">
        <v>2271</v>
      </c>
      <c r="B452" s="5558" t="s">
        <v>16</v>
      </c>
      <c r="C452" s="5558" t="s">
        <v>3156</v>
      </c>
      <c r="D452" s="5558" t="s">
        <v>3157</v>
      </c>
      <c r="E452" s="5558" t="s">
        <v>3158</v>
      </c>
      <c r="F452" s="5558" t="s">
        <v>2838</v>
      </c>
      <c r="G452" s="5558" t="s">
        <v>28</v>
      </c>
      <c r="H452" s="5558" t="s">
        <v>28</v>
      </c>
      <c r="I452" s="5558" t="s">
        <v>875</v>
      </c>
    </row>
    <row customHeight="1" ht="11.25">
      <c r="A453" s="5558" t="s">
        <v>2271</v>
      </c>
      <c r="B453" s="5558" t="s">
        <v>16</v>
      </c>
      <c r="C453" s="5558" t="s">
        <v>3159</v>
      </c>
      <c r="D453" s="5558" t="s">
        <v>3160</v>
      </c>
      <c r="E453" s="5558" t="s">
        <v>3161</v>
      </c>
      <c r="F453" s="5558" t="s">
        <v>2275</v>
      </c>
      <c r="G453" s="5558" t="s">
        <v>3162</v>
      </c>
      <c r="H453" s="5558" t="s">
        <v>28</v>
      </c>
      <c r="I453" s="5558" t="s">
        <v>875</v>
      </c>
    </row>
    <row customHeight="1" ht="11.25">
      <c r="A454" s="5558" t="s">
        <v>2271</v>
      </c>
      <c r="B454" s="5558" t="s">
        <v>16</v>
      </c>
      <c r="C454" s="5558" t="s">
        <v>3163</v>
      </c>
      <c r="D454" s="5558" t="s">
        <v>3164</v>
      </c>
      <c r="E454" s="5558" t="s">
        <v>3165</v>
      </c>
      <c r="F454" s="5558" t="s">
        <v>51</v>
      </c>
      <c r="G454" s="5558" t="s">
        <v>3166</v>
      </c>
      <c r="H454" s="5558" t="s">
        <v>28</v>
      </c>
      <c r="I454" s="5558" t="s">
        <v>875</v>
      </c>
    </row>
    <row customHeight="1" ht="11.25">
      <c r="A455" s="5558" t="s">
        <v>2271</v>
      </c>
      <c r="B455" s="5558" t="s">
        <v>16</v>
      </c>
      <c r="C455" s="5558" t="s">
        <v>3167</v>
      </c>
      <c r="D455" s="5558" t="s">
        <v>3168</v>
      </c>
      <c r="E455" s="5558" t="s">
        <v>3169</v>
      </c>
      <c r="F455" s="5558" t="s">
        <v>2306</v>
      </c>
      <c r="G455" s="5558" t="s">
        <v>28</v>
      </c>
      <c r="H455" s="5558" t="s">
        <v>28</v>
      </c>
      <c r="I455" s="5558" t="s">
        <v>875</v>
      </c>
    </row>
    <row customHeight="1" ht="11.25">
      <c r="A456" s="5558" t="s">
        <v>2271</v>
      </c>
      <c r="B456" s="5558" t="s">
        <v>16</v>
      </c>
      <c r="C456" s="5558" t="s">
        <v>3170</v>
      </c>
      <c r="D456" s="5558" t="s">
        <v>3171</v>
      </c>
      <c r="E456" s="5558" t="s">
        <v>3172</v>
      </c>
      <c r="F456" s="5558" t="s">
        <v>2302</v>
      </c>
      <c r="G456" s="5558" t="s">
        <v>3173</v>
      </c>
      <c r="H456" s="5558" t="s">
        <v>28</v>
      </c>
      <c r="I456" s="5558" t="s">
        <v>875</v>
      </c>
    </row>
    <row customHeight="1" ht="11.25">
      <c r="A457" s="5558" t="s">
        <v>2271</v>
      </c>
      <c r="B457" s="5558" t="s">
        <v>16</v>
      </c>
      <c r="C457" s="5558" t="s">
        <v>3174</v>
      </c>
      <c r="D457" s="5558" t="s">
        <v>3175</v>
      </c>
      <c r="E457" s="5558" t="s">
        <v>3176</v>
      </c>
      <c r="F457" s="5558" t="s">
        <v>2341</v>
      </c>
      <c r="G457" s="5558" t="s">
        <v>3177</v>
      </c>
      <c r="H457" s="5558" t="s">
        <v>28</v>
      </c>
      <c r="I457" s="5558" t="s">
        <v>875</v>
      </c>
    </row>
    <row customHeight="1" ht="11.25">
      <c r="A458" s="5558" t="s">
        <v>2271</v>
      </c>
      <c r="B458" s="5558" t="s">
        <v>16</v>
      </c>
      <c r="C458" s="5558" t="s">
        <v>3178</v>
      </c>
      <c r="D458" s="5558" t="s">
        <v>3179</v>
      </c>
      <c r="E458" s="5558" t="s">
        <v>3180</v>
      </c>
      <c r="F458" s="5558" t="s">
        <v>2306</v>
      </c>
      <c r="G458" s="5558" t="s">
        <v>28</v>
      </c>
      <c r="H458" s="5558" t="s">
        <v>28</v>
      </c>
      <c r="I458" s="5558" t="s">
        <v>875</v>
      </c>
    </row>
    <row customHeight="1" ht="11.25">
      <c r="A459" s="5558" t="s">
        <v>2271</v>
      </c>
      <c r="B459" s="5558" t="s">
        <v>16</v>
      </c>
      <c r="C459" s="5558" t="s">
        <v>2779</v>
      </c>
      <c r="D459" s="5558" t="s">
        <v>2780</v>
      </c>
      <c r="E459" s="5558" t="s">
        <v>2781</v>
      </c>
      <c r="F459" s="5558" t="s">
        <v>2306</v>
      </c>
      <c r="G459" s="5558" t="s">
        <v>2276</v>
      </c>
      <c r="H459" s="5558" t="s">
        <v>28</v>
      </c>
      <c r="I459" s="5558" t="s">
        <v>875</v>
      </c>
    </row>
    <row customHeight="1" ht="11.25">
      <c r="A460" s="5558" t="s">
        <v>2271</v>
      </c>
      <c r="B460" s="5558" t="s">
        <v>16</v>
      </c>
      <c r="C460" s="5558" t="s">
        <v>3181</v>
      </c>
      <c r="D460" s="5558" t="s">
        <v>3182</v>
      </c>
      <c r="E460" s="5558" t="s">
        <v>3183</v>
      </c>
      <c r="F460" s="5558" t="s">
        <v>2280</v>
      </c>
      <c r="G460" s="5558" t="s">
        <v>3184</v>
      </c>
      <c r="H460" s="5558" t="s">
        <v>28</v>
      </c>
      <c r="I460" s="5558" t="s">
        <v>875</v>
      </c>
    </row>
    <row customHeight="1" ht="11.25">
      <c r="A461" s="5558" t="s">
        <v>2271</v>
      </c>
      <c r="B461" s="5558" t="s">
        <v>16</v>
      </c>
      <c r="C461" s="5558" t="s">
        <v>3185</v>
      </c>
      <c r="D461" s="5558" t="s">
        <v>3186</v>
      </c>
      <c r="E461" s="5558" t="s">
        <v>3187</v>
      </c>
      <c r="F461" s="5558" t="s">
        <v>2319</v>
      </c>
      <c r="G461" s="5558" t="s">
        <v>28</v>
      </c>
      <c r="H461" s="5558" t="s">
        <v>28</v>
      </c>
      <c r="I461" s="5558" t="s">
        <v>875</v>
      </c>
    </row>
    <row customHeight="1" ht="11.25">
      <c r="A462" s="5558" t="s">
        <v>2271</v>
      </c>
      <c r="B462" s="5558" t="s">
        <v>16</v>
      </c>
      <c r="C462" s="5558" t="s">
        <v>3188</v>
      </c>
      <c r="D462" s="5558" t="s">
        <v>3189</v>
      </c>
      <c r="E462" s="5558" t="s">
        <v>3190</v>
      </c>
      <c r="F462" s="5558" t="s">
        <v>2425</v>
      </c>
      <c r="G462" s="5558" t="s">
        <v>28</v>
      </c>
      <c r="H462" s="5558" t="s">
        <v>28</v>
      </c>
      <c r="I462" s="5558" t="s">
        <v>875</v>
      </c>
    </row>
    <row customHeight="1" ht="11.25">
      <c r="A463" s="5558" t="s">
        <v>2271</v>
      </c>
      <c r="B463" s="5558" t="s">
        <v>16</v>
      </c>
      <c r="C463" s="5558" t="s">
        <v>3191</v>
      </c>
      <c r="D463" s="5558" t="s">
        <v>3192</v>
      </c>
      <c r="E463" s="5558" t="s">
        <v>3193</v>
      </c>
      <c r="F463" s="5558" t="s">
        <v>2302</v>
      </c>
      <c r="G463" s="5558" t="s">
        <v>3194</v>
      </c>
      <c r="H463" s="5558" t="s">
        <v>28</v>
      </c>
      <c r="I463" s="5558" t="s">
        <v>875</v>
      </c>
    </row>
    <row customHeight="1" ht="11.25">
      <c r="A464" s="5558" t="s">
        <v>2271</v>
      </c>
      <c r="B464" s="5558" t="s">
        <v>16</v>
      </c>
      <c r="C464" s="5558" t="s">
        <v>3195</v>
      </c>
      <c r="D464" s="5558" t="s">
        <v>3196</v>
      </c>
      <c r="E464" s="5558" t="s">
        <v>3197</v>
      </c>
      <c r="F464" s="5558" t="s">
        <v>2815</v>
      </c>
      <c r="G464" s="5558" t="s">
        <v>28</v>
      </c>
      <c r="H464" s="5558" t="s">
        <v>28</v>
      </c>
      <c r="I464" s="5558" t="s">
        <v>875</v>
      </c>
    </row>
    <row customHeight="1" ht="11.25">
      <c r="A465" s="5558" t="s">
        <v>2271</v>
      </c>
      <c r="B465" s="5558" t="s">
        <v>16</v>
      </c>
      <c r="C465" s="5558" t="s">
        <v>3198</v>
      </c>
      <c r="D465" s="5558" t="s">
        <v>3199</v>
      </c>
      <c r="E465" s="5558" t="s">
        <v>3200</v>
      </c>
      <c r="F465" s="5558" t="s">
        <v>51</v>
      </c>
      <c r="G465" s="5558" t="s">
        <v>28</v>
      </c>
      <c r="H465" s="5558" t="s">
        <v>28</v>
      </c>
      <c r="I465" s="5558" t="s">
        <v>875</v>
      </c>
    </row>
    <row customHeight="1" ht="11.25">
      <c r="A466" s="5558" t="s">
        <v>2271</v>
      </c>
      <c r="B466" s="5558" t="s">
        <v>16</v>
      </c>
      <c r="C466" s="5558" t="s">
        <v>3201</v>
      </c>
      <c r="D466" s="5558" t="s">
        <v>3202</v>
      </c>
      <c r="E466" s="5558" t="s">
        <v>3203</v>
      </c>
      <c r="F466" s="5558" t="s">
        <v>2319</v>
      </c>
      <c r="G466" s="5558" t="s">
        <v>28</v>
      </c>
      <c r="H466" s="5558" t="s">
        <v>28</v>
      </c>
      <c r="I466" s="5558" t="s">
        <v>875</v>
      </c>
    </row>
    <row customHeight="1" ht="11.25">
      <c r="A467" s="5558" t="s">
        <v>2271</v>
      </c>
      <c r="B467" s="5558" t="s">
        <v>16</v>
      </c>
      <c r="C467" s="5558" t="s">
        <v>3204</v>
      </c>
      <c r="D467" s="5558" t="s">
        <v>3205</v>
      </c>
      <c r="E467" s="5558" t="s">
        <v>3206</v>
      </c>
      <c r="F467" s="5558" t="s">
        <v>2604</v>
      </c>
      <c r="G467" s="5558" t="s">
        <v>28</v>
      </c>
      <c r="H467" s="5558" t="s">
        <v>28</v>
      </c>
      <c r="I467" s="5558" t="s">
        <v>875</v>
      </c>
    </row>
    <row customHeight="1" ht="11.25">
      <c r="A468" s="5558" t="s">
        <v>2271</v>
      </c>
      <c r="B468" s="5558" t="s">
        <v>16</v>
      </c>
      <c r="C468" s="5558" t="s">
        <v>3207</v>
      </c>
      <c r="D468" s="5558" t="s">
        <v>3208</v>
      </c>
      <c r="E468" s="5558" t="s">
        <v>3209</v>
      </c>
      <c r="F468" s="5558" t="s">
        <v>2425</v>
      </c>
      <c r="G468" s="5558" t="s">
        <v>28</v>
      </c>
      <c r="H468" s="5558" t="s">
        <v>28</v>
      </c>
      <c r="I468" s="5558" t="s">
        <v>875</v>
      </c>
    </row>
    <row customHeight="1" ht="11.25">
      <c r="A469" s="5558" t="s">
        <v>2271</v>
      </c>
      <c r="B469" s="5558" t="s">
        <v>16</v>
      </c>
      <c r="C469" s="5558" t="s">
        <v>3210</v>
      </c>
      <c r="D469" s="5558" t="s">
        <v>2864</v>
      </c>
      <c r="E469" s="5558" t="s">
        <v>3211</v>
      </c>
      <c r="F469" s="5558" t="s">
        <v>2557</v>
      </c>
      <c r="G469" s="5558" t="s">
        <v>28</v>
      </c>
      <c r="H469" s="5558" t="s">
        <v>28</v>
      </c>
      <c r="I469" s="5558" t="s">
        <v>875</v>
      </c>
    </row>
    <row customHeight="1" ht="11.25">
      <c r="A470" s="5558" t="s">
        <v>2271</v>
      </c>
      <c r="B470" s="5558" t="s">
        <v>16</v>
      </c>
      <c r="C470" s="5558" t="s">
        <v>3212</v>
      </c>
      <c r="D470" s="5558" t="s">
        <v>3213</v>
      </c>
      <c r="E470" s="5558" t="s">
        <v>3214</v>
      </c>
      <c r="F470" s="5558" t="s">
        <v>2647</v>
      </c>
      <c r="G470" s="5558" t="s">
        <v>3215</v>
      </c>
      <c r="H470" s="5558" t="s">
        <v>28</v>
      </c>
      <c r="I470" s="5558" t="s">
        <v>875</v>
      </c>
    </row>
    <row customHeight="1" ht="11.25">
      <c r="A471" s="5558" t="s">
        <v>2271</v>
      </c>
      <c r="B471" s="5558" t="s">
        <v>16</v>
      </c>
      <c r="C471" s="5558" t="s">
        <v>2873</v>
      </c>
      <c r="D471" s="5558" t="s">
        <v>2874</v>
      </c>
      <c r="E471" s="5558" t="s">
        <v>2875</v>
      </c>
      <c r="F471" s="5558" t="s">
        <v>2280</v>
      </c>
      <c r="G471" s="5558" t="s">
        <v>28</v>
      </c>
      <c r="H471" s="5558" t="s">
        <v>28</v>
      </c>
      <c r="I471" s="5558" t="s">
        <v>875</v>
      </c>
    </row>
    <row customHeight="1" ht="11.25">
      <c r="A472" s="5558" t="s">
        <v>2271</v>
      </c>
      <c r="B472" s="5558" t="s">
        <v>16</v>
      </c>
      <c r="C472" s="5558" t="s">
        <v>2876</v>
      </c>
      <c r="D472" s="5558" t="s">
        <v>2877</v>
      </c>
      <c r="E472" s="5558" t="s">
        <v>2878</v>
      </c>
      <c r="F472" s="5558" t="s">
        <v>2341</v>
      </c>
      <c r="G472" s="5558" t="s">
        <v>2276</v>
      </c>
      <c r="H472" s="5558" t="s">
        <v>28</v>
      </c>
      <c r="I472" s="5558" t="s">
        <v>875</v>
      </c>
    </row>
    <row customHeight="1" ht="11.25">
      <c r="A473" s="5558" t="s">
        <v>2271</v>
      </c>
      <c r="B473" s="5558" t="s">
        <v>16</v>
      </c>
      <c r="C473" s="5558" t="s">
        <v>3216</v>
      </c>
      <c r="D473" s="5558" t="s">
        <v>3217</v>
      </c>
      <c r="E473" s="5558" t="s">
        <v>3218</v>
      </c>
      <c r="F473" s="5558" t="s">
        <v>2302</v>
      </c>
      <c r="G473" s="5558" t="s">
        <v>28</v>
      </c>
      <c r="H473" s="5558" t="s">
        <v>28</v>
      </c>
      <c r="I473" s="5558" t="s">
        <v>875</v>
      </c>
    </row>
    <row customHeight="1" ht="11.25">
      <c r="A474" s="5558" t="s">
        <v>2271</v>
      </c>
      <c r="B474" s="5558" t="s">
        <v>16</v>
      </c>
      <c r="C474" s="5558" t="s">
        <v>2879</v>
      </c>
      <c r="D474" s="5558" t="s">
        <v>2880</v>
      </c>
      <c r="E474" s="5558" t="s">
        <v>2881</v>
      </c>
      <c r="F474" s="5558" t="s">
        <v>2882</v>
      </c>
      <c r="G474" s="5558" t="s">
        <v>28</v>
      </c>
      <c r="H474" s="5558" t="s">
        <v>28</v>
      </c>
      <c r="I474" s="5558" t="s">
        <v>875</v>
      </c>
    </row>
    <row customHeight="1" ht="11.25">
      <c r="A475" s="5558" t="s">
        <v>2271</v>
      </c>
      <c r="B475" s="5558" t="s">
        <v>16</v>
      </c>
      <c r="C475" s="5558" t="s">
        <v>13</v>
      </c>
      <c r="D475" s="5558" t="s">
        <v>46</v>
      </c>
      <c r="E475" s="5558" t="s">
        <v>49</v>
      </c>
      <c r="F475" s="5558" t="s">
        <v>51</v>
      </c>
      <c r="G475" s="5558" t="s">
        <v>28</v>
      </c>
      <c r="H475" s="5558" t="s">
        <v>28</v>
      </c>
      <c r="I475" s="5558" t="s">
        <v>875</v>
      </c>
    </row>
    <row customHeight="1" ht="11.25">
      <c r="A476" s="5558" t="s">
        <v>2271</v>
      </c>
      <c r="B476" s="5558" t="s">
        <v>16</v>
      </c>
      <c r="C476" s="5558" t="s">
        <v>3219</v>
      </c>
      <c r="D476" s="5558" t="s">
        <v>3220</v>
      </c>
      <c r="E476" s="5558" t="s">
        <v>3221</v>
      </c>
      <c r="F476" s="5558" t="s">
        <v>2600</v>
      </c>
      <c r="G476" s="5558" t="s">
        <v>28</v>
      </c>
      <c r="H476" s="5558" t="s">
        <v>28</v>
      </c>
      <c r="I476" s="5558" t="s">
        <v>875</v>
      </c>
    </row>
    <row customHeight="1" ht="11.25">
      <c r="A477" s="5558" t="s">
        <v>2271</v>
      </c>
      <c r="B477" s="5558" t="s">
        <v>16</v>
      </c>
      <c r="C477" s="5558" t="s">
        <v>2900</v>
      </c>
      <c r="D477" s="5558" t="s">
        <v>2901</v>
      </c>
      <c r="E477" s="5558" t="s">
        <v>2902</v>
      </c>
      <c r="F477" s="5558" t="s">
        <v>2275</v>
      </c>
      <c r="G477" s="5558" t="s">
        <v>28</v>
      </c>
      <c r="H477" s="5558" t="s">
        <v>28</v>
      </c>
      <c r="I477" s="5558" t="s">
        <v>875</v>
      </c>
    </row>
    <row customHeight="1" ht="11.25">
      <c r="A478" s="5558" t="s">
        <v>2271</v>
      </c>
      <c r="B478" s="5558" t="s">
        <v>16</v>
      </c>
      <c r="C478" s="5558" t="s">
        <v>3222</v>
      </c>
      <c r="D478" s="5558" t="s">
        <v>3223</v>
      </c>
      <c r="E478" s="5558" t="s">
        <v>2945</v>
      </c>
      <c r="F478" s="5558" t="s">
        <v>3224</v>
      </c>
      <c r="G478" s="5558" t="s">
        <v>28</v>
      </c>
      <c r="H478" s="5558" t="s">
        <v>28</v>
      </c>
      <c r="I478" s="5558" t="s">
        <v>875</v>
      </c>
    </row>
    <row customHeight="1" ht="11.25">
      <c r="A479" s="5558" t="s">
        <v>2271</v>
      </c>
      <c r="B479" s="5558" t="s">
        <v>16</v>
      </c>
      <c r="C479" s="5558" t="s">
        <v>2912</v>
      </c>
      <c r="D479" s="5558" t="s">
        <v>2913</v>
      </c>
      <c r="E479" s="5558" t="s">
        <v>2914</v>
      </c>
      <c r="F479" s="5558" t="s">
        <v>2354</v>
      </c>
      <c r="G479" s="5558" t="s">
        <v>28</v>
      </c>
      <c r="H479" s="5558" t="s">
        <v>28</v>
      </c>
      <c r="I479" s="5558" t="s">
        <v>875</v>
      </c>
    </row>
    <row customHeight="1" ht="11.25">
      <c r="A480" s="5558" t="s">
        <v>2271</v>
      </c>
      <c r="B480" s="5558" t="s">
        <v>16</v>
      </c>
      <c r="C480" s="5558" t="s">
        <v>2915</v>
      </c>
      <c r="D480" s="5558" t="s">
        <v>2916</v>
      </c>
      <c r="E480" s="5558" t="s">
        <v>2917</v>
      </c>
      <c r="F480" s="5558" t="s">
        <v>2354</v>
      </c>
      <c r="G480" s="5558" t="s">
        <v>28</v>
      </c>
      <c r="H480" s="5558" t="s">
        <v>28</v>
      </c>
      <c r="I480" s="5558" t="s">
        <v>875</v>
      </c>
    </row>
    <row customHeight="1" ht="11.25">
      <c r="A481" s="5558" t="s">
        <v>2271</v>
      </c>
      <c r="B481" s="5558" t="s">
        <v>16</v>
      </c>
      <c r="C481" s="5558" t="s">
        <v>3225</v>
      </c>
      <c r="D481" s="5558" t="s">
        <v>3226</v>
      </c>
      <c r="E481" s="5558" t="s">
        <v>3227</v>
      </c>
      <c r="F481" s="5558" t="s">
        <v>2354</v>
      </c>
      <c r="G481" s="5558" t="s">
        <v>28</v>
      </c>
      <c r="H481" s="5558" t="s">
        <v>28</v>
      </c>
      <c r="I481" s="5558" t="s">
        <v>875</v>
      </c>
    </row>
    <row customHeight="1" ht="11.25">
      <c r="A482" s="5558" t="s">
        <v>2271</v>
      </c>
      <c r="B482" s="5558" t="s">
        <v>16</v>
      </c>
      <c r="C482" s="5558" t="s">
        <v>2921</v>
      </c>
      <c r="D482" s="5558" t="s">
        <v>2922</v>
      </c>
      <c r="E482" s="5558" t="s">
        <v>2923</v>
      </c>
      <c r="F482" s="5558" t="s">
        <v>2924</v>
      </c>
      <c r="G482" s="5558" t="s">
        <v>28</v>
      </c>
      <c r="H482" s="5558" t="s">
        <v>28</v>
      </c>
      <c r="I482" s="5558" t="s">
        <v>875</v>
      </c>
    </row>
    <row customHeight="1" ht="11.25">
      <c r="A483" s="5558" t="s">
        <v>2271</v>
      </c>
      <c r="B483" s="5558" t="s">
        <v>16</v>
      </c>
      <c r="C483" s="5558" t="s">
        <v>3228</v>
      </c>
      <c r="D483" s="5558" t="s">
        <v>3229</v>
      </c>
      <c r="E483" s="5558" t="s">
        <v>2979</v>
      </c>
      <c r="F483" s="5558" t="s">
        <v>3230</v>
      </c>
      <c r="G483" s="5558" t="s">
        <v>28</v>
      </c>
      <c r="H483" s="5558" t="s">
        <v>28</v>
      </c>
      <c r="I483" s="5558" t="s">
        <v>875</v>
      </c>
    </row>
    <row customHeight="1" ht="11.25">
      <c r="A484" s="5558" t="s">
        <v>2271</v>
      </c>
      <c r="B484" s="5558" t="s">
        <v>16</v>
      </c>
      <c r="C484" s="5558" t="s">
        <v>3231</v>
      </c>
      <c r="D484" s="5558" t="s">
        <v>3232</v>
      </c>
      <c r="E484" s="5558" t="s">
        <v>2979</v>
      </c>
      <c r="F484" s="5558" t="s">
        <v>3233</v>
      </c>
      <c r="G484" s="5558" t="s">
        <v>28</v>
      </c>
      <c r="H484" s="5558" t="s">
        <v>28</v>
      </c>
      <c r="I484" s="5558" t="s">
        <v>875</v>
      </c>
    </row>
    <row customHeight="1" ht="11.25">
      <c r="A485" s="5558" t="s">
        <v>2271</v>
      </c>
      <c r="B485" s="5558" t="s">
        <v>16</v>
      </c>
      <c r="C485" s="5558" t="s">
        <v>3234</v>
      </c>
      <c r="D485" s="5558" t="s">
        <v>3235</v>
      </c>
      <c r="E485" s="5558" t="s">
        <v>2979</v>
      </c>
      <c r="F485" s="5558" t="s">
        <v>3236</v>
      </c>
      <c r="G485" s="5558" t="s">
        <v>28</v>
      </c>
      <c r="H485" s="5558" t="s">
        <v>28</v>
      </c>
      <c r="I485" s="5558" t="s">
        <v>875</v>
      </c>
    </row>
    <row customHeight="1" ht="11.25">
      <c r="A486" s="5558" t="s">
        <v>2271</v>
      </c>
      <c r="B486" s="5558" t="s">
        <v>16</v>
      </c>
      <c r="C486" s="5558" t="s">
        <v>2933</v>
      </c>
      <c r="D486" s="5558" t="s">
        <v>2934</v>
      </c>
      <c r="E486" s="5558" t="s">
        <v>2935</v>
      </c>
      <c r="F486" s="5558" t="s">
        <v>2936</v>
      </c>
      <c r="G486" s="5558" t="s">
        <v>28</v>
      </c>
      <c r="H486" s="5558" t="s">
        <v>28</v>
      </c>
      <c r="I486" s="5558" t="s">
        <v>875</v>
      </c>
    </row>
    <row customHeight="1" ht="11.25">
      <c r="A487" s="5558" t="s">
        <v>2271</v>
      </c>
      <c r="B487" s="5558" t="s">
        <v>16</v>
      </c>
      <c r="C487" s="5558" t="s">
        <v>2943</v>
      </c>
      <c r="D487" s="5558" t="s">
        <v>2944</v>
      </c>
      <c r="E487" s="5558" t="s">
        <v>2945</v>
      </c>
      <c r="F487" s="5558" t="s">
        <v>2454</v>
      </c>
      <c r="G487" s="5558" t="s">
        <v>2946</v>
      </c>
      <c r="H487" s="5558" t="s">
        <v>28</v>
      </c>
      <c r="I487" s="5558" t="s">
        <v>875</v>
      </c>
    </row>
    <row customHeight="1" ht="11.25">
      <c r="A488" s="5558" t="s">
        <v>2271</v>
      </c>
      <c r="B488" s="5558" t="s">
        <v>16</v>
      </c>
      <c r="C488" s="5558" t="s">
        <v>2947</v>
      </c>
      <c r="D488" s="5558" t="s">
        <v>2948</v>
      </c>
      <c r="E488" s="5558" t="s">
        <v>2945</v>
      </c>
      <c r="F488" s="5558" t="s">
        <v>2949</v>
      </c>
      <c r="G488" s="5558" t="s">
        <v>28</v>
      </c>
      <c r="H488" s="5558" t="s">
        <v>28</v>
      </c>
      <c r="I488" s="5558" t="s">
        <v>875</v>
      </c>
    </row>
    <row customHeight="1" ht="11.25">
      <c r="A489" s="5558" t="s">
        <v>2271</v>
      </c>
      <c r="B489" s="5558" t="s">
        <v>16</v>
      </c>
      <c r="C489" s="5558" t="s">
        <v>2955</v>
      </c>
      <c r="D489" s="5558" t="s">
        <v>2956</v>
      </c>
      <c r="E489" s="5558" t="s">
        <v>2957</v>
      </c>
      <c r="F489" s="5558" t="s">
        <v>2306</v>
      </c>
      <c r="G489" s="5558" t="s">
        <v>28</v>
      </c>
      <c r="H489" s="5558" t="s">
        <v>28</v>
      </c>
      <c r="I489" s="5558" t="s">
        <v>928</v>
      </c>
    </row>
    <row customHeight="1" ht="11.25">
      <c r="A490" s="5558" t="s">
        <v>2271</v>
      </c>
      <c r="B490" s="5558" t="s">
        <v>16</v>
      </c>
      <c r="C490" s="5558" t="s">
        <v>3237</v>
      </c>
      <c r="D490" s="5558" t="s">
        <v>3238</v>
      </c>
      <c r="E490" s="5558" t="s">
        <v>3239</v>
      </c>
      <c r="F490" s="5558" t="s">
        <v>3240</v>
      </c>
      <c r="G490" s="5558" t="s">
        <v>3241</v>
      </c>
      <c r="H490" s="5558" t="s">
        <v>28</v>
      </c>
      <c r="I490" s="5558" t="s">
        <v>928</v>
      </c>
    </row>
    <row customHeight="1" ht="11.25">
      <c r="A491" s="5558" t="s">
        <v>2271</v>
      </c>
      <c r="B491" s="5558" t="s">
        <v>16</v>
      </c>
      <c r="C491" s="5558" t="s">
        <v>2958</v>
      </c>
      <c r="D491" s="5558" t="s">
        <v>2959</v>
      </c>
      <c r="E491" s="5558" t="s">
        <v>2960</v>
      </c>
      <c r="F491" s="5558" t="s">
        <v>2319</v>
      </c>
      <c r="G491" s="5558" t="s">
        <v>28</v>
      </c>
      <c r="H491" s="5558" t="s">
        <v>28</v>
      </c>
      <c r="I491" s="5558" t="s">
        <v>928</v>
      </c>
    </row>
    <row customHeight="1" ht="11.25">
      <c r="A492" s="5558" t="s">
        <v>2271</v>
      </c>
      <c r="B492" s="5558" t="s">
        <v>16</v>
      </c>
      <c r="C492" s="5558" t="s">
        <v>2277</v>
      </c>
      <c r="D492" s="5558" t="s">
        <v>2278</v>
      </c>
      <c r="E492" s="5558" t="s">
        <v>2279</v>
      </c>
      <c r="F492" s="5558" t="s">
        <v>2280</v>
      </c>
      <c r="G492" s="5558" t="s">
        <v>28</v>
      </c>
      <c r="H492" s="5558" t="s">
        <v>28</v>
      </c>
      <c r="I492" s="5558" t="s">
        <v>928</v>
      </c>
    </row>
    <row customHeight="1" ht="11.25">
      <c r="A493" s="5558" t="s">
        <v>2271</v>
      </c>
      <c r="B493" s="5558" t="s">
        <v>16</v>
      </c>
      <c r="C493" s="5558" t="s">
        <v>2281</v>
      </c>
      <c r="D493" s="5558" t="s">
        <v>2282</v>
      </c>
      <c r="E493" s="5558" t="s">
        <v>2283</v>
      </c>
      <c r="F493" s="5558" t="s">
        <v>2284</v>
      </c>
      <c r="G493" s="5558" t="s">
        <v>28</v>
      </c>
      <c r="H493" s="5558" t="s">
        <v>28</v>
      </c>
      <c r="I493" s="5558" t="s">
        <v>928</v>
      </c>
    </row>
    <row customHeight="1" ht="11.25">
      <c r="A494" s="5558" t="s">
        <v>2271</v>
      </c>
      <c r="B494" s="5558" t="s">
        <v>16</v>
      </c>
      <c r="C494" s="5558" t="s">
        <v>2965</v>
      </c>
      <c r="D494" s="5558" t="s">
        <v>2966</v>
      </c>
      <c r="E494" s="5558" t="s">
        <v>2967</v>
      </c>
      <c r="F494" s="5558" t="s">
        <v>2341</v>
      </c>
      <c r="G494" s="5558" t="s">
        <v>28</v>
      </c>
      <c r="H494" s="5558" t="s">
        <v>28</v>
      </c>
      <c r="I494" s="5558" t="s">
        <v>928</v>
      </c>
    </row>
    <row customHeight="1" ht="11.25">
      <c r="A495" s="5558" t="s">
        <v>2271</v>
      </c>
      <c r="B495" s="5558" t="s">
        <v>16</v>
      </c>
      <c r="C495" s="5558" t="s">
        <v>2289</v>
      </c>
      <c r="D495" s="5558" t="s">
        <v>2290</v>
      </c>
      <c r="E495" s="5558" t="s">
        <v>2291</v>
      </c>
      <c r="F495" s="5558" t="s">
        <v>2292</v>
      </c>
      <c r="G495" s="5558" t="s">
        <v>28</v>
      </c>
      <c r="H495" s="5558" t="s">
        <v>28</v>
      </c>
      <c r="I495" s="5558" t="s">
        <v>928</v>
      </c>
    </row>
    <row customHeight="1" ht="11.25">
      <c r="A496" s="5558" t="s">
        <v>2271</v>
      </c>
      <c r="B496" s="5558" t="s">
        <v>16</v>
      </c>
      <c r="C496" s="5558" t="s">
        <v>2293</v>
      </c>
      <c r="D496" s="5558" t="s">
        <v>2294</v>
      </c>
      <c r="E496" s="5558" t="s">
        <v>2295</v>
      </c>
      <c r="F496" s="5558" t="s">
        <v>2280</v>
      </c>
      <c r="G496" s="5558" t="s">
        <v>28</v>
      </c>
      <c r="H496" s="5558" t="s">
        <v>28</v>
      </c>
      <c r="I496" s="5558" t="s">
        <v>928</v>
      </c>
    </row>
    <row customHeight="1" ht="11.25">
      <c r="A497" s="5558" t="s">
        <v>2271</v>
      </c>
      <c r="B497" s="5558" t="s">
        <v>16</v>
      </c>
      <c r="C497" s="5558" t="s">
        <v>2296</v>
      </c>
      <c r="D497" s="5558" t="s">
        <v>2297</v>
      </c>
      <c r="E497" s="5558" t="s">
        <v>2298</v>
      </c>
      <c r="F497" s="5558" t="s">
        <v>2280</v>
      </c>
      <c r="G497" s="5558" t="s">
        <v>28</v>
      </c>
      <c r="H497" s="5558" t="s">
        <v>28</v>
      </c>
      <c r="I497" s="5558" t="s">
        <v>928</v>
      </c>
    </row>
    <row customHeight="1" ht="11.25">
      <c r="A498" s="5558" t="s">
        <v>2271</v>
      </c>
      <c r="B498" s="5558" t="s">
        <v>16</v>
      </c>
      <c r="C498" s="5558" t="s">
        <v>2977</v>
      </c>
      <c r="D498" s="5558" t="s">
        <v>2978</v>
      </c>
      <c r="E498" s="5558" t="s">
        <v>2979</v>
      </c>
      <c r="F498" s="5558" t="s">
        <v>2280</v>
      </c>
      <c r="G498" s="5558" t="s">
        <v>28</v>
      </c>
      <c r="H498" s="5558" t="s">
        <v>28</v>
      </c>
      <c r="I498" s="5558" t="s">
        <v>928</v>
      </c>
    </row>
    <row customHeight="1" ht="11.25">
      <c r="A499" s="5558" t="s">
        <v>2271</v>
      </c>
      <c r="B499" s="5558" t="s">
        <v>16</v>
      </c>
      <c r="C499" s="5558" t="s">
        <v>2299</v>
      </c>
      <c r="D499" s="5558" t="s">
        <v>2300</v>
      </c>
      <c r="E499" s="5558" t="s">
        <v>2301</v>
      </c>
      <c r="F499" s="5558" t="s">
        <v>2302</v>
      </c>
      <c r="G499" s="5558" t="s">
        <v>2276</v>
      </c>
      <c r="H499" s="5558" t="s">
        <v>28</v>
      </c>
      <c r="I499" s="5558" t="s">
        <v>928</v>
      </c>
    </row>
    <row customHeight="1" ht="11.25">
      <c r="A500" s="5558" t="s">
        <v>2271</v>
      </c>
      <c r="B500" s="5558" t="s">
        <v>16</v>
      </c>
      <c r="C500" s="5558" t="s">
        <v>2303</v>
      </c>
      <c r="D500" s="5558" t="s">
        <v>2304</v>
      </c>
      <c r="E500" s="5558" t="s">
        <v>2305</v>
      </c>
      <c r="F500" s="5558" t="s">
        <v>2306</v>
      </c>
      <c r="G500" s="5558" t="s">
        <v>28</v>
      </c>
      <c r="H500" s="5558" t="s">
        <v>28</v>
      </c>
      <c r="I500" s="5558" t="s">
        <v>928</v>
      </c>
    </row>
    <row customHeight="1" ht="11.25">
      <c r="A501" s="5558" t="s">
        <v>2271</v>
      </c>
      <c r="B501" s="5558" t="s">
        <v>16</v>
      </c>
      <c r="C501" s="5558" t="s">
        <v>2320</v>
      </c>
      <c r="D501" s="5558" t="s">
        <v>2321</v>
      </c>
      <c r="E501" s="5558" t="s">
        <v>2322</v>
      </c>
      <c r="F501" s="5558" t="s">
        <v>2292</v>
      </c>
      <c r="G501" s="5558" t="s">
        <v>28</v>
      </c>
      <c r="H501" s="5558" t="s">
        <v>28</v>
      </c>
      <c r="I501" s="5558" t="s">
        <v>928</v>
      </c>
    </row>
    <row customHeight="1" ht="11.25">
      <c r="A502" s="5558" t="s">
        <v>2271</v>
      </c>
      <c r="B502" s="5558" t="s">
        <v>16</v>
      </c>
      <c r="C502" s="5558" t="s">
        <v>2980</v>
      </c>
      <c r="D502" s="5558" t="s">
        <v>2981</v>
      </c>
      <c r="E502" s="5558" t="s">
        <v>2982</v>
      </c>
      <c r="F502" s="5558" t="s">
        <v>2292</v>
      </c>
      <c r="G502" s="5558" t="s">
        <v>28</v>
      </c>
      <c r="H502" s="5558" t="s">
        <v>28</v>
      </c>
      <c r="I502" s="5558" t="s">
        <v>928</v>
      </c>
    </row>
    <row customHeight="1" ht="11.25">
      <c r="A503" s="5558" t="s">
        <v>2271</v>
      </c>
      <c r="B503" s="5558" t="s">
        <v>16</v>
      </c>
      <c r="C503" s="5558" t="s">
        <v>2983</v>
      </c>
      <c r="D503" s="5558" t="s">
        <v>2984</v>
      </c>
      <c r="E503" s="5558" t="s">
        <v>2985</v>
      </c>
      <c r="F503" s="5558" t="s">
        <v>2319</v>
      </c>
      <c r="G503" s="5558" t="s">
        <v>28</v>
      </c>
      <c r="H503" s="5558" t="s">
        <v>28</v>
      </c>
      <c r="I503" s="5558" t="s">
        <v>928</v>
      </c>
    </row>
    <row customHeight="1" ht="11.25">
      <c r="A504" s="5558" t="s">
        <v>2271</v>
      </c>
      <c r="B504" s="5558" t="s">
        <v>16</v>
      </c>
      <c r="C504" s="5558" t="s">
        <v>2338</v>
      </c>
      <c r="D504" s="5558" t="s">
        <v>2339</v>
      </c>
      <c r="E504" s="5558" t="s">
        <v>2340</v>
      </c>
      <c r="F504" s="5558" t="s">
        <v>2341</v>
      </c>
      <c r="G504" s="5558" t="s">
        <v>28</v>
      </c>
      <c r="H504" s="5558" t="s">
        <v>28</v>
      </c>
      <c r="I504" s="5558" t="s">
        <v>928</v>
      </c>
    </row>
    <row customHeight="1" ht="11.25">
      <c r="A505" s="5558" t="s">
        <v>2271</v>
      </c>
      <c r="B505" s="5558" t="s">
        <v>16</v>
      </c>
      <c r="C505" s="5558" t="s">
        <v>2342</v>
      </c>
      <c r="D505" s="5558" t="s">
        <v>2343</v>
      </c>
      <c r="E505" s="5558" t="s">
        <v>2344</v>
      </c>
      <c r="F505" s="5558" t="s">
        <v>2345</v>
      </c>
      <c r="G505" s="5558" t="s">
        <v>28</v>
      </c>
      <c r="H505" s="5558" t="s">
        <v>28</v>
      </c>
      <c r="I505" s="5558" t="s">
        <v>928</v>
      </c>
    </row>
    <row customHeight="1" ht="11.25">
      <c r="A506" s="5558" t="s">
        <v>2271</v>
      </c>
      <c r="B506" s="5558" t="s">
        <v>16</v>
      </c>
      <c r="C506" s="5558" t="s">
        <v>2351</v>
      </c>
      <c r="D506" s="5558" t="s">
        <v>2352</v>
      </c>
      <c r="E506" s="5558" t="s">
        <v>2353</v>
      </c>
      <c r="F506" s="5558" t="s">
        <v>2354</v>
      </c>
      <c r="G506" s="5558" t="s">
        <v>2276</v>
      </c>
      <c r="H506" s="5558" t="s">
        <v>28</v>
      </c>
      <c r="I506" s="5558" t="s">
        <v>928</v>
      </c>
    </row>
    <row customHeight="1" ht="11.25">
      <c r="A507" s="5558" t="s">
        <v>2271</v>
      </c>
      <c r="B507" s="5558" t="s">
        <v>16</v>
      </c>
      <c r="C507" s="5558" t="s">
        <v>2359</v>
      </c>
      <c r="D507" s="5558" t="s">
        <v>2360</v>
      </c>
      <c r="E507" s="5558" t="s">
        <v>2361</v>
      </c>
      <c r="F507" s="5558" t="s">
        <v>2314</v>
      </c>
      <c r="G507" s="5558" t="s">
        <v>28</v>
      </c>
      <c r="H507" s="5558" t="s">
        <v>28</v>
      </c>
      <c r="I507" s="5558" t="s">
        <v>928</v>
      </c>
    </row>
    <row customHeight="1" ht="11.25">
      <c r="A508" s="5558" t="s">
        <v>2271</v>
      </c>
      <c r="B508" s="5558" t="s">
        <v>16</v>
      </c>
      <c r="C508" s="5558" t="s">
        <v>2375</v>
      </c>
      <c r="D508" s="5558" t="s">
        <v>2376</v>
      </c>
      <c r="E508" s="5558" t="s">
        <v>2283</v>
      </c>
      <c r="F508" s="5558" t="s">
        <v>2377</v>
      </c>
      <c r="G508" s="5558" t="s">
        <v>2378</v>
      </c>
      <c r="H508" s="5558" t="s">
        <v>28</v>
      </c>
      <c r="I508" s="5558" t="s">
        <v>928</v>
      </c>
    </row>
    <row customHeight="1" ht="11.25">
      <c r="A509" s="5558" t="s">
        <v>2271</v>
      </c>
      <c r="B509" s="5558" t="s">
        <v>16</v>
      </c>
      <c r="C509" s="5558" t="s">
        <v>2379</v>
      </c>
      <c r="D509" s="5558" t="s">
        <v>2380</v>
      </c>
      <c r="E509" s="5558" t="s">
        <v>2381</v>
      </c>
      <c r="F509" s="5558" t="s">
        <v>2382</v>
      </c>
      <c r="G509" s="5558" t="s">
        <v>2383</v>
      </c>
      <c r="H509" s="5558" t="s">
        <v>28</v>
      </c>
      <c r="I509" s="5558" t="s">
        <v>928</v>
      </c>
    </row>
    <row customHeight="1" ht="11.25">
      <c r="A510" s="5558" t="s">
        <v>2271</v>
      </c>
      <c r="B510" s="5558" t="s">
        <v>16</v>
      </c>
      <c r="C510" s="5558" t="s">
        <v>2986</v>
      </c>
      <c r="D510" s="5558" t="s">
        <v>2987</v>
      </c>
      <c r="E510" s="5558" t="s">
        <v>2988</v>
      </c>
      <c r="F510" s="5558" t="s">
        <v>2989</v>
      </c>
      <c r="G510" s="5558" t="s">
        <v>28</v>
      </c>
      <c r="H510" s="5558" t="s">
        <v>28</v>
      </c>
      <c r="I510" s="5558" t="s">
        <v>928</v>
      </c>
    </row>
    <row customHeight="1" ht="11.25">
      <c r="A511" s="5558" t="s">
        <v>2271</v>
      </c>
      <c r="B511" s="5558" t="s">
        <v>16</v>
      </c>
      <c r="C511" s="5558" t="s">
        <v>2990</v>
      </c>
      <c r="D511" s="5558" t="s">
        <v>2991</v>
      </c>
      <c r="E511" s="5558" t="s">
        <v>2992</v>
      </c>
      <c r="F511" s="5558" t="s">
        <v>2280</v>
      </c>
      <c r="G511" s="5558" t="s">
        <v>28</v>
      </c>
      <c r="H511" s="5558" t="s">
        <v>28</v>
      </c>
      <c r="I511" s="5558" t="s">
        <v>928</v>
      </c>
    </row>
    <row customHeight="1" ht="11.25">
      <c r="A512" s="5558" t="s">
        <v>2271</v>
      </c>
      <c r="B512" s="5558" t="s">
        <v>16</v>
      </c>
      <c r="C512" s="5558" t="s">
        <v>2993</v>
      </c>
      <c r="D512" s="5558" t="s">
        <v>2994</v>
      </c>
      <c r="E512" s="5558" t="s">
        <v>2995</v>
      </c>
      <c r="F512" s="5558" t="s">
        <v>2815</v>
      </c>
      <c r="G512" s="5558" t="s">
        <v>28</v>
      </c>
      <c r="H512" s="5558" t="s">
        <v>28</v>
      </c>
      <c r="I512" s="5558" t="s">
        <v>928</v>
      </c>
    </row>
    <row customHeight="1" ht="11.25">
      <c r="A513" s="5558" t="s">
        <v>2271</v>
      </c>
      <c r="B513" s="5558" t="s">
        <v>16</v>
      </c>
      <c r="C513" s="5558" t="s">
        <v>2390</v>
      </c>
      <c r="D513" s="5558" t="s">
        <v>2391</v>
      </c>
      <c r="E513" s="5558" t="s">
        <v>2392</v>
      </c>
      <c r="F513" s="5558" t="s">
        <v>2354</v>
      </c>
      <c r="G513" s="5558" t="s">
        <v>28</v>
      </c>
      <c r="H513" s="5558" t="s">
        <v>28</v>
      </c>
      <c r="I513" s="5558" t="s">
        <v>928</v>
      </c>
    </row>
    <row customHeight="1" ht="11.25">
      <c r="A514" s="5558" t="s">
        <v>2271</v>
      </c>
      <c r="B514" s="5558" t="s">
        <v>16</v>
      </c>
      <c r="C514" s="5558" t="s">
        <v>2409</v>
      </c>
      <c r="D514" s="5558" t="s">
        <v>2410</v>
      </c>
      <c r="E514" s="5558" t="s">
        <v>2411</v>
      </c>
      <c r="F514" s="5558" t="s">
        <v>2412</v>
      </c>
      <c r="G514" s="5558" t="s">
        <v>28</v>
      </c>
      <c r="H514" s="5558" t="s">
        <v>28</v>
      </c>
      <c r="I514" s="5558" t="s">
        <v>928</v>
      </c>
    </row>
    <row customHeight="1" ht="11.25">
      <c r="A515" s="5558" t="s">
        <v>2271</v>
      </c>
      <c r="B515" s="5558" t="s">
        <v>16</v>
      </c>
      <c r="C515" s="5558" t="s">
        <v>2996</v>
      </c>
      <c r="D515" s="5558" t="s">
        <v>2997</v>
      </c>
      <c r="E515" s="5558" t="s">
        <v>2998</v>
      </c>
      <c r="F515" s="5558" t="s">
        <v>2275</v>
      </c>
      <c r="G515" s="5558" t="s">
        <v>28</v>
      </c>
      <c r="H515" s="5558" t="s">
        <v>28</v>
      </c>
      <c r="I515" s="5558" t="s">
        <v>928</v>
      </c>
    </row>
    <row customHeight="1" ht="11.25">
      <c r="A516" s="5558" t="s">
        <v>2271</v>
      </c>
      <c r="B516" s="5558" t="s">
        <v>16</v>
      </c>
      <c r="C516" s="5558" t="s">
        <v>2999</v>
      </c>
      <c r="D516" s="5558" t="s">
        <v>3000</v>
      </c>
      <c r="E516" s="5558" t="s">
        <v>3001</v>
      </c>
      <c r="F516" s="5558" t="s">
        <v>2349</v>
      </c>
      <c r="G516" s="5558" t="s">
        <v>28</v>
      </c>
      <c r="H516" s="5558" t="s">
        <v>28</v>
      </c>
      <c r="I516" s="5558" t="s">
        <v>928</v>
      </c>
    </row>
    <row customHeight="1" ht="11.25">
      <c r="A517" s="5558" t="s">
        <v>2271</v>
      </c>
      <c r="B517" s="5558" t="s">
        <v>16</v>
      </c>
      <c r="C517" s="5558" t="s">
        <v>2416</v>
      </c>
      <c r="D517" s="5558" t="s">
        <v>2417</v>
      </c>
      <c r="E517" s="5558" t="s">
        <v>2418</v>
      </c>
      <c r="F517" s="5558" t="s">
        <v>2275</v>
      </c>
      <c r="G517" s="5558" t="s">
        <v>28</v>
      </c>
      <c r="H517" s="5558" t="s">
        <v>28</v>
      </c>
      <c r="I517" s="5558" t="s">
        <v>928</v>
      </c>
    </row>
    <row customHeight="1" ht="11.25">
      <c r="A518" s="5558" t="s">
        <v>2271</v>
      </c>
      <c r="B518" s="5558" t="s">
        <v>16</v>
      </c>
      <c r="C518" s="5558" t="s">
        <v>3002</v>
      </c>
      <c r="D518" s="5558" t="s">
        <v>3003</v>
      </c>
      <c r="E518" s="5558" t="s">
        <v>3004</v>
      </c>
      <c r="F518" s="5558" t="s">
        <v>2275</v>
      </c>
      <c r="G518" s="5558" t="s">
        <v>28</v>
      </c>
      <c r="H518" s="5558" t="s">
        <v>28</v>
      </c>
      <c r="I518" s="5558" t="s">
        <v>928</v>
      </c>
    </row>
    <row customHeight="1" ht="11.25">
      <c r="A519" s="5558" t="s">
        <v>2271</v>
      </c>
      <c r="B519" s="5558" t="s">
        <v>16</v>
      </c>
      <c r="C519" s="5558" t="s">
        <v>3242</v>
      </c>
      <c r="D519" s="5558" t="s">
        <v>3243</v>
      </c>
      <c r="E519" s="5558" t="s">
        <v>3244</v>
      </c>
      <c r="F519" s="5558" t="s">
        <v>2302</v>
      </c>
      <c r="G519" s="5558" t="s">
        <v>28</v>
      </c>
      <c r="H519" s="5558" t="s">
        <v>28</v>
      </c>
      <c r="I519" s="5558" t="s">
        <v>928</v>
      </c>
    </row>
    <row customHeight="1" ht="11.25">
      <c r="A520" s="5558" t="s">
        <v>2271</v>
      </c>
      <c r="B520" s="5558" t="s">
        <v>16</v>
      </c>
      <c r="C520" s="5558" t="s">
        <v>2422</v>
      </c>
      <c r="D520" s="5558" t="s">
        <v>2423</v>
      </c>
      <c r="E520" s="5558" t="s">
        <v>2424</v>
      </c>
      <c r="F520" s="5558" t="s">
        <v>2425</v>
      </c>
      <c r="G520" s="5558" t="s">
        <v>2276</v>
      </c>
      <c r="H520" s="5558" t="s">
        <v>28</v>
      </c>
      <c r="I520" s="5558" t="s">
        <v>928</v>
      </c>
    </row>
    <row customHeight="1" ht="11.25">
      <c r="A521" s="5558" t="s">
        <v>2271</v>
      </c>
      <c r="B521" s="5558" t="s">
        <v>16</v>
      </c>
      <c r="C521" s="5558" t="s">
        <v>3245</v>
      </c>
      <c r="D521" s="5558" t="s">
        <v>3246</v>
      </c>
      <c r="E521" s="5558" t="s">
        <v>3247</v>
      </c>
      <c r="F521" s="5558" t="s">
        <v>597</v>
      </c>
      <c r="G521" s="5558" t="s">
        <v>28</v>
      </c>
      <c r="H521" s="5558" t="s">
        <v>28</v>
      </c>
      <c r="I521" s="5558" t="s">
        <v>928</v>
      </c>
    </row>
    <row customHeight="1" ht="11.25">
      <c r="A522" s="5558" t="s">
        <v>2271</v>
      </c>
      <c r="B522" s="5558" t="s">
        <v>16</v>
      </c>
      <c r="C522" s="5558" t="s">
        <v>28</v>
      </c>
      <c r="D522" s="5558" t="s">
        <v>2426</v>
      </c>
      <c r="E522" s="5558" t="s">
        <v>2427</v>
      </c>
      <c r="F522" s="5558" t="s">
        <v>2412</v>
      </c>
      <c r="G522" s="5558" t="s">
        <v>28</v>
      </c>
      <c r="H522" s="5558" t="s">
        <v>28</v>
      </c>
      <c r="I522" s="5558" t="s">
        <v>928</v>
      </c>
    </row>
    <row customHeight="1" ht="11.25">
      <c r="A523" s="5558" t="s">
        <v>2271</v>
      </c>
      <c r="B523" s="5558" t="s">
        <v>16</v>
      </c>
      <c r="C523" s="5558" t="s">
        <v>2431</v>
      </c>
      <c r="D523" s="5558" t="s">
        <v>2432</v>
      </c>
      <c r="E523" s="5558" t="s">
        <v>2433</v>
      </c>
      <c r="F523" s="5558" t="s">
        <v>2306</v>
      </c>
      <c r="G523" s="5558" t="s">
        <v>28</v>
      </c>
      <c r="H523" s="5558" t="s">
        <v>28</v>
      </c>
      <c r="I523" s="5558" t="s">
        <v>928</v>
      </c>
    </row>
    <row customHeight="1" ht="11.25">
      <c r="A524" s="5558" t="s">
        <v>2271</v>
      </c>
      <c r="B524" s="5558" t="s">
        <v>16</v>
      </c>
      <c r="C524" s="5558" t="s">
        <v>3008</v>
      </c>
      <c r="D524" s="5558" t="s">
        <v>3009</v>
      </c>
      <c r="E524" s="5558" t="s">
        <v>3010</v>
      </c>
      <c r="F524" s="5558" t="s">
        <v>2306</v>
      </c>
      <c r="G524" s="5558" t="s">
        <v>3011</v>
      </c>
      <c r="H524" s="5558" t="s">
        <v>28</v>
      </c>
      <c r="I524" s="5558" t="s">
        <v>928</v>
      </c>
    </row>
    <row customHeight="1" ht="11.25">
      <c r="A525" s="5558" t="s">
        <v>2271</v>
      </c>
      <c r="B525" s="5558" t="s">
        <v>16</v>
      </c>
      <c r="C525" s="5558" t="s">
        <v>2437</v>
      </c>
      <c r="D525" s="5558" t="s">
        <v>2438</v>
      </c>
      <c r="E525" s="5558" t="s">
        <v>2439</v>
      </c>
      <c r="F525" s="5558" t="s">
        <v>2306</v>
      </c>
      <c r="G525" s="5558" t="s">
        <v>28</v>
      </c>
      <c r="H525" s="5558" t="s">
        <v>28</v>
      </c>
      <c r="I525" s="5558" t="s">
        <v>928</v>
      </c>
    </row>
    <row customHeight="1" ht="11.25">
      <c r="A526" s="5558" t="s">
        <v>2271</v>
      </c>
      <c r="B526" s="5558" t="s">
        <v>16</v>
      </c>
      <c r="C526" s="5558" t="s">
        <v>2440</v>
      </c>
      <c r="D526" s="5558" t="s">
        <v>2441</v>
      </c>
      <c r="E526" s="5558" t="s">
        <v>2442</v>
      </c>
      <c r="F526" s="5558" t="s">
        <v>2306</v>
      </c>
      <c r="G526" s="5558" t="s">
        <v>2443</v>
      </c>
      <c r="H526" s="5558" t="s">
        <v>28</v>
      </c>
      <c r="I526" s="5558" t="s">
        <v>928</v>
      </c>
    </row>
    <row customHeight="1" ht="11.25">
      <c r="A527" s="5558" t="s">
        <v>2271</v>
      </c>
      <c r="B527" s="5558" t="s">
        <v>16</v>
      </c>
      <c r="C527" s="5558" t="s">
        <v>2447</v>
      </c>
      <c r="D527" s="5558" t="s">
        <v>2448</v>
      </c>
      <c r="E527" s="5558" t="s">
        <v>2449</v>
      </c>
      <c r="F527" s="5558" t="s">
        <v>2280</v>
      </c>
      <c r="G527" s="5558" t="s">
        <v>2450</v>
      </c>
      <c r="H527" s="5558" t="s">
        <v>28</v>
      </c>
      <c r="I527" s="5558" t="s">
        <v>928</v>
      </c>
    </row>
    <row customHeight="1" ht="11.25">
      <c r="A528" s="5558" t="s">
        <v>2271</v>
      </c>
      <c r="B528" s="5558" t="s">
        <v>16</v>
      </c>
      <c r="C528" s="5558" t="s">
        <v>2455</v>
      </c>
      <c r="D528" s="5558" t="s">
        <v>2456</v>
      </c>
      <c r="E528" s="5558" t="s">
        <v>2457</v>
      </c>
      <c r="F528" s="5558" t="s">
        <v>2306</v>
      </c>
      <c r="G528" s="5558" t="s">
        <v>28</v>
      </c>
      <c r="H528" s="5558" t="s">
        <v>28</v>
      </c>
      <c r="I528" s="5558" t="s">
        <v>928</v>
      </c>
    </row>
    <row customHeight="1" ht="11.25">
      <c r="A529" s="5558" t="s">
        <v>2271</v>
      </c>
      <c r="B529" s="5558" t="s">
        <v>16</v>
      </c>
      <c r="C529" s="5558" t="s">
        <v>2461</v>
      </c>
      <c r="D529" s="5558" t="s">
        <v>2462</v>
      </c>
      <c r="E529" s="5558" t="s">
        <v>2463</v>
      </c>
      <c r="F529" s="5558" t="s">
        <v>2306</v>
      </c>
      <c r="G529" s="5558" t="s">
        <v>28</v>
      </c>
      <c r="H529" s="5558" t="s">
        <v>28</v>
      </c>
      <c r="I529" s="5558" t="s">
        <v>928</v>
      </c>
    </row>
    <row customHeight="1" ht="11.25">
      <c r="A530" s="5558" t="s">
        <v>2271</v>
      </c>
      <c r="B530" s="5558" t="s">
        <v>16</v>
      </c>
      <c r="C530" s="5558" t="s">
        <v>3012</v>
      </c>
      <c r="D530" s="5558" t="s">
        <v>3013</v>
      </c>
      <c r="E530" s="5558" t="s">
        <v>3014</v>
      </c>
      <c r="F530" s="5558" t="s">
        <v>2314</v>
      </c>
      <c r="G530" s="5558" t="s">
        <v>3015</v>
      </c>
      <c r="H530" s="5558" t="s">
        <v>28</v>
      </c>
      <c r="I530" s="5558" t="s">
        <v>928</v>
      </c>
    </row>
    <row customHeight="1" ht="11.25">
      <c r="A531" s="5558" t="s">
        <v>2271</v>
      </c>
      <c r="B531" s="5558" t="s">
        <v>16</v>
      </c>
      <c r="C531" s="5558" t="s">
        <v>2464</v>
      </c>
      <c r="D531" s="5558" t="s">
        <v>2465</v>
      </c>
      <c r="E531" s="5558" t="s">
        <v>2466</v>
      </c>
      <c r="F531" s="5558" t="s">
        <v>2306</v>
      </c>
      <c r="G531" s="5558" t="s">
        <v>28</v>
      </c>
      <c r="H531" s="5558" t="s">
        <v>28</v>
      </c>
      <c r="I531" s="5558" t="s">
        <v>928</v>
      </c>
    </row>
    <row customHeight="1" ht="11.25">
      <c r="A532" s="5558" t="s">
        <v>2271</v>
      </c>
      <c r="B532" s="5558" t="s">
        <v>16</v>
      </c>
      <c r="C532" s="5558" t="s">
        <v>3016</v>
      </c>
      <c r="D532" s="5558" t="s">
        <v>3017</v>
      </c>
      <c r="E532" s="5558" t="s">
        <v>3018</v>
      </c>
      <c r="F532" s="5558" t="s">
        <v>2319</v>
      </c>
      <c r="G532" s="5558" t="s">
        <v>28</v>
      </c>
      <c r="H532" s="5558" t="s">
        <v>28</v>
      </c>
      <c r="I532" s="5558" t="s">
        <v>928</v>
      </c>
    </row>
    <row customHeight="1" ht="11.25">
      <c r="A533" s="5558" t="s">
        <v>2271</v>
      </c>
      <c r="B533" s="5558" t="s">
        <v>16</v>
      </c>
      <c r="C533" s="5558" t="s">
        <v>3019</v>
      </c>
      <c r="D533" s="5558" t="s">
        <v>3020</v>
      </c>
      <c r="E533" s="5558" t="s">
        <v>3021</v>
      </c>
      <c r="F533" s="5558" t="s">
        <v>2280</v>
      </c>
      <c r="G533" s="5558" t="s">
        <v>28</v>
      </c>
      <c r="H533" s="5558" t="s">
        <v>28</v>
      </c>
      <c r="I533" s="5558" t="s">
        <v>928</v>
      </c>
    </row>
    <row customHeight="1" ht="11.25">
      <c r="A534" s="5558" t="s">
        <v>2271</v>
      </c>
      <c r="B534" s="5558" t="s">
        <v>16</v>
      </c>
      <c r="C534" s="5558" t="s">
        <v>3022</v>
      </c>
      <c r="D534" s="5558" t="s">
        <v>3023</v>
      </c>
      <c r="E534" s="5558" t="s">
        <v>3024</v>
      </c>
      <c r="F534" s="5558" t="s">
        <v>2319</v>
      </c>
      <c r="G534" s="5558" t="s">
        <v>28</v>
      </c>
      <c r="H534" s="5558" t="s">
        <v>28</v>
      </c>
      <c r="I534" s="5558" t="s">
        <v>928</v>
      </c>
    </row>
    <row customHeight="1" ht="11.25">
      <c r="A535" s="5558" t="s">
        <v>2271</v>
      </c>
      <c r="B535" s="5558" t="s">
        <v>16</v>
      </c>
      <c r="C535" s="5558" t="s">
        <v>2474</v>
      </c>
      <c r="D535" s="5558" t="s">
        <v>2475</v>
      </c>
      <c r="E535" s="5558" t="s">
        <v>2476</v>
      </c>
      <c r="F535" s="5558" t="s">
        <v>2319</v>
      </c>
      <c r="G535" s="5558" t="s">
        <v>28</v>
      </c>
      <c r="H535" s="5558" t="s">
        <v>28</v>
      </c>
      <c r="I535" s="5558" t="s">
        <v>928</v>
      </c>
    </row>
    <row customHeight="1" ht="11.25">
      <c r="A536" s="5558" t="s">
        <v>2271</v>
      </c>
      <c r="B536" s="5558" t="s">
        <v>16</v>
      </c>
      <c r="C536" s="5558" t="s">
        <v>2477</v>
      </c>
      <c r="D536" s="5558" t="s">
        <v>2478</v>
      </c>
      <c r="E536" s="5558" t="s">
        <v>2479</v>
      </c>
      <c r="F536" s="5558" t="s">
        <v>2306</v>
      </c>
      <c r="G536" s="5558" t="s">
        <v>28</v>
      </c>
      <c r="H536" s="5558" t="s">
        <v>28</v>
      </c>
      <c r="I536" s="5558" t="s">
        <v>928</v>
      </c>
    </row>
    <row customHeight="1" ht="11.25">
      <c r="A537" s="5558" t="s">
        <v>2271</v>
      </c>
      <c r="B537" s="5558" t="s">
        <v>16</v>
      </c>
      <c r="C537" s="5558" t="s">
        <v>2480</v>
      </c>
      <c r="D537" s="5558" t="s">
        <v>2481</v>
      </c>
      <c r="E537" s="5558" t="s">
        <v>2482</v>
      </c>
      <c r="F537" s="5558" t="s">
        <v>2306</v>
      </c>
      <c r="G537" s="5558" t="s">
        <v>28</v>
      </c>
      <c r="H537" s="5558" t="s">
        <v>28</v>
      </c>
      <c r="I537" s="5558" t="s">
        <v>928</v>
      </c>
    </row>
    <row customHeight="1" ht="11.25">
      <c r="A538" s="5558" t="s">
        <v>2271</v>
      </c>
      <c r="B538" s="5558" t="s">
        <v>16</v>
      </c>
      <c r="C538" s="5558" t="s">
        <v>2486</v>
      </c>
      <c r="D538" s="5558" t="s">
        <v>2487</v>
      </c>
      <c r="E538" s="5558" t="s">
        <v>2488</v>
      </c>
      <c r="F538" s="5558" t="s">
        <v>2319</v>
      </c>
      <c r="G538" s="5558" t="s">
        <v>28</v>
      </c>
      <c r="H538" s="5558" t="s">
        <v>28</v>
      </c>
      <c r="I538" s="5558" t="s">
        <v>928</v>
      </c>
    </row>
    <row customHeight="1" ht="11.25">
      <c r="A539" s="5558" t="s">
        <v>2271</v>
      </c>
      <c r="B539" s="5558" t="s">
        <v>16</v>
      </c>
      <c r="C539" s="5558" t="s">
        <v>2498</v>
      </c>
      <c r="D539" s="5558" t="s">
        <v>2499</v>
      </c>
      <c r="E539" s="5558" t="s">
        <v>2500</v>
      </c>
      <c r="F539" s="5558" t="s">
        <v>2292</v>
      </c>
      <c r="G539" s="5558" t="s">
        <v>2501</v>
      </c>
      <c r="H539" s="5558" t="s">
        <v>28</v>
      </c>
      <c r="I539" s="5558" t="s">
        <v>928</v>
      </c>
    </row>
    <row customHeight="1" ht="11.25">
      <c r="A540" s="5558" t="s">
        <v>2271</v>
      </c>
      <c r="B540" s="5558" t="s">
        <v>16</v>
      </c>
      <c r="C540" s="5558" t="s">
        <v>2513</v>
      </c>
      <c r="D540" s="5558" t="s">
        <v>2514</v>
      </c>
      <c r="E540" s="5558" t="s">
        <v>2515</v>
      </c>
      <c r="F540" s="5558" t="s">
        <v>2292</v>
      </c>
      <c r="G540" s="5558" t="s">
        <v>28</v>
      </c>
      <c r="H540" s="5558" t="s">
        <v>28</v>
      </c>
      <c r="I540" s="5558" t="s">
        <v>928</v>
      </c>
    </row>
    <row customHeight="1" ht="11.25">
      <c r="A541" s="5558" t="s">
        <v>2271</v>
      </c>
      <c r="B541" s="5558" t="s">
        <v>16</v>
      </c>
      <c r="C541" s="5558" t="s">
        <v>3248</v>
      </c>
      <c r="D541" s="5558" t="s">
        <v>3249</v>
      </c>
      <c r="E541" s="5558" t="s">
        <v>3250</v>
      </c>
      <c r="F541" s="5558" t="s">
        <v>2306</v>
      </c>
      <c r="G541" s="5558" t="s">
        <v>28</v>
      </c>
      <c r="H541" s="5558" t="s">
        <v>28</v>
      </c>
      <c r="I541" s="5558" t="s">
        <v>928</v>
      </c>
    </row>
    <row customHeight="1" ht="11.25">
      <c r="A542" s="5558" t="s">
        <v>2271</v>
      </c>
      <c r="B542" s="5558" t="s">
        <v>16</v>
      </c>
      <c r="C542" s="5558" t="s">
        <v>2524</v>
      </c>
      <c r="D542" s="5558" t="s">
        <v>2525</v>
      </c>
      <c r="E542" s="5558" t="s">
        <v>2526</v>
      </c>
      <c r="F542" s="5558" t="s">
        <v>2275</v>
      </c>
      <c r="G542" s="5558" t="s">
        <v>28</v>
      </c>
      <c r="H542" s="5558" t="s">
        <v>28</v>
      </c>
      <c r="I542" s="5558" t="s">
        <v>928</v>
      </c>
    </row>
    <row customHeight="1" ht="11.25">
      <c r="A543" s="5558" t="s">
        <v>2271</v>
      </c>
      <c r="B543" s="5558" t="s">
        <v>16</v>
      </c>
      <c r="C543" s="5558" t="s">
        <v>2527</v>
      </c>
      <c r="D543" s="5558" t="s">
        <v>2528</v>
      </c>
      <c r="E543" s="5558" t="s">
        <v>2529</v>
      </c>
      <c r="F543" s="5558" t="s">
        <v>2306</v>
      </c>
      <c r="G543" s="5558" t="s">
        <v>28</v>
      </c>
      <c r="H543" s="5558" t="s">
        <v>28</v>
      </c>
      <c r="I543" s="5558" t="s">
        <v>928</v>
      </c>
    </row>
    <row customHeight="1" ht="11.25">
      <c r="A544" s="5558" t="s">
        <v>2271</v>
      </c>
      <c r="B544" s="5558" t="s">
        <v>16</v>
      </c>
      <c r="C544" s="5558" t="s">
        <v>3025</v>
      </c>
      <c r="D544" s="5558" t="s">
        <v>3026</v>
      </c>
      <c r="E544" s="5558" t="s">
        <v>3027</v>
      </c>
      <c r="F544" s="5558" t="s">
        <v>2275</v>
      </c>
      <c r="G544" s="5558" t="s">
        <v>28</v>
      </c>
      <c r="H544" s="5558" t="s">
        <v>28</v>
      </c>
      <c r="I544" s="5558" t="s">
        <v>928</v>
      </c>
    </row>
    <row customHeight="1" ht="11.25">
      <c r="A545" s="5558" t="s">
        <v>2271</v>
      </c>
      <c r="B545" s="5558" t="s">
        <v>16</v>
      </c>
      <c r="C545" s="5558" t="s">
        <v>3028</v>
      </c>
      <c r="D545" s="5558" t="s">
        <v>3029</v>
      </c>
      <c r="E545" s="5558" t="s">
        <v>3030</v>
      </c>
      <c r="F545" s="5558" t="s">
        <v>2302</v>
      </c>
      <c r="G545" s="5558" t="s">
        <v>28</v>
      </c>
      <c r="H545" s="5558" t="s">
        <v>28</v>
      </c>
      <c r="I545" s="5558" t="s">
        <v>928</v>
      </c>
    </row>
    <row customHeight="1" ht="11.25">
      <c r="A546" s="5558" t="s">
        <v>2271</v>
      </c>
      <c r="B546" s="5558" t="s">
        <v>16</v>
      </c>
      <c r="C546" s="5558" t="s">
        <v>3031</v>
      </c>
      <c r="D546" s="5558" t="s">
        <v>3032</v>
      </c>
      <c r="E546" s="5558" t="s">
        <v>3033</v>
      </c>
      <c r="F546" s="5558" t="s">
        <v>2280</v>
      </c>
      <c r="G546" s="5558" t="s">
        <v>28</v>
      </c>
      <c r="H546" s="5558" t="s">
        <v>28</v>
      </c>
      <c r="I546" s="5558" t="s">
        <v>928</v>
      </c>
    </row>
    <row customHeight="1" ht="11.25">
      <c r="A547" s="5558" t="s">
        <v>2271</v>
      </c>
      <c r="B547" s="5558" t="s">
        <v>16</v>
      </c>
      <c r="C547" s="5558" t="s">
        <v>2533</v>
      </c>
      <c r="D547" s="5558" t="s">
        <v>2534</v>
      </c>
      <c r="E547" s="5558" t="s">
        <v>2535</v>
      </c>
      <c r="F547" s="5558" t="s">
        <v>2536</v>
      </c>
      <c r="G547" s="5558" t="s">
        <v>2537</v>
      </c>
      <c r="H547" s="5558" t="s">
        <v>28</v>
      </c>
      <c r="I547" s="5558" t="s">
        <v>928</v>
      </c>
    </row>
    <row customHeight="1" ht="11.25">
      <c r="A548" s="5558" t="s">
        <v>2271</v>
      </c>
      <c r="B548" s="5558" t="s">
        <v>16</v>
      </c>
      <c r="C548" s="5558" t="s">
        <v>2541</v>
      </c>
      <c r="D548" s="5558" t="s">
        <v>2542</v>
      </c>
      <c r="E548" s="5558" t="s">
        <v>2543</v>
      </c>
      <c r="F548" s="5558" t="s">
        <v>2302</v>
      </c>
      <c r="G548" s="5558" t="s">
        <v>28</v>
      </c>
      <c r="H548" s="5558" t="s">
        <v>28</v>
      </c>
      <c r="I548" s="5558" t="s">
        <v>928</v>
      </c>
    </row>
    <row customHeight="1" ht="11.25">
      <c r="A549" s="5558" t="s">
        <v>2271</v>
      </c>
      <c r="B549" s="5558" t="s">
        <v>16</v>
      </c>
      <c r="C549" s="5558" t="s">
        <v>2551</v>
      </c>
      <c r="D549" s="5558" t="s">
        <v>2552</v>
      </c>
      <c r="E549" s="5558" t="s">
        <v>2553</v>
      </c>
      <c r="F549" s="5558" t="s">
        <v>2425</v>
      </c>
      <c r="G549" s="5558" t="s">
        <v>28</v>
      </c>
      <c r="H549" s="5558" t="s">
        <v>28</v>
      </c>
      <c r="I549" s="5558" t="s">
        <v>928</v>
      </c>
    </row>
    <row customHeight="1" ht="11.25">
      <c r="A550" s="5558" t="s">
        <v>2271</v>
      </c>
      <c r="B550" s="5558" t="s">
        <v>16</v>
      </c>
      <c r="C550" s="5558" t="s">
        <v>3040</v>
      </c>
      <c r="D550" s="5558" t="s">
        <v>3041</v>
      </c>
      <c r="E550" s="5558" t="s">
        <v>3042</v>
      </c>
      <c r="F550" s="5558" t="s">
        <v>2275</v>
      </c>
      <c r="G550" s="5558" t="s">
        <v>28</v>
      </c>
      <c r="H550" s="5558" t="s">
        <v>28</v>
      </c>
      <c r="I550" s="5558" t="s">
        <v>928</v>
      </c>
    </row>
    <row customHeight="1" ht="11.25">
      <c r="A551" s="5558" t="s">
        <v>2271</v>
      </c>
      <c r="B551" s="5558" t="s">
        <v>16</v>
      </c>
      <c r="C551" s="5558" t="s">
        <v>3043</v>
      </c>
      <c r="D551" s="5558" t="s">
        <v>3044</v>
      </c>
      <c r="E551" s="5558" t="s">
        <v>3045</v>
      </c>
      <c r="F551" s="5558" t="s">
        <v>2354</v>
      </c>
      <c r="G551" s="5558" t="s">
        <v>3046</v>
      </c>
      <c r="H551" s="5558" t="s">
        <v>28</v>
      </c>
      <c r="I551" s="5558" t="s">
        <v>928</v>
      </c>
    </row>
    <row customHeight="1" ht="11.25">
      <c r="A552" s="5558" t="s">
        <v>2271</v>
      </c>
      <c r="B552" s="5558" t="s">
        <v>16</v>
      </c>
      <c r="C552" s="5558" t="s">
        <v>3047</v>
      </c>
      <c r="D552" s="5558" t="s">
        <v>3048</v>
      </c>
      <c r="E552" s="5558" t="s">
        <v>3049</v>
      </c>
      <c r="F552" s="5558" t="s">
        <v>2319</v>
      </c>
      <c r="G552" s="5558" t="s">
        <v>28</v>
      </c>
      <c r="H552" s="5558" t="s">
        <v>28</v>
      </c>
      <c r="I552" s="5558" t="s">
        <v>928</v>
      </c>
    </row>
    <row customHeight="1" ht="11.25">
      <c r="A553" s="5558" t="s">
        <v>2271</v>
      </c>
      <c r="B553" s="5558" t="s">
        <v>16</v>
      </c>
      <c r="C553" s="5558" t="s">
        <v>2950</v>
      </c>
      <c r="D553" s="5558" t="s">
        <v>2951</v>
      </c>
      <c r="E553" s="5558" t="s">
        <v>2952</v>
      </c>
      <c r="F553" s="5558" t="s">
        <v>2306</v>
      </c>
      <c r="G553" s="5558" t="s">
        <v>28</v>
      </c>
      <c r="H553" s="5558" t="s">
        <v>28</v>
      </c>
      <c r="I553" s="5558" t="s">
        <v>928</v>
      </c>
    </row>
    <row customHeight="1" ht="11.25">
      <c r="A554" s="5558" t="s">
        <v>2271</v>
      </c>
      <c r="B554" s="5558" t="s">
        <v>16</v>
      </c>
      <c r="C554" s="5558" t="s">
        <v>3050</v>
      </c>
      <c r="D554" s="5558" t="s">
        <v>3051</v>
      </c>
      <c r="E554" s="5558" t="s">
        <v>3052</v>
      </c>
      <c r="F554" s="5558" t="s">
        <v>2319</v>
      </c>
      <c r="G554" s="5558" t="s">
        <v>28</v>
      </c>
      <c r="H554" s="5558" t="s">
        <v>28</v>
      </c>
      <c r="I554" s="5558" t="s">
        <v>928</v>
      </c>
    </row>
    <row customHeight="1" ht="11.25">
      <c r="A555" s="5558" t="s">
        <v>2271</v>
      </c>
      <c r="B555" s="5558" t="s">
        <v>16</v>
      </c>
      <c r="C555" s="5558" t="s">
        <v>3053</v>
      </c>
      <c r="D555" s="5558" t="s">
        <v>3054</v>
      </c>
      <c r="E555" s="5558" t="s">
        <v>3055</v>
      </c>
      <c r="F555" s="5558" t="s">
        <v>2319</v>
      </c>
      <c r="G555" s="5558" t="s">
        <v>3056</v>
      </c>
      <c r="H555" s="5558" t="s">
        <v>28</v>
      </c>
      <c r="I555" s="5558" t="s">
        <v>928</v>
      </c>
    </row>
    <row customHeight="1" ht="11.25">
      <c r="A556" s="5558" t="s">
        <v>2271</v>
      </c>
      <c r="B556" s="5558" t="s">
        <v>16</v>
      </c>
      <c r="C556" s="5558" t="s">
        <v>3057</v>
      </c>
      <c r="D556" s="5558" t="s">
        <v>3058</v>
      </c>
      <c r="E556" s="5558" t="s">
        <v>3059</v>
      </c>
      <c r="F556" s="5558" t="s">
        <v>2319</v>
      </c>
      <c r="G556" s="5558" t="s">
        <v>28</v>
      </c>
      <c r="H556" s="5558" t="s">
        <v>28</v>
      </c>
      <c r="I556" s="5558" t="s">
        <v>928</v>
      </c>
    </row>
    <row customHeight="1" ht="11.25">
      <c r="A557" s="5558" t="s">
        <v>2271</v>
      </c>
      <c r="B557" s="5558" t="s">
        <v>16</v>
      </c>
      <c r="C557" s="5558" t="s">
        <v>2566</v>
      </c>
      <c r="D557" s="5558" t="s">
        <v>2567</v>
      </c>
      <c r="E557" s="5558" t="s">
        <v>2568</v>
      </c>
      <c r="F557" s="5558" t="s">
        <v>2306</v>
      </c>
      <c r="G557" s="5558" t="s">
        <v>2569</v>
      </c>
      <c r="H557" s="5558" t="s">
        <v>28</v>
      </c>
      <c r="I557" s="5558" t="s">
        <v>928</v>
      </c>
    </row>
    <row customHeight="1" ht="11.25">
      <c r="A558" s="5558" t="s">
        <v>2271</v>
      </c>
      <c r="B558" s="5558" t="s">
        <v>16</v>
      </c>
      <c r="C558" s="5558" t="s">
        <v>3060</v>
      </c>
      <c r="D558" s="5558" t="s">
        <v>3061</v>
      </c>
      <c r="E558" s="5558" t="s">
        <v>3062</v>
      </c>
      <c r="F558" s="5558" t="s">
        <v>2275</v>
      </c>
      <c r="G558" s="5558" t="s">
        <v>28</v>
      </c>
      <c r="H558" s="5558" t="s">
        <v>28</v>
      </c>
      <c r="I558" s="5558" t="s">
        <v>928</v>
      </c>
    </row>
    <row customHeight="1" ht="11.25">
      <c r="A559" s="5558" t="s">
        <v>2271</v>
      </c>
      <c r="B559" s="5558" t="s">
        <v>16</v>
      </c>
      <c r="C559" s="5558" t="s">
        <v>3063</v>
      </c>
      <c r="D559" s="5558" t="s">
        <v>3064</v>
      </c>
      <c r="E559" s="5558" t="s">
        <v>3065</v>
      </c>
      <c r="F559" s="5558" t="s">
        <v>2319</v>
      </c>
      <c r="G559" s="5558" t="s">
        <v>28</v>
      </c>
      <c r="H559" s="5558" t="s">
        <v>28</v>
      </c>
      <c r="I559" s="5558" t="s">
        <v>928</v>
      </c>
    </row>
    <row customHeight="1" ht="11.25">
      <c r="A560" s="5558" t="s">
        <v>2271</v>
      </c>
      <c r="B560" s="5558" t="s">
        <v>16</v>
      </c>
      <c r="C560" s="5558" t="s">
        <v>3066</v>
      </c>
      <c r="D560" s="5558" t="s">
        <v>3067</v>
      </c>
      <c r="E560" s="5558" t="s">
        <v>3068</v>
      </c>
      <c r="F560" s="5558" t="s">
        <v>2319</v>
      </c>
      <c r="G560" s="5558" t="s">
        <v>28</v>
      </c>
      <c r="H560" s="5558" t="s">
        <v>28</v>
      </c>
      <c r="I560" s="5558" t="s">
        <v>928</v>
      </c>
    </row>
    <row customHeight="1" ht="11.25">
      <c r="A561" s="5558" t="s">
        <v>2271</v>
      </c>
      <c r="B561" s="5558" t="s">
        <v>16</v>
      </c>
      <c r="C561" s="5558" t="s">
        <v>2576</v>
      </c>
      <c r="D561" s="5558" t="s">
        <v>2577</v>
      </c>
      <c r="E561" s="5558" t="s">
        <v>2578</v>
      </c>
      <c r="F561" s="5558" t="s">
        <v>2512</v>
      </c>
      <c r="G561" s="5558" t="s">
        <v>28</v>
      </c>
      <c r="H561" s="5558" t="s">
        <v>28</v>
      </c>
      <c r="I561" s="5558" t="s">
        <v>928</v>
      </c>
    </row>
    <row customHeight="1" ht="11.25">
      <c r="A562" s="5558" t="s">
        <v>2271</v>
      </c>
      <c r="B562" s="5558" t="s">
        <v>16</v>
      </c>
      <c r="C562" s="5558" t="s">
        <v>3069</v>
      </c>
      <c r="D562" s="5558" t="s">
        <v>2577</v>
      </c>
      <c r="E562" s="5558" t="s">
        <v>3070</v>
      </c>
      <c r="F562" s="5558" t="s">
        <v>2600</v>
      </c>
      <c r="G562" s="5558" t="s">
        <v>28</v>
      </c>
      <c r="H562" s="5558" t="s">
        <v>28</v>
      </c>
      <c r="I562" s="5558" t="s">
        <v>928</v>
      </c>
    </row>
    <row customHeight="1" ht="11.25">
      <c r="A563" s="5558" t="s">
        <v>2271</v>
      </c>
      <c r="B563" s="5558" t="s">
        <v>16</v>
      </c>
      <c r="C563" s="5558" t="s">
        <v>3251</v>
      </c>
      <c r="D563" s="5558" t="s">
        <v>3252</v>
      </c>
      <c r="E563" s="5558" t="s">
        <v>3253</v>
      </c>
      <c r="F563" s="5558" t="s">
        <v>2354</v>
      </c>
      <c r="G563" s="5558" t="s">
        <v>28</v>
      </c>
      <c r="H563" s="5558" t="s">
        <v>28</v>
      </c>
      <c r="I563" s="5558" t="s">
        <v>928</v>
      </c>
    </row>
    <row customHeight="1" ht="11.25">
      <c r="A564" s="5558" t="s">
        <v>2271</v>
      </c>
      <c r="B564" s="5558" t="s">
        <v>16</v>
      </c>
      <c r="C564" s="5558" t="s">
        <v>2579</v>
      </c>
      <c r="D564" s="5558" t="s">
        <v>2580</v>
      </c>
      <c r="E564" s="5558" t="s">
        <v>2581</v>
      </c>
      <c r="F564" s="5558" t="s">
        <v>2306</v>
      </c>
      <c r="G564" s="5558" t="s">
        <v>2582</v>
      </c>
      <c r="H564" s="5558" t="s">
        <v>28</v>
      </c>
      <c r="I564" s="5558" t="s">
        <v>928</v>
      </c>
    </row>
    <row customHeight="1" ht="11.25">
      <c r="A565" s="5558" t="s">
        <v>2271</v>
      </c>
      <c r="B565" s="5558" t="s">
        <v>16</v>
      </c>
      <c r="C565" s="5558" t="s">
        <v>2583</v>
      </c>
      <c r="D565" s="5558" t="s">
        <v>2584</v>
      </c>
      <c r="E565" s="5558" t="s">
        <v>2585</v>
      </c>
      <c r="F565" s="5558" t="s">
        <v>2275</v>
      </c>
      <c r="G565" s="5558" t="s">
        <v>2586</v>
      </c>
      <c r="H565" s="5558" t="s">
        <v>28</v>
      </c>
      <c r="I565" s="5558" t="s">
        <v>928</v>
      </c>
    </row>
    <row customHeight="1" ht="11.25">
      <c r="A566" s="5558" t="s">
        <v>2271</v>
      </c>
      <c r="B566" s="5558" t="s">
        <v>16</v>
      </c>
      <c r="C566" s="5558" t="s">
        <v>2597</v>
      </c>
      <c r="D566" s="5558" t="s">
        <v>2598</v>
      </c>
      <c r="E566" s="5558" t="s">
        <v>2599</v>
      </c>
      <c r="F566" s="5558" t="s">
        <v>2600</v>
      </c>
      <c r="G566" s="5558" t="s">
        <v>28</v>
      </c>
      <c r="H566" s="5558" t="s">
        <v>28</v>
      </c>
      <c r="I566" s="5558" t="s">
        <v>928</v>
      </c>
    </row>
    <row customHeight="1" ht="11.25">
      <c r="A567" s="5558" t="s">
        <v>2271</v>
      </c>
      <c r="B567" s="5558" t="s">
        <v>16</v>
      </c>
      <c r="C567" s="5558" t="s">
        <v>2601</v>
      </c>
      <c r="D567" s="5558" t="s">
        <v>2602</v>
      </c>
      <c r="E567" s="5558" t="s">
        <v>2603</v>
      </c>
      <c r="F567" s="5558" t="s">
        <v>2604</v>
      </c>
      <c r="G567" s="5558" t="s">
        <v>28</v>
      </c>
      <c r="H567" s="5558" t="s">
        <v>28</v>
      </c>
      <c r="I567" s="5558" t="s">
        <v>928</v>
      </c>
    </row>
    <row customHeight="1" ht="11.25">
      <c r="A568" s="5558" t="s">
        <v>2271</v>
      </c>
      <c r="B568" s="5558" t="s">
        <v>16</v>
      </c>
      <c r="C568" s="5558" t="s">
        <v>3071</v>
      </c>
      <c r="D568" s="5558" t="s">
        <v>3072</v>
      </c>
      <c r="E568" s="5558" t="s">
        <v>3073</v>
      </c>
      <c r="F568" s="5558" t="s">
        <v>2358</v>
      </c>
      <c r="G568" s="5558" t="s">
        <v>28</v>
      </c>
      <c r="H568" s="5558" t="s">
        <v>28</v>
      </c>
      <c r="I568" s="5558" t="s">
        <v>928</v>
      </c>
    </row>
    <row customHeight="1" ht="11.25">
      <c r="A569" s="5558" t="s">
        <v>2271</v>
      </c>
      <c r="B569" s="5558" t="s">
        <v>16</v>
      </c>
      <c r="C569" s="5558" t="s">
        <v>2611</v>
      </c>
      <c r="D569" s="5558" t="s">
        <v>2612</v>
      </c>
      <c r="E569" s="5558" t="s">
        <v>2613</v>
      </c>
      <c r="F569" s="5558" t="s">
        <v>2341</v>
      </c>
      <c r="G569" s="5558" t="s">
        <v>28</v>
      </c>
      <c r="H569" s="5558" t="s">
        <v>28</v>
      </c>
      <c r="I569" s="5558" t="s">
        <v>928</v>
      </c>
    </row>
    <row customHeight="1" ht="11.25">
      <c r="A570" s="5558" t="s">
        <v>2271</v>
      </c>
      <c r="B570" s="5558" t="s">
        <v>16</v>
      </c>
      <c r="C570" s="5558" t="s">
        <v>3074</v>
      </c>
      <c r="D570" s="5558" t="s">
        <v>3075</v>
      </c>
      <c r="E570" s="5558" t="s">
        <v>3076</v>
      </c>
      <c r="F570" s="5558" t="s">
        <v>2280</v>
      </c>
      <c r="G570" s="5558" t="s">
        <v>3077</v>
      </c>
      <c r="H570" s="5558" t="s">
        <v>28</v>
      </c>
      <c r="I570" s="5558" t="s">
        <v>928</v>
      </c>
    </row>
    <row customHeight="1" ht="11.25">
      <c r="A571" s="5558" t="s">
        <v>2271</v>
      </c>
      <c r="B571" s="5558" t="s">
        <v>16</v>
      </c>
      <c r="C571" s="5558" t="s">
        <v>3254</v>
      </c>
      <c r="D571" s="5558" t="s">
        <v>3255</v>
      </c>
      <c r="E571" s="5558" t="s">
        <v>3256</v>
      </c>
      <c r="F571" s="5558" t="s">
        <v>2354</v>
      </c>
      <c r="G571" s="5558" t="s">
        <v>28</v>
      </c>
      <c r="H571" s="5558" t="s">
        <v>28</v>
      </c>
      <c r="I571" s="5558" t="s">
        <v>928</v>
      </c>
    </row>
    <row customHeight="1" ht="11.25">
      <c r="A572" s="5558" t="s">
        <v>2271</v>
      </c>
      <c r="B572" s="5558" t="s">
        <v>16</v>
      </c>
      <c r="C572" s="5558" t="s">
        <v>3078</v>
      </c>
      <c r="D572" s="5558" t="s">
        <v>3079</v>
      </c>
      <c r="E572" s="5558" t="s">
        <v>3080</v>
      </c>
      <c r="F572" s="5558" t="s">
        <v>2425</v>
      </c>
      <c r="G572" s="5558" t="s">
        <v>28</v>
      </c>
      <c r="H572" s="5558" t="s">
        <v>28</v>
      </c>
      <c r="I572" s="5558" t="s">
        <v>928</v>
      </c>
    </row>
    <row customHeight="1" ht="11.25">
      <c r="A573" s="5558" t="s">
        <v>2271</v>
      </c>
      <c r="B573" s="5558" t="s">
        <v>16</v>
      </c>
      <c r="C573" s="5558" t="s">
        <v>3081</v>
      </c>
      <c r="D573" s="5558" t="s">
        <v>3082</v>
      </c>
      <c r="E573" s="5558" t="s">
        <v>3083</v>
      </c>
      <c r="F573" s="5558" t="s">
        <v>2341</v>
      </c>
      <c r="G573" s="5558" t="s">
        <v>3084</v>
      </c>
      <c r="H573" s="5558" t="s">
        <v>28</v>
      </c>
      <c r="I573" s="5558" t="s">
        <v>928</v>
      </c>
    </row>
    <row customHeight="1" ht="11.25">
      <c r="A574" s="5558" t="s">
        <v>2271</v>
      </c>
      <c r="B574" s="5558" t="s">
        <v>16</v>
      </c>
      <c r="C574" s="5558" t="s">
        <v>3257</v>
      </c>
      <c r="D574" s="5558" t="s">
        <v>3258</v>
      </c>
      <c r="E574" s="5558" t="s">
        <v>3259</v>
      </c>
      <c r="F574" s="5558" t="s">
        <v>3260</v>
      </c>
      <c r="G574" s="5558" t="s">
        <v>3261</v>
      </c>
      <c r="H574" s="5558" t="s">
        <v>28</v>
      </c>
      <c r="I574" s="5558" t="s">
        <v>928</v>
      </c>
    </row>
    <row customHeight="1" ht="11.25">
      <c r="A575" s="5558" t="s">
        <v>2271</v>
      </c>
      <c r="B575" s="5558" t="s">
        <v>16</v>
      </c>
      <c r="C575" s="5558" t="s">
        <v>3262</v>
      </c>
      <c r="D575" s="5558" t="s">
        <v>3263</v>
      </c>
      <c r="E575" s="5558" t="s">
        <v>3264</v>
      </c>
      <c r="F575" s="5558" t="s">
        <v>2306</v>
      </c>
      <c r="G575" s="5558" t="s">
        <v>28</v>
      </c>
      <c r="H575" s="5558" t="s">
        <v>28</v>
      </c>
      <c r="I575" s="5558" t="s">
        <v>928</v>
      </c>
    </row>
    <row customHeight="1" ht="11.25">
      <c r="A576" s="5558" t="s">
        <v>2271</v>
      </c>
      <c r="B576" s="5558" t="s">
        <v>16</v>
      </c>
      <c r="C576" s="5558" t="s">
        <v>3085</v>
      </c>
      <c r="D576" s="5558" t="s">
        <v>3086</v>
      </c>
      <c r="E576" s="5558" t="s">
        <v>3087</v>
      </c>
      <c r="F576" s="5558" t="s">
        <v>2407</v>
      </c>
      <c r="G576" s="5558" t="s">
        <v>28</v>
      </c>
      <c r="H576" s="5558" t="s">
        <v>28</v>
      </c>
      <c r="I576" s="5558" t="s">
        <v>928</v>
      </c>
    </row>
    <row customHeight="1" ht="11.25">
      <c r="A577" s="5558" t="s">
        <v>2271</v>
      </c>
      <c r="B577" s="5558" t="s">
        <v>16</v>
      </c>
      <c r="C577" s="5558" t="s">
        <v>2627</v>
      </c>
      <c r="D577" s="5558" t="s">
        <v>2628</v>
      </c>
      <c r="E577" s="5558" t="s">
        <v>2629</v>
      </c>
      <c r="F577" s="5558" t="s">
        <v>2302</v>
      </c>
      <c r="G577" s="5558" t="s">
        <v>2276</v>
      </c>
      <c r="H577" s="5558" t="s">
        <v>28</v>
      </c>
      <c r="I577" s="5558" t="s">
        <v>928</v>
      </c>
    </row>
    <row customHeight="1" ht="11.25">
      <c r="A578" s="5558" t="s">
        <v>2271</v>
      </c>
      <c r="B578" s="5558" t="s">
        <v>16</v>
      </c>
      <c r="C578" s="5558" t="s">
        <v>3088</v>
      </c>
      <c r="D578" s="5558" t="s">
        <v>3089</v>
      </c>
      <c r="E578" s="5558" t="s">
        <v>3090</v>
      </c>
      <c r="F578" s="5558" t="s">
        <v>51</v>
      </c>
      <c r="G578" s="5558" t="s">
        <v>28</v>
      </c>
      <c r="H578" s="5558" t="s">
        <v>28</v>
      </c>
      <c r="I578" s="5558" t="s">
        <v>928</v>
      </c>
    </row>
    <row customHeight="1" ht="11.25">
      <c r="A579" s="5558" t="s">
        <v>2271</v>
      </c>
      <c r="B579" s="5558" t="s">
        <v>16</v>
      </c>
      <c r="C579" s="5558" t="s">
        <v>3265</v>
      </c>
      <c r="D579" s="5558" t="s">
        <v>3266</v>
      </c>
      <c r="E579" s="5558" t="s">
        <v>3267</v>
      </c>
      <c r="F579" s="5558" t="s">
        <v>2292</v>
      </c>
      <c r="G579" s="5558" t="s">
        <v>28</v>
      </c>
      <c r="H579" s="5558" t="s">
        <v>28</v>
      </c>
      <c r="I579" s="5558" t="s">
        <v>928</v>
      </c>
    </row>
    <row customHeight="1" ht="11.25">
      <c r="A580" s="5558" t="s">
        <v>2271</v>
      </c>
      <c r="B580" s="5558" t="s">
        <v>16</v>
      </c>
      <c r="C580" s="5558" t="s">
        <v>3091</v>
      </c>
      <c r="D580" s="5558" t="s">
        <v>3092</v>
      </c>
      <c r="E580" s="5558" t="s">
        <v>3093</v>
      </c>
      <c r="F580" s="5558" t="s">
        <v>2306</v>
      </c>
      <c r="G580" s="5558" t="s">
        <v>28</v>
      </c>
      <c r="H580" s="5558" t="s">
        <v>28</v>
      </c>
      <c r="I580" s="5558" t="s">
        <v>928</v>
      </c>
    </row>
    <row customHeight="1" ht="11.25">
      <c r="A581" s="5558" t="s">
        <v>2271</v>
      </c>
      <c r="B581" s="5558" t="s">
        <v>16</v>
      </c>
      <c r="C581" s="5558" t="s">
        <v>2640</v>
      </c>
      <c r="D581" s="5558" t="s">
        <v>2641</v>
      </c>
      <c r="E581" s="5558" t="s">
        <v>2642</v>
      </c>
      <c r="F581" s="5558" t="s">
        <v>2292</v>
      </c>
      <c r="G581" s="5558" t="s">
        <v>2643</v>
      </c>
      <c r="H581" s="5558" t="s">
        <v>28</v>
      </c>
      <c r="I581" s="5558" t="s">
        <v>928</v>
      </c>
    </row>
    <row customHeight="1" ht="11.25">
      <c r="A582" s="5558" t="s">
        <v>2271</v>
      </c>
      <c r="B582" s="5558" t="s">
        <v>16</v>
      </c>
      <c r="C582" s="5558" t="s">
        <v>3268</v>
      </c>
      <c r="D582" s="5558" t="s">
        <v>3269</v>
      </c>
      <c r="E582" s="5558" t="s">
        <v>3270</v>
      </c>
      <c r="F582" s="5558" t="s">
        <v>2341</v>
      </c>
      <c r="G582" s="5558" t="s">
        <v>28</v>
      </c>
      <c r="H582" s="5558" t="s">
        <v>28</v>
      </c>
      <c r="I582" s="5558" t="s">
        <v>928</v>
      </c>
    </row>
    <row customHeight="1" ht="11.25">
      <c r="A583" s="5558" t="s">
        <v>2271</v>
      </c>
      <c r="B583" s="5558" t="s">
        <v>16</v>
      </c>
      <c r="C583" s="5558" t="s">
        <v>3097</v>
      </c>
      <c r="D583" s="5558" t="s">
        <v>3098</v>
      </c>
      <c r="E583" s="5558" t="s">
        <v>3099</v>
      </c>
      <c r="F583" s="5558" t="s">
        <v>2306</v>
      </c>
      <c r="G583" s="5558" t="s">
        <v>28</v>
      </c>
      <c r="H583" s="5558" t="s">
        <v>28</v>
      </c>
      <c r="I583" s="5558" t="s">
        <v>928</v>
      </c>
    </row>
    <row customHeight="1" ht="11.25">
      <c r="A584" s="5558" t="s">
        <v>2271</v>
      </c>
      <c r="B584" s="5558" t="s">
        <v>16</v>
      </c>
      <c r="C584" s="5558" t="s">
        <v>3100</v>
      </c>
      <c r="D584" s="5558" t="s">
        <v>3101</v>
      </c>
      <c r="E584" s="5558" t="s">
        <v>3102</v>
      </c>
      <c r="F584" s="5558" t="s">
        <v>2341</v>
      </c>
      <c r="G584" s="5558" t="s">
        <v>2593</v>
      </c>
      <c r="H584" s="5558" t="s">
        <v>28</v>
      </c>
      <c r="I584" s="5558" t="s">
        <v>928</v>
      </c>
    </row>
    <row customHeight="1" ht="11.25">
      <c r="A585" s="5558" t="s">
        <v>2271</v>
      </c>
      <c r="B585" s="5558" t="s">
        <v>16</v>
      </c>
      <c r="C585" s="5558" t="s">
        <v>2653</v>
      </c>
      <c r="D585" s="5558" t="s">
        <v>2654</v>
      </c>
      <c r="E585" s="5558" t="s">
        <v>2655</v>
      </c>
      <c r="F585" s="5558" t="s">
        <v>2306</v>
      </c>
      <c r="G585" s="5558" t="s">
        <v>28</v>
      </c>
      <c r="H585" s="5558" t="s">
        <v>28</v>
      </c>
      <c r="I585" s="5558" t="s">
        <v>928</v>
      </c>
    </row>
    <row customHeight="1" ht="11.25">
      <c r="A586" s="5558" t="s">
        <v>2271</v>
      </c>
      <c r="B586" s="5558" t="s">
        <v>16</v>
      </c>
      <c r="C586" s="5558" t="s">
        <v>3103</v>
      </c>
      <c r="D586" s="5558" t="s">
        <v>3104</v>
      </c>
      <c r="E586" s="5558" t="s">
        <v>3105</v>
      </c>
      <c r="F586" s="5558" t="s">
        <v>2292</v>
      </c>
      <c r="G586" s="5558" t="s">
        <v>3106</v>
      </c>
      <c r="H586" s="5558" t="s">
        <v>28</v>
      </c>
      <c r="I586" s="5558" t="s">
        <v>928</v>
      </c>
    </row>
    <row customHeight="1" ht="11.25">
      <c r="A587" s="5558" t="s">
        <v>2271</v>
      </c>
      <c r="B587" s="5558" t="s">
        <v>16</v>
      </c>
      <c r="C587" s="5558" t="s">
        <v>2667</v>
      </c>
      <c r="D587" s="5558" t="s">
        <v>2668</v>
      </c>
      <c r="E587" s="5558" t="s">
        <v>2669</v>
      </c>
      <c r="F587" s="5558" t="s">
        <v>2425</v>
      </c>
      <c r="G587" s="5558" t="s">
        <v>2670</v>
      </c>
      <c r="H587" s="5558" t="s">
        <v>28</v>
      </c>
      <c r="I587" s="5558" t="s">
        <v>928</v>
      </c>
    </row>
    <row customHeight="1" ht="11.25">
      <c r="A588" s="5558" t="s">
        <v>2271</v>
      </c>
      <c r="B588" s="5558" t="s">
        <v>16</v>
      </c>
      <c r="C588" s="5558" t="s">
        <v>2674</v>
      </c>
      <c r="D588" s="5558" t="s">
        <v>2675</v>
      </c>
      <c r="E588" s="5558" t="s">
        <v>2676</v>
      </c>
      <c r="F588" s="5558" t="s">
        <v>2275</v>
      </c>
      <c r="G588" s="5558" t="s">
        <v>28</v>
      </c>
      <c r="H588" s="5558" t="s">
        <v>28</v>
      </c>
      <c r="I588" s="5558" t="s">
        <v>928</v>
      </c>
    </row>
    <row customHeight="1" ht="11.25">
      <c r="A589" s="5558" t="s">
        <v>2271</v>
      </c>
      <c r="B589" s="5558" t="s">
        <v>16</v>
      </c>
      <c r="C589" s="5558" t="s">
        <v>2680</v>
      </c>
      <c r="D589" s="5558" t="s">
        <v>2681</v>
      </c>
      <c r="E589" s="5558" t="s">
        <v>2682</v>
      </c>
      <c r="F589" s="5558" t="s">
        <v>2314</v>
      </c>
      <c r="G589" s="5558" t="s">
        <v>2276</v>
      </c>
      <c r="H589" s="5558" t="s">
        <v>28</v>
      </c>
      <c r="I589" s="5558" t="s">
        <v>928</v>
      </c>
    </row>
    <row customHeight="1" ht="11.25">
      <c r="A590" s="5558" t="s">
        <v>2271</v>
      </c>
      <c r="B590" s="5558" t="s">
        <v>16</v>
      </c>
      <c r="C590" s="5558" t="s">
        <v>3113</v>
      </c>
      <c r="D590" s="5558" t="s">
        <v>3114</v>
      </c>
      <c r="E590" s="5558" t="s">
        <v>3115</v>
      </c>
      <c r="F590" s="5558" t="s">
        <v>2306</v>
      </c>
      <c r="G590" s="5558" t="s">
        <v>28</v>
      </c>
      <c r="H590" s="5558" t="s">
        <v>28</v>
      </c>
      <c r="I590" s="5558" t="s">
        <v>928</v>
      </c>
    </row>
    <row customHeight="1" ht="11.25">
      <c r="A591" s="5558" t="s">
        <v>2271</v>
      </c>
      <c r="B591" s="5558" t="s">
        <v>16</v>
      </c>
      <c r="C591" s="5558" t="s">
        <v>3271</v>
      </c>
      <c r="D591" s="5558" t="s">
        <v>3272</v>
      </c>
      <c r="E591" s="5558" t="s">
        <v>3273</v>
      </c>
      <c r="F591" s="5558" t="s">
        <v>2292</v>
      </c>
      <c r="G591" s="5558" t="s">
        <v>28</v>
      </c>
      <c r="H591" s="5558" t="s">
        <v>28</v>
      </c>
      <c r="I591" s="5558" t="s">
        <v>928</v>
      </c>
    </row>
    <row customHeight="1" ht="11.25">
      <c r="A592" s="5558" t="s">
        <v>2271</v>
      </c>
      <c r="B592" s="5558" t="s">
        <v>16</v>
      </c>
      <c r="C592" s="5558" t="s">
        <v>3116</v>
      </c>
      <c r="D592" s="5558" t="s">
        <v>3117</v>
      </c>
      <c r="E592" s="5558" t="s">
        <v>3118</v>
      </c>
      <c r="F592" s="5558" t="s">
        <v>2306</v>
      </c>
      <c r="G592" s="5558" t="s">
        <v>3119</v>
      </c>
      <c r="H592" s="5558" t="s">
        <v>28</v>
      </c>
      <c r="I592" s="5558" t="s">
        <v>928</v>
      </c>
    </row>
    <row customHeight="1" ht="11.25">
      <c r="A593" s="5558" t="s">
        <v>2271</v>
      </c>
      <c r="B593" s="5558" t="s">
        <v>16</v>
      </c>
      <c r="C593" s="5558" t="s">
        <v>3120</v>
      </c>
      <c r="D593" s="5558" t="s">
        <v>3121</v>
      </c>
      <c r="E593" s="5558" t="s">
        <v>3122</v>
      </c>
      <c r="F593" s="5558" t="s">
        <v>2302</v>
      </c>
      <c r="G593" s="5558" t="s">
        <v>3123</v>
      </c>
      <c r="H593" s="5558" t="s">
        <v>28</v>
      </c>
      <c r="I593" s="5558" t="s">
        <v>928</v>
      </c>
    </row>
    <row customHeight="1" ht="11.25">
      <c r="A594" s="5558" t="s">
        <v>2271</v>
      </c>
      <c r="B594" s="5558" t="s">
        <v>16</v>
      </c>
      <c r="C594" s="5558" t="s">
        <v>3127</v>
      </c>
      <c r="D594" s="5558" t="s">
        <v>3128</v>
      </c>
      <c r="E594" s="5558" t="s">
        <v>3129</v>
      </c>
      <c r="F594" s="5558" t="s">
        <v>51</v>
      </c>
      <c r="G594" s="5558" t="s">
        <v>3130</v>
      </c>
      <c r="H594" s="5558" t="s">
        <v>28</v>
      </c>
      <c r="I594" s="5558" t="s">
        <v>928</v>
      </c>
    </row>
    <row customHeight="1" ht="11.25">
      <c r="A595" s="5558" t="s">
        <v>2271</v>
      </c>
      <c r="B595" s="5558" t="s">
        <v>16</v>
      </c>
      <c r="C595" s="5558" t="s">
        <v>3274</v>
      </c>
      <c r="D595" s="5558" t="s">
        <v>3275</v>
      </c>
      <c r="E595" s="5558" t="s">
        <v>3276</v>
      </c>
      <c r="F595" s="5558" t="s">
        <v>2292</v>
      </c>
      <c r="G595" s="5558" t="s">
        <v>28</v>
      </c>
      <c r="H595" s="5558" t="s">
        <v>28</v>
      </c>
      <c r="I595" s="5558" t="s">
        <v>928</v>
      </c>
    </row>
    <row customHeight="1" ht="11.25">
      <c r="A596" s="5558" t="s">
        <v>2271</v>
      </c>
      <c r="B596" s="5558" t="s">
        <v>16</v>
      </c>
      <c r="C596" s="5558" t="s">
        <v>3131</v>
      </c>
      <c r="D596" s="5558" t="s">
        <v>3132</v>
      </c>
      <c r="E596" s="5558" t="s">
        <v>3133</v>
      </c>
      <c r="F596" s="5558" t="s">
        <v>2354</v>
      </c>
      <c r="G596" s="5558" t="s">
        <v>3134</v>
      </c>
      <c r="H596" s="5558" t="s">
        <v>28</v>
      </c>
      <c r="I596" s="5558" t="s">
        <v>928</v>
      </c>
    </row>
    <row customHeight="1" ht="11.25">
      <c r="A597" s="5558" t="s">
        <v>2271</v>
      </c>
      <c r="B597" s="5558" t="s">
        <v>16</v>
      </c>
      <c r="C597" s="5558" t="s">
        <v>3135</v>
      </c>
      <c r="D597" s="5558" t="s">
        <v>3136</v>
      </c>
      <c r="E597" s="5558" t="s">
        <v>3137</v>
      </c>
      <c r="F597" s="5558" t="s">
        <v>2425</v>
      </c>
      <c r="G597" s="5558" t="s">
        <v>28</v>
      </c>
      <c r="H597" s="5558" t="s">
        <v>28</v>
      </c>
      <c r="I597" s="5558" t="s">
        <v>928</v>
      </c>
    </row>
    <row customHeight="1" ht="11.25">
      <c r="A598" s="5558" t="s">
        <v>2271</v>
      </c>
      <c r="B598" s="5558" t="s">
        <v>16</v>
      </c>
      <c r="C598" s="5558" t="s">
        <v>3138</v>
      </c>
      <c r="D598" s="5558" t="s">
        <v>3139</v>
      </c>
      <c r="E598" s="5558" t="s">
        <v>3140</v>
      </c>
      <c r="F598" s="5558" t="s">
        <v>2306</v>
      </c>
      <c r="G598" s="5558" t="s">
        <v>3084</v>
      </c>
      <c r="H598" s="5558" t="s">
        <v>28</v>
      </c>
      <c r="I598" s="5558" t="s">
        <v>928</v>
      </c>
    </row>
    <row customHeight="1" ht="11.25">
      <c r="A599" s="5558" t="s">
        <v>2271</v>
      </c>
      <c r="B599" s="5558" t="s">
        <v>16</v>
      </c>
      <c r="C599" s="5558" t="s">
        <v>2713</v>
      </c>
      <c r="D599" s="5558" t="s">
        <v>2714</v>
      </c>
      <c r="E599" s="5558" t="s">
        <v>2715</v>
      </c>
      <c r="F599" s="5558" t="s">
        <v>2306</v>
      </c>
      <c r="G599" s="5558" t="s">
        <v>28</v>
      </c>
      <c r="H599" s="5558" t="s">
        <v>28</v>
      </c>
      <c r="I599" s="5558" t="s">
        <v>928</v>
      </c>
    </row>
    <row customHeight="1" ht="11.25">
      <c r="A600" s="5558" t="s">
        <v>2271</v>
      </c>
      <c r="B600" s="5558" t="s">
        <v>16</v>
      </c>
      <c r="C600" s="5558" t="s">
        <v>3277</v>
      </c>
      <c r="D600" s="5558" t="s">
        <v>3278</v>
      </c>
      <c r="E600" s="5558" t="s">
        <v>3279</v>
      </c>
      <c r="F600" s="5558" t="s">
        <v>2341</v>
      </c>
      <c r="G600" s="5558" t="s">
        <v>3280</v>
      </c>
      <c r="H600" s="5558" t="s">
        <v>28</v>
      </c>
      <c r="I600" s="5558" t="s">
        <v>928</v>
      </c>
    </row>
    <row customHeight="1" ht="11.25">
      <c r="A601" s="5558" t="s">
        <v>2271</v>
      </c>
      <c r="B601" s="5558" t="s">
        <v>16</v>
      </c>
      <c r="C601" s="5558" t="s">
        <v>2720</v>
      </c>
      <c r="D601" s="5558" t="s">
        <v>2721</v>
      </c>
      <c r="E601" s="5558" t="s">
        <v>2722</v>
      </c>
      <c r="F601" s="5558" t="s">
        <v>2275</v>
      </c>
      <c r="G601" s="5558" t="s">
        <v>28</v>
      </c>
      <c r="H601" s="5558" t="s">
        <v>28</v>
      </c>
      <c r="I601" s="5558" t="s">
        <v>928</v>
      </c>
    </row>
    <row customHeight="1" ht="11.25">
      <c r="A602" s="5558" t="s">
        <v>2271</v>
      </c>
      <c r="B602" s="5558" t="s">
        <v>16</v>
      </c>
      <c r="C602" s="5558" t="s">
        <v>3147</v>
      </c>
      <c r="D602" s="5558" t="s">
        <v>3148</v>
      </c>
      <c r="E602" s="5558" t="s">
        <v>3149</v>
      </c>
      <c r="F602" s="5558" t="s">
        <v>2280</v>
      </c>
      <c r="G602" s="5558" t="s">
        <v>28</v>
      </c>
      <c r="H602" s="5558" t="s">
        <v>28</v>
      </c>
      <c r="I602" s="5558" t="s">
        <v>928</v>
      </c>
    </row>
    <row customHeight="1" ht="11.25">
      <c r="A603" s="5558" t="s">
        <v>2271</v>
      </c>
      <c r="B603" s="5558" t="s">
        <v>16</v>
      </c>
      <c r="C603" s="5558" t="s">
        <v>2723</v>
      </c>
      <c r="D603" s="5558" t="s">
        <v>2724</v>
      </c>
      <c r="E603" s="5558" t="s">
        <v>2725</v>
      </c>
      <c r="F603" s="5558" t="s">
        <v>2302</v>
      </c>
      <c r="G603" s="5558" t="s">
        <v>2726</v>
      </c>
      <c r="H603" s="5558" t="s">
        <v>28</v>
      </c>
      <c r="I603" s="5558" t="s">
        <v>928</v>
      </c>
    </row>
    <row customHeight="1" ht="11.25">
      <c r="A604" s="5558" t="s">
        <v>2271</v>
      </c>
      <c r="B604" s="5558" t="s">
        <v>16</v>
      </c>
      <c r="C604" s="5558" t="s">
        <v>3150</v>
      </c>
      <c r="D604" s="5558" t="s">
        <v>3151</v>
      </c>
      <c r="E604" s="5558" t="s">
        <v>3152</v>
      </c>
      <c r="F604" s="5558" t="s">
        <v>2354</v>
      </c>
      <c r="G604" s="5558" t="s">
        <v>28</v>
      </c>
      <c r="H604" s="5558" t="s">
        <v>28</v>
      </c>
      <c r="I604" s="5558" t="s">
        <v>928</v>
      </c>
    </row>
    <row customHeight="1" ht="11.25">
      <c r="A605" s="5558" t="s">
        <v>2271</v>
      </c>
      <c r="B605" s="5558" t="s">
        <v>16</v>
      </c>
      <c r="C605" s="5558" t="s">
        <v>2739</v>
      </c>
      <c r="D605" s="5558" t="s">
        <v>2740</v>
      </c>
      <c r="E605" s="5558" t="s">
        <v>2741</v>
      </c>
      <c r="F605" s="5558" t="s">
        <v>2275</v>
      </c>
      <c r="G605" s="5558" t="s">
        <v>28</v>
      </c>
      <c r="H605" s="5558" t="s">
        <v>28</v>
      </c>
      <c r="I605" s="5558" t="s">
        <v>928</v>
      </c>
    </row>
    <row customHeight="1" ht="11.25">
      <c r="A606" s="5558" t="s">
        <v>2271</v>
      </c>
      <c r="B606" s="5558" t="s">
        <v>16</v>
      </c>
      <c r="C606" s="5558" t="s">
        <v>3153</v>
      </c>
      <c r="D606" s="5558" t="s">
        <v>3154</v>
      </c>
      <c r="E606" s="5558" t="s">
        <v>3155</v>
      </c>
      <c r="F606" s="5558" t="s">
        <v>2557</v>
      </c>
      <c r="G606" s="5558" t="s">
        <v>28</v>
      </c>
      <c r="H606" s="5558" t="s">
        <v>28</v>
      </c>
      <c r="I606" s="5558" t="s">
        <v>928</v>
      </c>
    </row>
    <row customHeight="1" ht="11.25">
      <c r="A607" s="5558" t="s">
        <v>2271</v>
      </c>
      <c r="B607" s="5558" t="s">
        <v>16</v>
      </c>
      <c r="C607" s="5558" t="s">
        <v>3159</v>
      </c>
      <c r="D607" s="5558" t="s">
        <v>3160</v>
      </c>
      <c r="E607" s="5558" t="s">
        <v>3161</v>
      </c>
      <c r="F607" s="5558" t="s">
        <v>2275</v>
      </c>
      <c r="G607" s="5558" t="s">
        <v>3162</v>
      </c>
      <c r="H607" s="5558" t="s">
        <v>28</v>
      </c>
      <c r="I607" s="5558" t="s">
        <v>928</v>
      </c>
    </row>
    <row customHeight="1" ht="11.25">
      <c r="A608" s="5558" t="s">
        <v>2271</v>
      </c>
      <c r="B608" s="5558" t="s">
        <v>16</v>
      </c>
      <c r="C608" s="5558" t="s">
        <v>3163</v>
      </c>
      <c r="D608" s="5558" t="s">
        <v>3164</v>
      </c>
      <c r="E608" s="5558" t="s">
        <v>3165</v>
      </c>
      <c r="F608" s="5558" t="s">
        <v>51</v>
      </c>
      <c r="G608" s="5558" t="s">
        <v>3166</v>
      </c>
      <c r="H608" s="5558" t="s">
        <v>28</v>
      </c>
      <c r="I608" s="5558" t="s">
        <v>928</v>
      </c>
    </row>
    <row customHeight="1" ht="11.25">
      <c r="A609" s="5558" t="s">
        <v>2271</v>
      </c>
      <c r="B609" s="5558" t="s">
        <v>16</v>
      </c>
      <c r="C609" s="5558" t="s">
        <v>3167</v>
      </c>
      <c r="D609" s="5558" t="s">
        <v>3168</v>
      </c>
      <c r="E609" s="5558" t="s">
        <v>3169</v>
      </c>
      <c r="F609" s="5558" t="s">
        <v>2306</v>
      </c>
      <c r="G609" s="5558" t="s">
        <v>28</v>
      </c>
      <c r="H609" s="5558" t="s">
        <v>28</v>
      </c>
      <c r="I609" s="5558" t="s">
        <v>928</v>
      </c>
    </row>
    <row customHeight="1" ht="11.25">
      <c r="A610" s="5558" t="s">
        <v>2271</v>
      </c>
      <c r="B610" s="5558" t="s">
        <v>16</v>
      </c>
      <c r="C610" s="5558" t="s">
        <v>3170</v>
      </c>
      <c r="D610" s="5558" t="s">
        <v>3171</v>
      </c>
      <c r="E610" s="5558" t="s">
        <v>3172</v>
      </c>
      <c r="F610" s="5558" t="s">
        <v>2302</v>
      </c>
      <c r="G610" s="5558" t="s">
        <v>3173</v>
      </c>
      <c r="H610" s="5558" t="s">
        <v>28</v>
      </c>
      <c r="I610" s="5558" t="s">
        <v>928</v>
      </c>
    </row>
    <row customHeight="1" ht="11.25">
      <c r="A611" s="5558" t="s">
        <v>2271</v>
      </c>
      <c r="B611" s="5558" t="s">
        <v>16</v>
      </c>
      <c r="C611" s="5558" t="s">
        <v>3174</v>
      </c>
      <c r="D611" s="5558" t="s">
        <v>3175</v>
      </c>
      <c r="E611" s="5558" t="s">
        <v>3176</v>
      </c>
      <c r="F611" s="5558" t="s">
        <v>2341</v>
      </c>
      <c r="G611" s="5558" t="s">
        <v>3177</v>
      </c>
      <c r="H611" s="5558" t="s">
        <v>28</v>
      </c>
      <c r="I611" s="5558" t="s">
        <v>928</v>
      </c>
    </row>
    <row customHeight="1" ht="11.25">
      <c r="A612" s="5558" t="s">
        <v>2271</v>
      </c>
      <c r="B612" s="5558" t="s">
        <v>16</v>
      </c>
      <c r="C612" s="5558" t="s">
        <v>3178</v>
      </c>
      <c r="D612" s="5558" t="s">
        <v>3179</v>
      </c>
      <c r="E612" s="5558" t="s">
        <v>3180</v>
      </c>
      <c r="F612" s="5558" t="s">
        <v>2306</v>
      </c>
      <c r="G612" s="5558" t="s">
        <v>28</v>
      </c>
      <c r="H612" s="5558" t="s">
        <v>28</v>
      </c>
      <c r="I612" s="5558" t="s">
        <v>928</v>
      </c>
    </row>
    <row customHeight="1" ht="11.25">
      <c r="A613" s="5558" t="s">
        <v>2271</v>
      </c>
      <c r="B613" s="5558" t="s">
        <v>16</v>
      </c>
      <c r="C613" s="5558" t="s">
        <v>2779</v>
      </c>
      <c r="D613" s="5558" t="s">
        <v>2780</v>
      </c>
      <c r="E613" s="5558" t="s">
        <v>2781</v>
      </c>
      <c r="F613" s="5558" t="s">
        <v>2306</v>
      </c>
      <c r="G613" s="5558" t="s">
        <v>2276</v>
      </c>
      <c r="H613" s="5558" t="s">
        <v>28</v>
      </c>
      <c r="I613" s="5558" t="s">
        <v>928</v>
      </c>
    </row>
    <row customHeight="1" ht="11.25">
      <c r="A614" s="5558" t="s">
        <v>2271</v>
      </c>
      <c r="B614" s="5558" t="s">
        <v>16</v>
      </c>
      <c r="C614" s="5558" t="s">
        <v>3281</v>
      </c>
      <c r="D614" s="5558" t="s">
        <v>3282</v>
      </c>
      <c r="E614" s="5558" t="s">
        <v>3283</v>
      </c>
      <c r="F614" s="5558" t="s">
        <v>2349</v>
      </c>
      <c r="G614" s="5558" t="s">
        <v>3284</v>
      </c>
      <c r="H614" s="5558" t="s">
        <v>28</v>
      </c>
      <c r="I614" s="5558" t="s">
        <v>928</v>
      </c>
    </row>
    <row customHeight="1" ht="11.25">
      <c r="A615" s="5558" t="s">
        <v>2271</v>
      </c>
      <c r="B615" s="5558" t="s">
        <v>16</v>
      </c>
      <c r="C615" s="5558" t="s">
        <v>3285</v>
      </c>
      <c r="D615" s="5558" t="s">
        <v>3286</v>
      </c>
      <c r="E615" s="5558" t="s">
        <v>3287</v>
      </c>
      <c r="F615" s="5558" t="s">
        <v>2425</v>
      </c>
      <c r="G615" s="5558" t="s">
        <v>28</v>
      </c>
      <c r="H615" s="5558" t="s">
        <v>28</v>
      </c>
      <c r="I615" s="5558" t="s">
        <v>928</v>
      </c>
    </row>
    <row customHeight="1" ht="11.25">
      <c r="A616" s="5558" t="s">
        <v>2271</v>
      </c>
      <c r="B616" s="5558" t="s">
        <v>16</v>
      </c>
      <c r="C616" s="5558" t="s">
        <v>3181</v>
      </c>
      <c r="D616" s="5558" t="s">
        <v>3182</v>
      </c>
      <c r="E616" s="5558" t="s">
        <v>3183</v>
      </c>
      <c r="F616" s="5558" t="s">
        <v>2280</v>
      </c>
      <c r="G616" s="5558" t="s">
        <v>3184</v>
      </c>
      <c r="H616" s="5558" t="s">
        <v>28</v>
      </c>
      <c r="I616" s="5558" t="s">
        <v>928</v>
      </c>
    </row>
    <row customHeight="1" ht="11.25">
      <c r="A617" s="5558" t="s">
        <v>2271</v>
      </c>
      <c r="B617" s="5558" t="s">
        <v>16</v>
      </c>
      <c r="C617" s="5558" t="s">
        <v>3195</v>
      </c>
      <c r="D617" s="5558" t="s">
        <v>3196</v>
      </c>
      <c r="E617" s="5558" t="s">
        <v>3197</v>
      </c>
      <c r="F617" s="5558" t="s">
        <v>2815</v>
      </c>
      <c r="G617" s="5558" t="s">
        <v>28</v>
      </c>
      <c r="H617" s="5558" t="s">
        <v>28</v>
      </c>
      <c r="I617" s="5558" t="s">
        <v>928</v>
      </c>
    </row>
    <row customHeight="1" ht="11.25">
      <c r="A618" s="5558" t="s">
        <v>2271</v>
      </c>
      <c r="B618" s="5558" t="s">
        <v>16</v>
      </c>
      <c r="C618" s="5558" t="s">
        <v>3198</v>
      </c>
      <c r="D618" s="5558" t="s">
        <v>3199</v>
      </c>
      <c r="E618" s="5558" t="s">
        <v>3200</v>
      </c>
      <c r="F618" s="5558" t="s">
        <v>51</v>
      </c>
      <c r="G618" s="5558" t="s">
        <v>28</v>
      </c>
      <c r="H618" s="5558" t="s">
        <v>28</v>
      </c>
      <c r="I618" s="5558" t="s">
        <v>928</v>
      </c>
    </row>
    <row customHeight="1" ht="11.25">
      <c r="A619" s="5558" t="s">
        <v>2271</v>
      </c>
      <c r="B619" s="5558" t="s">
        <v>16</v>
      </c>
      <c r="C619" s="5558" t="s">
        <v>3201</v>
      </c>
      <c r="D619" s="5558" t="s">
        <v>3202</v>
      </c>
      <c r="E619" s="5558" t="s">
        <v>3203</v>
      </c>
      <c r="F619" s="5558" t="s">
        <v>2319</v>
      </c>
      <c r="G619" s="5558" t="s">
        <v>28</v>
      </c>
      <c r="H619" s="5558" t="s">
        <v>28</v>
      </c>
      <c r="I619" s="5558" t="s">
        <v>928</v>
      </c>
    </row>
    <row customHeight="1" ht="11.25">
      <c r="A620" s="5558" t="s">
        <v>2271</v>
      </c>
      <c r="B620" s="5558" t="s">
        <v>16</v>
      </c>
      <c r="C620" s="5558" t="s">
        <v>3204</v>
      </c>
      <c r="D620" s="5558" t="s">
        <v>3205</v>
      </c>
      <c r="E620" s="5558" t="s">
        <v>3206</v>
      </c>
      <c r="F620" s="5558" t="s">
        <v>2604</v>
      </c>
      <c r="G620" s="5558" t="s">
        <v>28</v>
      </c>
      <c r="H620" s="5558" t="s">
        <v>28</v>
      </c>
      <c r="I620" s="5558" t="s">
        <v>928</v>
      </c>
    </row>
    <row customHeight="1" ht="11.25">
      <c r="A621" s="5558" t="s">
        <v>2271</v>
      </c>
      <c r="B621" s="5558" t="s">
        <v>16</v>
      </c>
      <c r="C621" s="5558" t="s">
        <v>3288</v>
      </c>
      <c r="D621" s="5558" t="s">
        <v>3289</v>
      </c>
      <c r="E621" s="5558" t="s">
        <v>3290</v>
      </c>
      <c r="F621" s="5558" t="s">
        <v>2815</v>
      </c>
      <c r="G621" s="5558" t="s">
        <v>28</v>
      </c>
      <c r="H621" s="5558" t="s">
        <v>28</v>
      </c>
      <c r="I621" s="5558" t="s">
        <v>928</v>
      </c>
    </row>
    <row customHeight="1" ht="11.25">
      <c r="A622" s="5558" t="s">
        <v>2271</v>
      </c>
      <c r="B622" s="5558" t="s">
        <v>16</v>
      </c>
      <c r="C622" s="5558" t="s">
        <v>3291</v>
      </c>
      <c r="D622" s="5558" t="s">
        <v>3292</v>
      </c>
      <c r="E622" s="5558" t="s">
        <v>3293</v>
      </c>
      <c r="F622" s="5558" t="s">
        <v>2302</v>
      </c>
      <c r="G622" s="5558" t="s">
        <v>3194</v>
      </c>
      <c r="H622" s="5558" t="s">
        <v>28</v>
      </c>
      <c r="I622" s="5558" t="s">
        <v>928</v>
      </c>
    </row>
    <row customHeight="1" ht="11.25">
      <c r="A623" s="5558" t="s">
        <v>2271</v>
      </c>
      <c r="B623" s="5558" t="s">
        <v>16</v>
      </c>
      <c r="C623" s="5558" t="s">
        <v>3294</v>
      </c>
      <c r="D623" s="5558" t="s">
        <v>3295</v>
      </c>
      <c r="E623" s="5558" t="s">
        <v>3296</v>
      </c>
      <c r="F623" s="5558" t="s">
        <v>2557</v>
      </c>
      <c r="G623" s="5558" t="s">
        <v>28</v>
      </c>
      <c r="H623" s="5558" t="s">
        <v>28</v>
      </c>
      <c r="I623" s="5558" t="s">
        <v>928</v>
      </c>
    </row>
    <row customHeight="1" ht="11.25">
      <c r="A624" s="5558" t="s">
        <v>2271</v>
      </c>
      <c r="B624" s="5558" t="s">
        <v>16</v>
      </c>
      <c r="C624" s="5558" t="s">
        <v>3210</v>
      </c>
      <c r="D624" s="5558" t="s">
        <v>2864</v>
      </c>
      <c r="E624" s="5558" t="s">
        <v>3211</v>
      </c>
      <c r="F624" s="5558" t="s">
        <v>2557</v>
      </c>
      <c r="G624" s="5558" t="s">
        <v>28</v>
      </c>
      <c r="H624" s="5558" t="s">
        <v>28</v>
      </c>
      <c r="I624" s="5558" t="s">
        <v>928</v>
      </c>
    </row>
    <row customHeight="1" ht="11.25">
      <c r="A625" s="5558" t="s">
        <v>2271</v>
      </c>
      <c r="B625" s="5558" t="s">
        <v>16</v>
      </c>
      <c r="C625" s="5558" t="s">
        <v>3212</v>
      </c>
      <c r="D625" s="5558" t="s">
        <v>3213</v>
      </c>
      <c r="E625" s="5558" t="s">
        <v>3214</v>
      </c>
      <c r="F625" s="5558" t="s">
        <v>2647</v>
      </c>
      <c r="G625" s="5558" t="s">
        <v>3215</v>
      </c>
      <c r="H625" s="5558" t="s">
        <v>28</v>
      </c>
      <c r="I625" s="5558" t="s">
        <v>928</v>
      </c>
    </row>
    <row customHeight="1" ht="11.25">
      <c r="A626" s="5558" t="s">
        <v>2271</v>
      </c>
      <c r="B626" s="5558" t="s">
        <v>16</v>
      </c>
      <c r="C626" s="5558" t="s">
        <v>2873</v>
      </c>
      <c r="D626" s="5558" t="s">
        <v>2874</v>
      </c>
      <c r="E626" s="5558" t="s">
        <v>2875</v>
      </c>
      <c r="F626" s="5558" t="s">
        <v>2280</v>
      </c>
      <c r="G626" s="5558" t="s">
        <v>28</v>
      </c>
      <c r="H626" s="5558" t="s">
        <v>28</v>
      </c>
      <c r="I626" s="5558" t="s">
        <v>928</v>
      </c>
    </row>
    <row customHeight="1" ht="11.25">
      <c r="A627" s="5558" t="s">
        <v>2271</v>
      </c>
      <c r="B627" s="5558" t="s">
        <v>16</v>
      </c>
      <c r="C627" s="5558" t="s">
        <v>2876</v>
      </c>
      <c r="D627" s="5558" t="s">
        <v>2877</v>
      </c>
      <c r="E627" s="5558" t="s">
        <v>2878</v>
      </c>
      <c r="F627" s="5558" t="s">
        <v>2341</v>
      </c>
      <c r="G627" s="5558" t="s">
        <v>2276</v>
      </c>
      <c r="H627" s="5558" t="s">
        <v>28</v>
      </c>
      <c r="I627" s="5558" t="s">
        <v>928</v>
      </c>
    </row>
    <row customHeight="1" ht="11.25">
      <c r="A628" s="5558" t="s">
        <v>2271</v>
      </c>
      <c r="B628" s="5558" t="s">
        <v>16</v>
      </c>
      <c r="C628" s="5558" t="s">
        <v>3216</v>
      </c>
      <c r="D628" s="5558" t="s">
        <v>3217</v>
      </c>
      <c r="E628" s="5558" t="s">
        <v>3218</v>
      </c>
      <c r="F628" s="5558" t="s">
        <v>2302</v>
      </c>
      <c r="G628" s="5558" t="s">
        <v>28</v>
      </c>
      <c r="H628" s="5558" t="s">
        <v>28</v>
      </c>
      <c r="I628" s="5558" t="s">
        <v>928</v>
      </c>
    </row>
    <row customHeight="1" ht="11.25">
      <c r="A629" s="5558" t="s">
        <v>2271</v>
      </c>
      <c r="B629" s="5558" t="s">
        <v>16</v>
      </c>
      <c r="C629" s="5558" t="s">
        <v>2879</v>
      </c>
      <c r="D629" s="5558" t="s">
        <v>2880</v>
      </c>
      <c r="E629" s="5558" t="s">
        <v>2881</v>
      </c>
      <c r="F629" s="5558" t="s">
        <v>2882</v>
      </c>
      <c r="G629" s="5558" t="s">
        <v>28</v>
      </c>
      <c r="H629" s="5558" t="s">
        <v>28</v>
      </c>
      <c r="I629" s="5558" t="s">
        <v>928</v>
      </c>
    </row>
    <row customHeight="1" ht="11.25">
      <c r="A630" s="5558" t="s">
        <v>2271</v>
      </c>
      <c r="B630" s="5558" t="s">
        <v>16</v>
      </c>
      <c r="C630" s="5558" t="s">
        <v>2893</v>
      </c>
      <c r="D630" s="5558" t="s">
        <v>2894</v>
      </c>
      <c r="E630" s="5558" t="s">
        <v>2895</v>
      </c>
      <c r="F630" s="5558" t="s">
        <v>2896</v>
      </c>
      <c r="G630" s="5558" t="s">
        <v>28</v>
      </c>
      <c r="H630" s="5558" t="s">
        <v>28</v>
      </c>
      <c r="I630" s="5558" t="s">
        <v>928</v>
      </c>
    </row>
    <row customHeight="1" ht="11.25">
      <c r="A631" s="5558" t="s">
        <v>2271</v>
      </c>
      <c r="B631" s="5558" t="s">
        <v>16</v>
      </c>
      <c r="C631" s="5558" t="s">
        <v>3219</v>
      </c>
      <c r="D631" s="5558" t="s">
        <v>3220</v>
      </c>
      <c r="E631" s="5558" t="s">
        <v>3221</v>
      </c>
      <c r="F631" s="5558" t="s">
        <v>2600</v>
      </c>
      <c r="G631" s="5558" t="s">
        <v>28</v>
      </c>
      <c r="H631" s="5558" t="s">
        <v>28</v>
      </c>
      <c r="I631" s="5558" t="s">
        <v>928</v>
      </c>
    </row>
    <row customHeight="1" ht="11.25">
      <c r="A632" s="5558" t="s">
        <v>2271</v>
      </c>
      <c r="B632" s="5558" t="s">
        <v>16</v>
      </c>
      <c r="C632" s="5558" t="s">
        <v>2900</v>
      </c>
      <c r="D632" s="5558" t="s">
        <v>2901</v>
      </c>
      <c r="E632" s="5558" t="s">
        <v>2902</v>
      </c>
      <c r="F632" s="5558" t="s">
        <v>2275</v>
      </c>
      <c r="G632" s="5558" t="s">
        <v>28</v>
      </c>
      <c r="H632" s="5558" t="s">
        <v>28</v>
      </c>
      <c r="I632" s="5558" t="s">
        <v>928</v>
      </c>
    </row>
    <row customHeight="1" ht="11.25">
      <c r="A633" s="5558" t="s">
        <v>2271</v>
      </c>
      <c r="B633" s="5558" t="s">
        <v>16</v>
      </c>
      <c r="C633" s="5558" t="s">
        <v>3297</v>
      </c>
      <c r="D633" s="5558" t="s">
        <v>3298</v>
      </c>
      <c r="E633" s="5558" t="s">
        <v>3299</v>
      </c>
      <c r="F633" s="5558" t="s">
        <v>2306</v>
      </c>
      <c r="G633" s="5558" t="s">
        <v>28</v>
      </c>
      <c r="H633" s="5558" t="s">
        <v>28</v>
      </c>
      <c r="I633" s="5558" t="s">
        <v>928</v>
      </c>
    </row>
    <row customHeight="1" ht="11.25">
      <c r="A634" s="5558" t="s">
        <v>2271</v>
      </c>
      <c r="B634" s="5558" t="s">
        <v>16</v>
      </c>
      <c r="C634" s="5558" t="s">
        <v>2907</v>
      </c>
      <c r="D634" s="5558" t="s">
        <v>2908</v>
      </c>
      <c r="E634" s="5558" t="s">
        <v>2909</v>
      </c>
      <c r="F634" s="5558" t="s">
        <v>2910</v>
      </c>
      <c r="G634" s="5558" t="s">
        <v>2911</v>
      </c>
      <c r="H634" s="5558" t="s">
        <v>28</v>
      </c>
      <c r="I634" s="5558" t="s">
        <v>928</v>
      </c>
    </row>
    <row customHeight="1" ht="11.25">
      <c r="A635" s="5558" t="s">
        <v>2271</v>
      </c>
      <c r="B635" s="5558" t="s">
        <v>16</v>
      </c>
      <c r="C635" s="5558" t="s">
        <v>2912</v>
      </c>
      <c r="D635" s="5558" t="s">
        <v>2913</v>
      </c>
      <c r="E635" s="5558" t="s">
        <v>2914</v>
      </c>
      <c r="F635" s="5558" t="s">
        <v>2354</v>
      </c>
      <c r="G635" s="5558" t="s">
        <v>28</v>
      </c>
      <c r="H635" s="5558" t="s">
        <v>28</v>
      </c>
      <c r="I635" s="5558" t="s">
        <v>928</v>
      </c>
    </row>
    <row customHeight="1" ht="11.25">
      <c r="A636" s="5558" t="s">
        <v>2271</v>
      </c>
      <c r="B636" s="5558" t="s">
        <v>16</v>
      </c>
      <c r="C636" s="5558" t="s">
        <v>2915</v>
      </c>
      <c r="D636" s="5558" t="s">
        <v>2916</v>
      </c>
      <c r="E636" s="5558" t="s">
        <v>2917</v>
      </c>
      <c r="F636" s="5558" t="s">
        <v>2354</v>
      </c>
      <c r="G636" s="5558" t="s">
        <v>28</v>
      </c>
      <c r="H636" s="5558" t="s">
        <v>28</v>
      </c>
      <c r="I636" s="5558" t="s">
        <v>928</v>
      </c>
    </row>
    <row customHeight="1" ht="11.25">
      <c r="A637" s="5558" t="s">
        <v>2271</v>
      </c>
      <c r="B637" s="5558" t="s">
        <v>16</v>
      </c>
      <c r="C637" s="5558" t="s">
        <v>3225</v>
      </c>
      <c r="D637" s="5558" t="s">
        <v>3226</v>
      </c>
      <c r="E637" s="5558" t="s">
        <v>3227</v>
      </c>
      <c r="F637" s="5558" t="s">
        <v>2354</v>
      </c>
      <c r="G637" s="5558" t="s">
        <v>28</v>
      </c>
      <c r="H637" s="5558" t="s">
        <v>28</v>
      </c>
      <c r="I637" s="5558" t="s">
        <v>928</v>
      </c>
    </row>
    <row customHeight="1" ht="11.25">
      <c r="A638" s="5558" t="s">
        <v>2271</v>
      </c>
      <c r="B638" s="5558" t="s">
        <v>16</v>
      </c>
      <c r="C638" s="5558" t="s">
        <v>2921</v>
      </c>
      <c r="D638" s="5558" t="s">
        <v>2922</v>
      </c>
      <c r="E638" s="5558" t="s">
        <v>2923</v>
      </c>
      <c r="F638" s="5558" t="s">
        <v>2924</v>
      </c>
      <c r="G638" s="5558" t="s">
        <v>28</v>
      </c>
      <c r="H638" s="5558" t="s">
        <v>28</v>
      </c>
      <c r="I638" s="5558" t="s">
        <v>928</v>
      </c>
    </row>
    <row customHeight="1" ht="11.25">
      <c r="A639" s="5558" t="s">
        <v>2271</v>
      </c>
      <c r="B639" s="5558" t="s">
        <v>16</v>
      </c>
      <c r="C639" s="5558" t="s">
        <v>3228</v>
      </c>
      <c r="D639" s="5558" t="s">
        <v>3229</v>
      </c>
      <c r="E639" s="5558" t="s">
        <v>2979</v>
      </c>
      <c r="F639" s="5558" t="s">
        <v>3230</v>
      </c>
      <c r="G639" s="5558" t="s">
        <v>28</v>
      </c>
      <c r="H639" s="5558" t="s">
        <v>28</v>
      </c>
      <c r="I639" s="5558" t="s">
        <v>928</v>
      </c>
    </row>
    <row customHeight="1" ht="11.25">
      <c r="A640" s="5558" t="s">
        <v>2271</v>
      </c>
      <c r="B640" s="5558" t="s">
        <v>16</v>
      </c>
      <c r="C640" s="5558" t="s">
        <v>3231</v>
      </c>
      <c r="D640" s="5558" t="s">
        <v>3232</v>
      </c>
      <c r="E640" s="5558" t="s">
        <v>2979</v>
      </c>
      <c r="F640" s="5558" t="s">
        <v>3233</v>
      </c>
      <c r="G640" s="5558" t="s">
        <v>28</v>
      </c>
      <c r="H640" s="5558" t="s">
        <v>28</v>
      </c>
      <c r="I640" s="5558" t="s">
        <v>928</v>
      </c>
    </row>
    <row customHeight="1" ht="11.25">
      <c r="A641" s="5558" t="s">
        <v>2271</v>
      </c>
      <c r="B641" s="5558" t="s">
        <v>16</v>
      </c>
      <c r="C641" s="5558" t="s">
        <v>3234</v>
      </c>
      <c r="D641" s="5558" t="s">
        <v>3235</v>
      </c>
      <c r="E641" s="5558" t="s">
        <v>2979</v>
      </c>
      <c r="F641" s="5558" t="s">
        <v>3236</v>
      </c>
      <c r="G641" s="5558" t="s">
        <v>28</v>
      </c>
      <c r="H641" s="5558" t="s">
        <v>28</v>
      </c>
      <c r="I641" s="5558" t="s">
        <v>928</v>
      </c>
    </row>
    <row customHeight="1" ht="11.25">
      <c r="A642" s="5558" t="s">
        <v>2271</v>
      </c>
      <c r="B642" s="5558" t="s">
        <v>16</v>
      </c>
      <c r="C642" s="5558" t="s">
        <v>2933</v>
      </c>
      <c r="D642" s="5558" t="s">
        <v>2934</v>
      </c>
      <c r="E642" s="5558" t="s">
        <v>2935</v>
      </c>
      <c r="F642" s="5558" t="s">
        <v>2936</v>
      </c>
      <c r="G642" s="5558" t="s">
        <v>28</v>
      </c>
      <c r="H642" s="5558" t="s">
        <v>28</v>
      </c>
      <c r="I642" s="5558" t="s">
        <v>928</v>
      </c>
    </row>
    <row customHeight="1" ht="11.25">
      <c r="A643" s="5558" t="s">
        <v>2271</v>
      </c>
      <c r="B643" s="5558" t="s">
        <v>16</v>
      </c>
      <c r="C643" s="5558" t="s">
        <v>2943</v>
      </c>
      <c r="D643" s="5558" t="s">
        <v>2944</v>
      </c>
      <c r="E643" s="5558" t="s">
        <v>2945</v>
      </c>
      <c r="F643" s="5558" t="s">
        <v>2454</v>
      </c>
      <c r="G643" s="5558" t="s">
        <v>2946</v>
      </c>
      <c r="H643" s="5558" t="s">
        <v>28</v>
      </c>
      <c r="I643" s="5558" t="s">
        <v>928</v>
      </c>
    </row>
    <row customHeight="1" ht="11.25">
      <c r="A644" s="5558" t="s">
        <v>2271</v>
      </c>
      <c r="B644" s="5558" t="s">
        <v>16</v>
      </c>
      <c r="C644" s="5558" t="s">
        <v>2947</v>
      </c>
      <c r="D644" s="5558" t="s">
        <v>2948</v>
      </c>
      <c r="E644" s="5558" t="s">
        <v>2945</v>
      </c>
      <c r="F644" s="5558" t="s">
        <v>2949</v>
      </c>
      <c r="G644" s="5558" t="s">
        <v>28</v>
      </c>
      <c r="H644" s="5558" t="s">
        <v>28</v>
      </c>
      <c r="I644" s="5558" t="s">
        <v>928</v>
      </c>
    </row>
    <row customHeight="1" ht="11.25">
      <c r="A645" s="5558" t="s">
        <v>2271</v>
      </c>
      <c r="B645" s="5558" t="s">
        <v>16</v>
      </c>
      <c r="C645" s="5558" t="s">
        <v>3300</v>
      </c>
      <c r="D645" s="5558" t="s">
        <v>3301</v>
      </c>
      <c r="E645" s="5558" t="s">
        <v>3302</v>
      </c>
      <c r="F645" s="5558" t="s">
        <v>2275</v>
      </c>
      <c r="G645" s="5558" t="s">
        <v>28</v>
      </c>
      <c r="H645" s="5558" t="s">
        <v>28</v>
      </c>
      <c r="I645" s="5558" t="s">
        <v>1644</v>
      </c>
    </row>
    <row customHeight="1" ht="11.25">
      <c r="A646" s="5558" t="s">
        <v>2271</v>
      </c>
      <c r="B646" s="5558" t="s">
        <v>16</v>
      </c>
      <c r="C646" s="5558" t="s">
        <v>3303</v>
      </c>
      <c r="D646" s="5558" t="s">
        <v>3304</v>
      </c>
      <c r="E646" s="5558" t="s">
        <v>3305</v>
      </c>
      <c r="F646" s="5558" t="s">
        <v>2314</v>
      </c>
      <c r="G646" s="5558" t="s">
        <v>28</v>
      </c>
      <c r="H646" s="5558" t="s">
        <v>28</v>
      </c>
      <c r="I646" s="5558" t="s">
        <v>1644</v>
      </c>
    </row>
    <row customHeight="1" ht="11.25">
      <c r="A647" s="5558" t="s">
        <v>2271</v>
      </c>
      <c r="B647" s="5558" t="s">
        <v>16</v>
      </c>
      <c r="C647" s="5558" t="s">
        <v>3306</v>
      </c>
      <c r="D647" s="5558" t="s">
        <v>3307</v>
      </c>
      <c r="E647" s="5558" t="s">
        <v>3308</v>
      </c>
      <c r="F647" s="5558" t="s">
        <v>2306</v>
      </c>
      <c r="G647" s="5558" t="s">
        <v>28</v>
      </c>
      <c r="H647" s="5558" t="s">
        <v>28</v>
      </c>
      <c r="I647" s="5558" t="s">
        <v>1644</v>
      </c>
    </row>
    <row customHeight="1" ht="11.25">
      <c r="A648" s="5558" t="s">
        <v>2271</v>
      </c>
      <c r="B648" s="5558" t="s">
        <v>16</v>
      </c>
      <c r="C648" s="5558" t="s">
        <v>3309</v>
      </c>
      <c r="D648" s="5558" t="s">
        <v>3310</v>
      </c>
      <c r="E648" s="5558" t="s">
        <v>3311</v>
      </c>
      <c r="F648" s="5558" t="s">
        <v>597</v>
      </c>
      <c r="G648" s="5558" t="s">
        <v>28</v>
      </c>
      <c r="H648" s="5558" t="s">
        <v>28</v>
      </c>
      <c r="I648" s="5558" t="s">
        <v>1644</v>
      </c>
    </row>
    <row customHeight="1" ht="11.25">
      <c r="A649" s="5558" t="s">
        <v>2271</v>
      </c>
      <c r="B649" s="5558" t="s">
        <v>16</v>
      </c>
      <c r="C649" s="5558" t="s">
        <v>28</v>
      </c>
      <c r="D649" s="5558" t="s">
        <v>2426</v>
      </c>
      <c r="E649" s="5558" t="s">
        <v>2427</v>
      </c>
      <c r="F649" s="5558" t="s">
        <v>2412</v>
      </c>
      <c r="G649" s="5558" t="s">
        <v>28</v>
      </c>
      <c r="H649" s="5558" t="s">
        <v>28</v>
      </c>
      <c r="I649" s="5558" t="s">
        <v>1644</v>
      </c>
    </row>
    <row customHeight="1" ht="11.25">
      <c r="A650" s="5558" t="s">
        <v>2271</v>
      </c>
      <c r="B650" s="5558" t="s">
        <v>16</v>
      </c>
      <c r="C650" s="5558" t="s">
        <v>2524</v>
      </c>
      <c r="D650" s="5558" t="s">
        <v>2525</v>
      </c>
      <c r="E650" s="5558" t="s">
        <v>2526</v>
      </c>
      <c r="F650" s="5558" t="s">
        <v>2275</v>
      </c>
      <c r="G650" s="5558" t="s">
        <v>28</v>
      </c>
      <c r="H650" s="5558" t="s">
        <v>28</v>
      </c>
      <c r="I650" s="5558" t="s">
        <v>1644</v>
      </c>
    </row>
    <row customHeight="1" ht="11.25">
      <c r="A651" s="5558" t="s">
        <v>2271</v>
      </c>
      <c r="B651" s="5558" t="s">
        <v>16</v>
      </c>
      <c r="C651" s="5558" t="s">
        <v>3312</v>
      </c>
      <c r="D651" s="5558" t="s">
        <v>3313</v>
      </c>
      <c r="E651" s="5558" t="s">
        <v>3314</v>
      </c>
      <c r="F651" s="5558" t="s">
        <v>2651</v>
      </c>
      <c r="G651" s="5558" t="s">
        <v>28</v>
      </c>
      <c r="H651" s="5558" t="s">
        <v>28</v>
      </c>
      <c r="I651" s="5558" t="s">
        <v>1644</v>
      </c>
    </row>
    <row customHeight="1" ht="11.25">
      <c r="A652" s="5558" t="s">
        <v>2271</v>
      </c>
      <c r="B652" s="5558" t="s">
        <v>16</v>
      </c>
      <c r="C652" s="5558" t="s">
        <v>3315</v>
      </c>
      <c r="D652" s="5558" t="s">
        <v>3316</v>
      </c>
      <c r="E652" s="5558" t="s">
        <v>3317</v>
      </c>
      <c r="F652" s="5558" t="s">
        <v>2314</v>
      </c>
      <c r="G652" s="5558" t="s">
        <v>28</v>
      </c>
      <c r="H652" s="5558" t="s">
        <v>28</v>
      </c>
      <c r="I652" s="5558" t="s">
        <v>1644</v>
      </c>
    </row>
    <row customHeight="1" ht="11.25">
      <c r="A653" s="5558" t="s">
        <v>2271</v>
      </c>
      <c r="B653" s="5558" t="s">
        <v>16</v>
      </c>
      <c r="C653" s="5558" t="s">
        <v>3318</v>
      </c>
      <c r="D653" s="5558" t="s">
        <v>3319</v>
      </c>
      <c r="E653" s="5558" t="s">
        <v>3320</v>
      </c>
      <c r="F653" s="5558" t="s">
        <v>2600</v>
      </c>
      <c r="G653" s="5558" t="s">
        <v>28</v>
      </c>
      <c r="H653" s="5558" t="s">
        <v>28</v>
      </c>
      <c r="I653" s="5558" t="s">
        <v>1644</v>
      </c>
    </row>
    <row customHeight="1" ht="11.25">
      <c r="A654" s="5558" t="s">
        <v>2271</v>
      </c>
      <c r="B654" s="5558" t="s">
        <v>16</v>
      </c>
      <c r="C654" s="5558" t="s">
        <v>3321</v>
      </c>
      <c r="D654" s="5558" t="s">
        <v>3322</v>
      </c>
      <c r="E654" s="5558" t="s">
        <v>3323</v>
      </c>
      <c r="F654" s="5558" t="s">
        <v>2557</v>
      </c>
      <c r="G654" s="5558" t="s">
        <v>28</v>
      </c>
      <c r="H654" s="5558" t="s">
        <v>28</v>
      </c>
      <c r="I654" s="5558" t="s">
        <v>1644</v>
      </c>
    </row>
    <row customHeight="1" ht="11.25">
      <c r="A655" s="5558" t="s">
        <v>2271</v>
      </c>
      <c r="B655" s="5558" t="s">
        <v>16</v>
      </c>
      <c r="C655" s="5558" t="s">
        <v>3324</v>
      </c>
      <c r="D655" s="5558" t="s">
        <v>3325</v>
      </c>
      <c r="E655" s="5558" t="s">
        <v>3326</v>
      </c>
      <c r="F655" s="5558" t="s">
        <v>2651</v>
      </c>
      <c r="G655" s="5558" t="s">
        <v>28</v>
      </c>
      <c r="H655" s="5558" t="s">
        <v>28</v>
      </c>
      <c r="I655" s="5558" t="s">
        <v>1644</v>
      </c>
    </row>
    <row customHeight="1" ht="11.25">
      <c r="A656" s="5558" t="s">
        <v>2271</v>
      </c>
      <c r="B656" s="5558" t="s">
        <v>16</v>
      </c>
      <c r="C656" s="5558" t="s">
        <v>3327</v>
      </c>
      <c r="D656" s="5558" t="s">
        <v>3328</v>
      </c>
      <c r="E656" s="5558" t="s">
        <v>3329</v>
      </c>
      <c r="F656" s="5558" t="s">
        <v>2407</v>
      </c>
      <c r="G656" s="5558" t="s">
        <v>28</v>
      </c>
      <c r="H656" s="5558" t="s">
        <v>28</v>
      </c>
      <c r="I656" s="5558" t="s">
        <v>1644</v>
      </c>
    </row>
    <row customHeight="1" ht="11.25">
      <c r="A657" s="5558" t="s">
        <v>2271</v>
      </c>
      <c r="B657" s="5558" t="s">
        <v>16</v>
      </c>
      <c r="C657" s="5558" t="s">
        <v>3330</v>
      </c>
      <c r="D657" s="5558" t="s">
        <v>3331</v>
      </c>
      <c r="E657" s="5558" t="s">
        <v>3332</v>
      </c>
      <c r="F657" s="5558" t="s">
        <v>2280</v>
      </c>
      <c r="G657" s="5558" t="s">
        <v>28</v>
      </c>
      <c r="H657" s="5558" t="s">
        <v>28</v>
      </c>
      <c r="I657" s="5558" t="s">
        <v>1644</v>
      </c>
    </row>
    <row customHeight="1" ht="11.25">
      <c r="A658" s="5558" t="s">
        <v>2271</v>
      </c>
      <c r="B658" s="5558" t="s">
        <v>16</v>
      </c>
      <c r="C658" s="5558" t="s">
        <v>3333</v>
      </c>
      <c r="D658" s="5558" t="s">
        <v>3334</v>
      </c>
      <c r="E658" s="5558" t="s">
        <v>3335</v>
      </c>
      <c r="F658" s="5558" t="s">
        <v>2306</v>
      </c>
      <c r="G658" s="5558" t="s">
        <v>28</v>
      </c>
      <c r="H658" s="5558" t="s">
        <v>28</v>
      </c>
      <c r="I658" s="5558" t="s">
        <v>1644</v>
      </c>
    </row>
    <row customHeight="1" ht="11.25">
      <c r="A659" s="5558" t="s">
        <v>2271</v>
      </c>
      <c r="B659" s="5558" t="s">
        <v>16</v>
      </c>
      <c r="C659" s="5558" t="s">
        <v>3336</v>
      </c>
      <c r="D659" s="5558" t="s">
        <v>3337</v>
      </c>
      <c r="E659" s="5558" t="s">
        <v>3338</v>
      </c>
      <c r="F659" s="5558" t="s">
        <v>2280</v>
      </c>
      <c r="G659" s="5558" t="s">
        <v>28</v>
      </c>
      <c r="H659" s="5558" t="s">
        <v>28</v>
      </c>
      <c r="I659" s="5558" t="s">
        <v>1644</v>
      </c>
    </row>
    <row customHeight="1" ht="11.25">
      <c r="A660" s="5558" t="s">
        <v>2271</v>
      </c>
      <c r="B660" s="5558" t="s">
        <v>16</v>
      </c>
      <c r="C660" s="5558" t="s">
        <v>3339</v>
      </c>
      <c r="D660" s="5558" t="s">
        <v>3340</v>
      </c>
      <c r="E660" s="5558" t="s">
        <v>3341</v>
      </c>
      <c r="F660" s="5558" t="s">
        <v>2275</v>
      </c>
      <c r="G660" s="5558" t="s">
        <v>28</v>
      </c>
      <c r="H660" s="5558" t="s">
        <v>28</v>
      </c>
      <c r="I660" s="5558" t="s">
        <v>1644</v>
      </c>
    </row>
    <row customHeight="1" ht="11.25">
      <c r="A661" s="5558" t="s">
        <v>2271</v>
      </c>
      <c r="B661" s="5558" t="s">
        <v>16</v>
      </c>
      <c r="C661" s="5558" t="s">
        <v>3342</v>
      </c>
      <c r="D661" s="5558" t="s">
        <v>3343</v>
      </c>
      <c r="E661" s="5558" t="s">
        <v>3344</v>
      </c>
      <c r="F661" s="5558" t="s">
        <v>2838</v>
      </c>
      <c r="G661" s="5558" t="s">
        <v>28</v>
      </c>
      <c r="H661" s="5558" t="s">
        <v>28</v>
      </c>
      <c r="I661" s="5558" t="s">
        <v>1644</v>
      </c>
    </row>
    <row customHeight="1" ht="11.25">
      <c r="A662" s="5558" t="s">
        <v>2271</v>
      </c>
      <c r="B662" s="5558" t="s">
        <v>16</v>
      </c>
      <c r="C662" s="5558" t="s">
        <v>3345</v>
      </c>
      <c r="D662" s="5558" t="s">
        <v>3346</v>
      </c>
      <c r="E662" s="5558" t="s">
        <v>3347</v>
      </c>
      <c r="F662" s="5558" t="s">
        <v>2354</v>
      </c>
      <c r="G662" s="5558" t="s">
        <v>28</v>
      </c>
      <c r="H662" s="5558" t="s">
        <v>28</v>
      </c>
      <c r="I662" s="5558" t="s">
        <v>1644</v>
      </c>
    </row>
    <row customHeight="1" ht="11.25">
      <c r="A663" s="5558" t="s">
        <v>2271</v>
      </c>
      <c r="B663" s="5558" t="s">
        <v>16</v>
      </c>
      <c r="C663" s="5558" t="s">
        <v>3348</v>
      </c>
      <c r="D663" s="5558" t="s">
        <v>3349</v>
      </c>
      <c r="E663" s="5558" t="s">
        <v>3350</v>
      </c>
      <c r="F663" s="5558" t="s">
        <v>2275</v>
      </c>
      <c r="G663" s="5558" t="s">
        <v>28</v>
      </c>
      <c r="H663" s="5558" t="s">
        <v>28</v>
      </c>
      <c r="I663" s="5558"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D63C3-47C1-451C-A48F-0.27E043FE}" mc:Ignorable="x14ac xr xr2 xr3">
  <sheetPr>
    <tabColor rgb="FFFFCC99"/>
  </sheetPr>
  <dimension ref="A1:G210"/>
  <sheetViews>
    <sheetView topLeftCell="A1" showGridLines="0" workbookViewId="0">
      <selection activeCell="A1" sqref="A1"/>
    </sheetView>
  </sheetViews>
  <sheetFormatPr customHeight="1" defaultRowHeight="11.25"/>
  <cols>
    <col min="1" max="1" style="8469" width="9.140625"/>
  </cols>
  <sheetData>
    <row customHeight="1" ht="11.25">
      <c r="A1" s="494" t="s">
        <v>3351</v>
      </c>
      <c r="B1" s="183" t="s">
        <v>3352</v>
      </c>
      <c r="C1" s="183" t="s">
        <v>3353</v>
      </c>
      <c r="D1" s="183" t="s">
        <v>3354</v>
      </c>
      <c r="E1" s="72" t="s">
        <v>3355</v>
      </c>
      <c r="F1" s="72" t="s">
        <v>3356</v>
      </c>
      <c r="G1" s="72" t="s">
        <v>3357</v>
      </c>
    </row>
    <row customHeight="1" ht="11.25">
      <c r="A2" s="494" t="s">
        <v>16</v>
      </c>
      <c r="B2" s="0" t="s">
        <v>3358</v>
      </c>
      <c r="C2" s="0" t="s">
        <v>3359</v>
      </c>
      <c r="D2" s="0" t="s">
        <v>3358</v>
      </c>
      <c r="E2" s="0" t="s">
        <v>3359</v>
      </c>
      <c r="F2" s="0" t="s">
        <v>3360</v>
      </c>
      <c r="G2" s="0" t="s">
        <v>123</v>
      </c>
    </row>
    <row customHeight="1" ht="11.25">
      <c r="A3" s="494" t="s">
        <v>16</v>
      </c>
      <c r="B3" s="0" t="s">
        <v>3358</v>
      </c>
      <c r="C3" s="0" t="s">
        <v>3359</v>
      </c>
      <c r="D3" s="0" t="s">
        <v>3361</v>
      </c>
      <c r="E3" s="0" t="s">
        <v>3362</v>
      </c>
      <c r="F3" s="0" t="s">
        <v>3363</v>
      </c>
      <c r="G3" s="0" t="s">
        <v>103</v>
      </c>
    </row>
    <row customHeight="1" ht="11.25">
      <c r="A4" s="494" t="s">
        <v>16</v>
      </c>
      <c r="B4" s="0" t="s">
        <v>3358</v>
      </c>
      <c r="C4" s="0" t="s">
        <v>3359</v>
      </c>
      <c r="D4" s="0" t="s">
        <v>3364</v>
      </c>
      <c r="E4" s="0" t="s">
        <v>3365</v>
      </c>
      <c r="F4" s="0" t="s">
        <v>3366</v>
      </c>
      <c r="G4" s="0" t="s">
        <v>90</v>
      </c>
    </row>
    <row customHeight="1" ht="11.25">
      <c r="A5" s="494" t="s">
        <v>16</v>
      </c>
      <c r="B5" s="0" t="s">
        <v>3358</v>
      </c>
      <c r="C5" s="0" t="s">
        <v>3359</v>
      </c>
      <c r="D5" s="0" t="s">
        <v>3367</v>
      </c>
      <c r="E5" s="0" t="s">
        <v>3368</v>
      </c>
      <c r="F5" s="0" t="s">
        <v>3366</v>
      </c>
      <c r="G5" s="0" t="s">
        <v>91</v>
      </c>
    </row>
    <row customHeight="1" ht="11.25">
      <c r="A6" s="494" t="s">
        <v>16</v>
      </c>
      <c r="B6" s="0" t="s">
        <v>3358</v>
      </c>
      <c r="C6" s="0" t="s">
        <v>3359</v>
      </c>
      <c r="D6" s="0" t="s">
        <v>3369</v>
      </c>
      <c r="E6" s="0" t="s">
        <v>3370</v>
      </c>
      <c r="F6" s="0" t="s">
        <v>3371</v>
      </c>
      <c r="G6" s="0" t="s">
        <v>124</v>
      </c>
    </row>
    <row customHeight="1" ht="11.25">
      <c r="A7" s="494" t="s">
        <v>16</v>
      </c>
      <c r="B7" s="0" t="s">
        <v>3358</v>
      </c>
      <c r="C7" s="0" t="s">
        <v>3359</v>
      </c>
      <c r="D7" s="0" t="s">
        <v>3372</v>
      </c>
      <c r="E7" s="0" t="s">
        <v>3373</v>
      </c>
      <c r="F7" s="0" t="s">
        <v>3366</v>
      </c>
      <c r="G7" s="0" t="s">
        <v>92</v>
      </c>
    </row>
    <row customHeight="1" ht="11.25">
      <c r="A8" s="494" t="s">
        <v>16</v>
      </c>
      <c r="B8" s="0" t="s">
        <v>3358</v>
      </c>
      <c r="C8" s="0" t="s">
        <v>3359</v>
      </c>
      <c r="D8" s="0" t="s">
        <v>3374</v>
      </c>
      <c r="E8" s="0" t="s">
        <v>3375</v>
      </c>
      <c r="F8" s="0" t="s">
        <v>3363</v>
      </c>
      <c r="G8" s="0" t="s">
        <v>93</v>
      </c>
    </row>
    <row customHeight="1" ht="11.25">
      <c r="A9" s="494" t="s">
        <v>16</v>
      </c>
      <c r="B9" s="0" t="s">
        <v>3358</v>
      </c>
      <c r="C9" s="0" t="s">
        <v>3359</v>
      </c>
      <c r="D9" s="0" t="s">
        <v>3376</v>
      </c>
      <c r="E9" s="0" t="s">
        <v>3377</v>
      </c>
      <c r="F9" s="0" t="s">
        <v>3366</v>
      </c>
      <c r="G9" s="0" t="s">
        <v>125</v>
      </c>
    </row>
    <row customHeight="1" ht="11.25">
      <c r="A10" s="494" t="s">
        <v>16</v>
      </c>
      <c r="B10" s="0" t="s">
        <v>3378</v>
      </c>
      <c r="C10" s="0" t="s">
        <v>3379</v>
      </c>
      <c r="D10" s="0" t="s">
        <v>3380</v>
      </c>
      <c r="E10" s="0" t="s">
        <v>3381</v>
      </c>
      <c r="F10" s="0" t="s">
        <v>3366</v>
      </c>
      <c r="G10" s="0" t="s">
        <v>161</v>
      </c>
    </row>
    <row customHeight="1" ht="11.25">
      <c r="A11" s="494" t="s">
        <v>16</v>
      </c>
      <c r="B11" s="0" t="s">
        <v>3378</v>
      </c>
      <c r="C11" s="0" t="s">
        <v>3379</v>
      </c>
      <c r="D11" s="0" t="s">
        <v>3382</v>
      </c>
      <c r="E11" s="0" t="s">
        <v>3383</v>
      </c>
      <c r="F11" s="0" t="s">
        <v>3366</v>
      </c>
      <c r="G11" s="0" t="s">
        <v>162</v>
      </c>
    </row>
    <row customHeight="1" ht="11.25">
      <c r="A12" s="494" t="s">
        <v>16</v>
      </c>
      <c r="B12" s="0" t="s">
        <v>3378</v>
      </c>
      <c r="C12" s="0" t="s">
        <v>3379</v>
      </c>
      <c r="D12" s="0" t="s">
        <v>3378</v>
      </c>
      <c r="E12" s="0" t="s">
        <v>3379</v>
      </c>
      <c r="F12" s="0" t="s">
        <v>3360</v>
      </c>
      <c r="G12" s="0" t="s">
        <v>163</v>
      </c>
    </row>
    <row customHeight="1" ht="11.25">
      <c r="A13" s="494" t="s">
        <v>16</v>
      </c>
      <c r="B13" s="0" t="s">
        <v>3378</v>
      </c>
      <c r="C13" s="0" t="s">
        <v>3379</v>
      </c>
      <c r="D13" s="0" t="s">
        <v>3384</v>
      </c>
      <c r="E13" s="0" t="s">
        <v>3385</v>
      </c>
      <c r="F13" s="0" t="s">
        <v>3363</v>
      </c>
      <c r="G13" s="0" t="s">
        <v>164</v>
      </c>
    </row>
    <row customHeight="1" ht="11.25">
      <c r="A14" s="494" t="s">
        <v>16</v>
      </c>
      <c r="B14" s="0" t="s">
        <v>3378</v>
      </c>
      <c r="C14" s="0" t="s">
        <v>3379</v>
      </c>
      <c r="D14" s="0" t="s">
        <v>3386</v>
      </c>
      <c r="E14" s="0" t="s">
        <v>3387</v>
      </c>
      <c r="F14" s="0" t="s">
        <v>3366</v>
      </c>
      <c r="G14" s="0" t="s">
        <v>165</v>
      </c>
    </row>
    <row customHeight="1" ht="11.25">
      <c r="A15" s="494" t="s">
        <v>16</v>
      </c>
      <c r="B15" s="0" t="s">
        <v>3378</v>
      </c>
      <c r="C15" s="0" t="s">
        <v>3379</v>
      </c>
      <c r="D15" s="0" t="s">
        <v>3388</v>
      </c>
      <c r="E15" s="0" t="s">
        <v>3389</v>
      </c>
      <c r="F15" s="0" t="s">
        <v>3366</v>
      </c>
      <c r="G15" s="0" t="s">
        <v>166</v>
      </c>
    </row>
    <row customHeight="1" ht="11.25">
      <c r="A16" s="494" t="s">
        <v>16</v>
      </c>
      <c r="B16" s="0" t="s">
        <v>3378</v>
      </c>
      <c r="C16" s="0" t="s">
        <v>3379</v>
      </c>
      <c r="D16" s="0" t="s">
        <v>3390</v>
      </c>
      <c r="E16" s="0" t="s">
        <v>3391</v>
      </c>
      <c r="F16" s="0" t="s">
        <v>3366</v>
      </c>
      <c r="G16" s="0" t="s">
        <v>1489</v>
      </c>
    </row>
    <row customHeight="1" ht="11.25">
      <c r="A17" s="494" t="s">
        <v>16</v>
      </c>
      <c r="B17" s="0" t="s">
        <v>3378</v>
      </c>
      <c r="C17" s="0" t="s">
        <v>3379</v>
      </c>
      <c r="D17" s="0" t="s">
        <v>3392</v>
      </c>
      <c r="E17" s="0" t="s">
        <v>3393</v>
      </c>
      <c r="F17" s="0" t="s">
        <v>3366</v>
      </c>
      <c r="G17" s="0" t="s">
        <v>1495</v>
      </c>
    </row>
    <row customHeight="1" ht="11.25">
      <c r="A18" s="494" t="s">
        <v>16</v>
      </c>
      <c r="B18" s="0" t="s">
        <v>3394</v>
      </c>
      <c r="C18" s="0" t="s">
        <v>3395</v>
      </c>
      <c r="D18" s="0" t="s">
        <v>3396</v>
      </c>
      <c r="E18" s="0" t="s">
        <v>3397</v>
      </c>
      <c r="F18" s="0" t="s">
        <v>3366</v>
      </c>
      <c r="G18" s="0" t="s">
        <v>1507</v>
      </c>
    </row>
    <row customHeight="1" ht="11.25">
      <c r="A19" s="494" t="s">
        <v>16</v>
      </c>
      <c r="B19" s="0" t="s">
        <v>3394</v>
      </c>
      <c r="C19" s="0" t="s">
        <v>3395</v>
      </c>
      <c r="D19" s="0" t="s">
        <v>3394</v>
      </c>
      <c r="E19" s="0" t="s">
        <v>3395</v>
      </c>
      <c r="F19" s="0" t="s">
        <v>3360</v>
      </c>
      <c r="G19" s="0" t="s">
        <v>1521</v>
      </c>
    </row>
    <row customHeight="1" ht="11.25">
      <c r="A20" s="494" t="s">
        <v>16</v>
      </c>
      <c r="B20" s="0" t="s">
        <v>3394</v>
      </c>
      <c r="C20" s="0" t="s">
        <v>3395</v>
      </c>
      <c r="D20" s="0" t="s">
        <v>3398</v>
      </c>
      <c r="E20" s="0" t="s">
        <v>3399</v>
      </c>
      <c r="F20" s="0" t="s">
        <v>3363</v>
      </c>
      <c r="G20" s="0" t="s">
        <v>1533</v>
      </c>
    </row>
    <row customHeight="1" ht="11.25">
      <c r="A21" s="494" t="s">
        <v>16</v>
      </c>
      <c r="B21" s="0" t="s">
        <v>3394</v>
      </c>
      <c r="C21" s="0" t="s">
        <v>3395</v>
      </c>
      <c r="D21" s="0" t="s">
        <v>3400</v>
      </c>
      <c r="E21" s="0" t="s">
        <v>3401</v>
      </c>
      <c r="F21" s="0" t="s">
        <v>3366</v>
      </c>
      <c r="G21" s="0" t="s">
        <v>1542</v>
      </c>
    </row>
    <row customHeight="1" ht="11.25">
      <c r="A22" s="494" t="s">
        <v>16</v>
      </c>
      <c r="B22" s="0" t="s">
        <v>3394</v>
      </c>
      <c r="C22" s="0" t="s">
        <v>3395</v>
      </c>
      <c r="D22" s="0" t="s">
        <v>3402</v>
      </c>
      <c r="E22" s="0" t="s">
        <v>3403</v>
      </c>
      <c r="F22" s="0" t="s">
        <v>3366</v>
      </c>
      <c r="G22" s="0" t="s">
        <v>1558</v>
      </c>
    </row>
    <row customHeight="1" ht="11.25">
      <c r="A23" s="494" t="s">
        <v>16</v>
      </c>
      <c r="B23" s="0" t="s">
        <v>3394</v>
      </c>
      <c r="C23" s="0" t="s">
        <v>3395</v>
      </c>
      <c r="D23" s="0" t="s">
        <v>3404</v>
      </c>
      <c r="E23" s="0" t="s">
        <v>3405</v>
      </c>
      <c r="F23" s="0" t="s">
        <v>3366</v>
      </c>
      <c r="G23" s="0" t="s">
        <v>1565</v>
      </c>
    </row>
    <row customHeight="1" ht="11.25">
      <c r="A24" s="494" t="s">
        <v>16</v>
      </c>
      <c r="B24" s="0" t="s">
        <v>3394</v>
      </c>
      <c r="C24" s="0" t="s">
        <v>3395</v>
      </c>
      <c r="D24" s="0" t="s">
        <v>3406</v>
      </c>
      <c r="E24" s="0" t="s">
        <v>3407</v>
      </c>
      <c r="F24" s="0" t="s">
        <v>3366</v>
      </c>
      <c r="G24" s="0" t="s">
        <v>1573</v>
      </c>
    </row>
    <row customHeight="1" ht="11.25">
      <c r="A25" s="494" t="s">
        <v>16</v>
      </c>
      <c r="B25" s="0" t="s">
        <v>3394</v>
      </c>
      <c r="C25" s="0" t="s">
        <v>3395</v>
      </c>
      <c r="D25" s="0" t="s">
        <v>3408</v>
      </c>
      <c r="E25" s="0" t="s">
        <v>3409</v>
      </c>
      <c r="F25" s="0" t="s">
        <v>3363</v>
      </c>
      <c r="G25" s="0" t="s">
        <v>1580</v>
      </c>
    </row>
    <row customHeight="1" ht="11.25">
      <c r="A26" s="494" t="s">
        <v>16</v>
      </c>
      <c r="B26" s="0" t="s">
        <v>3394</v>
      </c>
      <c r="C26" s="0" t="s">
        <v>3395</v>
      </c>
      <c r="D26" s="0" t="s">
        <v>3410</v>
      </c>
      <c r="E26" s="0" t="s">
        <v>3411</v>
      </c>
      <c r="F26" s="0" t="s">
        <v>3366</v>
      </c>
      <c r="G26" s="0" t="s">
        <v>1584</v>
      </c>
    </row>
    <row customHeight="1" ht="11.25">
      <c r="A27" s="494" t="s">
        <v>16</v>
      </c>
      <c r="B27" s="0" t="s">
        <v>3394</v>
      </c>
      <c r="C27" s="0" t="s">
        <v>3395</v>
      </c>
      <c r="D27" s="0" t="s">
        <v>3412</v>
      </c>
      <c r="E27" s="0" t="s">
        <v>3413</v>
      </c>
      <c r="F27" s="0" t="s">
        <v>3366</v>
      </c>
      <c r="G27" s="0" t="s">
        <v>1589</v>
      </c>
    </row>
    <row customHeight="1" ht="11.25">
      <c r="A28" s="494" t="s">
        <v>16</v>
      </c>
      <c r="B28" s="0" t="s">
        <v>3394</v>
      </c>
      <c r="C28" s="0" t="s">
        <v>3395</v>
      </c>
      <c r="D28" s="0" t="s">
        <v>3414</v>
      </c>
      <c r="E28" s="0" t="s">
        <v>3415</v>
      </c>
      <c r="F28" s="0" t="s">
        <v>3366</v>
      </c>
      <c r="G28" s="0" t="s">
        <v>1597</v>
      </c>
    </row>
    <row customHeight="1" ht="11.25">
      <c r="A29" s="494" t="s">
        <v>16</v>
      </c>
      <c r="B29" s="0" t="s">
        <v>3394</v>
      </c>
      <c r="C29" s="0" t="s">
        <v>3395</v>
      </c>
      <c r="D29" s="0" t="s">
        <v>3416</v>
      </c>
      <c r="E29" s="0" t="s">
        <v>3417</v>
      </c>
      <c r="F29" s="0" t="s">
        <v>3366</v>
      </c>
      <c r="G29" s="0" t="s">
        <v>1599</v>
      </c>
    </row>
    <row customHeight="1" ht="11.25">
      <c r="A30" s="494" t="s">
        <v>16</v>
      </c>
      <c r="B30" s="0" t="s">
        <v>3394</v>
      </c>
      <c r="C30" s="0" t="s">
        <v>3395</v>
      </c>
      <c r="D30" s="0" t="s">
        <v>3418</v>
      </c>
      <c r="E30" s="0" t="s">
        <v>3419</v>
      </c>
      <c r="F30" s="0" t="s">
        <v>3366</v>
      </c>
      <c r="G30" s="0" t="s">
        <v>1602</v>
      </c>
    </row>
    <row customHeight="1" ht="11.25">
      <c r="A31" s="494" t="s">
        <v>16</v>
      </c>
      <c r="B31" s="0" t="s">
        <v>3394</v>
      </c>
      <c r="C31" s="0" t="s">
        <v>3395</v>
      </c>
      <c r="D31" s="0" t="s">
        <v>3420</v>
      </c>
      <c r="E31" s="0" t="s">
        <v>3421</v>
      </c>
      <c r="F31" s="0" t="s">
        <v>3363</v>
      </c>
      <c r="G31" s="0" t="s">
        <v>1608</v>
      </c>
    </row>
    <row customHeight="1" ht="11.25">
      <c r="A32" s="494" t="s">
        <v>16</v>
      </c>
      <c r="B32" s="0" t="s">
        <v>3394</v>
      </c>
      <c r="C32" s="0" t="s">
        <v>3395</v>
      </c>
      <c r="D32" s="0" t="s">
        <v>3422</v>
      </c>
      <c r="E32" s="0" t="s">
        <v>3423</v>
      </c>
      <c r="F32" s="0" t="s">
        <v>3366</v>
      </c>
      <c r="G32" s="0" t="s">
        <v>1610</v>
      </c>
    </row>
    <row customHeight="1" ht="11.25">
      <c r="A33" s="494" t="s">
        <v>16</v>
      </c>
      <c r="B33" s="0" t="s">
        <v>3394</v>
      </c>
      <c r="C33" s="0" t="s">
        <v>3395</v>
      </c>
      <c r="D33" s="0" t="s">
        <v>3424</v>
      </c>
      <c r="E33" s="0" t="s">
        <v>3425</v>
      </c>
      <c r="F33" s="0" t="s">
        <v>3366</v>
      </c>
      <c r="G33" s="0" t="s">
        <v>1611</v>
      </c>
    </row>
    <row customHeight="1" ht="11.25">
      <c r="A34" s="494" t="s">
        <v>16</v>
      </c>
      <c r="B34" s="0" t="s">
        <v>100</v>
      </c>
      <c r="C34" s="0" t="s">
        <v>3426</v>
      </c>
      <c r="D34" s="0" t="s">
        <v>3427</v>
      </c>
      <c r="E34" s="0" t="s">
        <v>3428</v>
      </c>
      <c r="F34" s="0" t="s">
        <v>3366</v>
      </c>
      <c r="G34" s="0" t="s">
        <v>1613</v>
      </c>
    </row>
    <row customHeight="1" ht="11.25">
      <c r="A35" s="494" t="s">
        <v>16</v>
      </c>
      <c r="B35" s="0" t="s">
        <v>100</v>
      </c>
      <c r="C35" s="0" t="s">
        <v>3426</v>
      </c>
      <c r="D35" s="0" t="s">
        <v>3429</v>
      </c>
      <c r="E35" s="0" t="s">
        <v>3430</v>
      </c>
      <c r="F35" s="0" t="s">
        <v>3363</v>
      </c>
      <c r="G35" s="0" t="s">
        <v>1618</v>
      </c>
    </row>
    <row customHeight="1" ht="11.25">
      <c r="A36" s="494" t="s">
        <v>16</v>
      </c>
      <c r="B36" s="0" t="s">
        <v>100</v>
      </c>
      <c r="C36" s="0" t="s">
        <v>3426</v>
      </c>
      <c r="D36" s="0" t="s">
        <v>3429</v>
      </c>
      <c r="E36" s="0" t="s">
        <v>3431</v>
      </c>
      <c r="F36" s="0" t="s">
        <v>3366</v>
      </c>
      <c r="G36" s="0" t="s">
        <v>1623</v>
      </c>
    </row>
    <row customHeight="1" ht="11.25">
      <c r="A37" s="494" t="s">
        <v>16</v>
      </c>
      <c r="B37" s="0" t="s">
        <v>100</v>
      </c>
      <c r="C37" s="0" t="s">
        <v>3426</v>
      </c>
      <c r="D37" s="0" t="s">
        <v>100</v>
      </c>
      <c r="E37" s="0" t="s">
        <v>3426</v>
      </c>
      <c r="F37" s="0" t="s">
        <v>3360</v>
      </c>
      <c r="G37" s="0" t="s">
        <v>1627</v>
      </c>
    </row>
    <row customHeight="1" ht="11.25">
      <c r="A38" s="494" t="s">
        <v>16</v>
      </c>
      <c r="B38" s="0" t="s">
        <v>100</v>
      </c>
      <c r="C38" s="0" t="s">
        <v>3426</v>
      </c>
      <c r="D38" s="0" t="s">
        <v>3432</v>
      </c>
      <c r="E38" s="0" t="s">
        <v>3433</v>
      </c>
      <c r="F38" s="0" t="s">
        <v>3363</v>
      </c>
      <c r="G38" s="0" t="s">
        <v>1635</v>
      </c>
    </row>
    <row customHeight="1" ht="11.25">
      <c r="A39" s="494" t="s">
        <v>16</v>
      </c>
      <c r="B39" s="0" t="s">
        <v>100</v>
      </c>
      <c r="C39" s="0" t="s">
        <v>3426</v>
      </c>
      <c r="D39" s="0" t="s">
        <v>3434</v>
      </c>
      <c r="E39" s="0" t="s">
        <v>3435</v>
      </c>
      <c r="F39" s="0" t="s">
        <v>3371</v>
      </c>
      <c r="G39" s="0" t="s">
        <v>114</v>
      </c>
    </row>
    <row customHeight="1" ht="11.25">
      <c r="A40" s="494" t="s">
        <v>16</v>
      </c>
      <c r="B40" s="0" t="s">
        <v>100</v>
      </c>
      <c r="C40" s="0" t="s">
        <v>3426</v>
      </c>
      <c r="D40" s="0" t="s">
        <v>115</v>
      </c>
      <c r="E40" s="0" t="s">
        <v>116</v>
      </c>
      <c r="F40" s="0" t="s">
        <v>3371</v>
      </c>
      <c r="G40" s="0" t="s">
        <v>1645</v>
      </c>
    </row>
    <row customHeight="1" ht="11.25">
      <c r="A41" s="494" t="s">
        <v>16</v>
      </c>
      <c r="B41" s="0" t="s">
        <v>100</v>
      </c>
      <c r="C41" s="0" t="s">
        <v>3426</v>
      </c>
      <c r="D41" s="0" t="s">
        <v>3436</v>
      </c>
      <c r="E41" s="0" t="s">
        <v>3437</v>
      </c>
      <c r="F41" s="0" t="s">
        <v>3363</v>
      </c>
      <c r="G41" s="0" t="s">
        <v>1649</v>
      </c>
    </row>
    <row customHeight="1" ht="11.25">
      <c r="A42" s="494" t="s">
        <v>16</v>
      </c>
      <c r="B42" s="0" t="s">
        <v>100</v>
      </c>
      <c r="C42" s="0" t="s">
        <v>3426</v>
      </c>
      <c r="D42" s="0" t="s">
        <v>3436</v>
      </c>
      <c r="E42" s="0" t="s">
        <v>3438</v>
      </c>
      <c r="F42" s="0" t="s">
        <v>3366</v>
      </c>
      <c r="G42" s="0" t="s">
        <v>1652</v>
      </c>
    </row>
    <row customHeight="1" ht="11.25">
      <c r="A43" s="494" t="s">
        <v>16</v>
      </c>
      <c r="B43" s="0" t="s">
        <v>100</v>
      </c>
      <c r="C43" s="0" t="s">
        <v>3426</v>
      </c>
      <c r="D43" s="0" t="s">
        <v>3439</v>
      </c>
      <c r="E43" s="0" t="s">
        <v>3440</v>
      </c>
      <c r="F43" s="0" t="s">
        <v>3371</v>
      </c>
      <c r="G43" s="0" t="s">
        <v>1659</v>
      </c>
    </row>
    <row customHeight="1" ht="11.25">
      <c r="A44" s="494" t="s">
        <v>16</v>
      </c>
      <c r="B44" s="0" t="s">
        <v>100</v>
      </c>
      <c r="C44" s="0" t="s">
        <v>3426</v>
      </c>
      <c r="D44" s="0" t="s">
        <v>3441</v>
      </c>
      <c r="E44" s="0" t="s">
        <v>3442</v>
      </c>
      <c r="F44" s="0" t="s">
        <v>3366</v>
      </c>
      <c r="G44" s="0" t="s">
        <v>1668</v>
      </c>
    </row>
    <row customHeight="1" ht="11.25">
      <c r="A45" s="494" t="s">
        <v>16</v>
      </c>
      <c r="B45" s="0" t="s">
        <v>100</v>
      </c>
      <c r="C45" s="0" t="s">
        <v>3426</v>
      </c>
      <c r="D45" s="0" t="s">
        <v>3443</v>
      </c>
      <c r="E45" s="0" t="s">
        <v>3444</v>
      </c>
      <c r="F45" s="0" t="s">
        <v>3366</v>
      </c>
      <c r="G45" s="0" t="s">
        <v>1673</v>
      </c>
    </row>
    <row customHeight="1" ht="11.25">
      <c r="A46" s="494" t="s">
        <v>16</v>
      </c>
      <c r="B46" s="0" t="s">
        <v>100</v>
      </c>
      <c r="C46" s="0" t="s">
        <v>3426</v>
      </c>
      <c r="D46" s="0" t="s">
        <v>3445</v>
      </c>
      <c r="E46" s="0" t="s">
        <v>3446</v>
      </c>
      <c r="F46" s="0" t="s">
        <v>3371</v>
      </c>
      <c r="G46" s="0" t="s">
        <v>105</v>
      </c>
    </row>
    <row customHeight="1" ht="11.25">
      <c r="A47" s="494" t="s">
        <v>16</v>
      </c>
      <c r="B47" s="0" t="s">
        <v>100</v>
      </c>
      <c r="C47" s="0" t="s">
        <v>3426</v>
      </c>
      <c r="D47" s="0" t="s">
        <v>106</v>
      </c>
      <c r="E47" s="0" t="s">
        <v>107</v>
      </c>
      <c r="F47" s="0" t="s">
        <v>3363</v>
      </c>
      <c r="G47" s="0" t="s">
        <v>99</v>
      </c>
    </row>
    <row customHeight="1" ht="11.25">
      <c r="A48" s="494" t="s">
        <v>16</v>
      </c>
      <c r="B48" s="0" t="s">
        <v>100</v>
      </c>
      <c r="C48" s="0" t="s">
        <v>3426</v>
      </c>
      <c r="D48" s="0" t="s">
        <v>101</v>
      </c>
      <c r="E48" s="0" t="s">
        <v>102</v>
      </c>
      <c r="F48" s="0" t="s">
        <v>3366</v>
      </c>
      <c r="G48" s="0" t="s">
        <v>1686</v>
      </c>
    </row>
    <row customHeight="1" ht="11.25">
      <c r="A49" s="494" t="s">
        <v>16</v>
      </c>
      <c r="B49" s="0" t="s">
        <v>100</v>
      </c>
      <c r="C49" s="0" t="s">
        <v>3426</v>
      </c>
      <c r="D49" s="0" t="s">
        <v>3447</v>
      </c>
      <c r="E49" s="0" t="s">
        <v>3448</v>
      </c>
      <c r="F49" s="0" t="s">
        <v>3371</v>
      </c>
      <c r="G49" s="0" t="s">
        <v>1689</v>
      </c>
    </row>
    <row customHeight="1" ht="11.25">
      <c r="A50" s="494" t="s">
        <v>16</v>
      </c>
      <c r="B50" s="0" t="s">
        <v>100</v>
      </c>
      <c r="C50" s="0" t="s">
        <v>3426</v>
      </c>
      <c r="D50" s="0" t="s">
        <v>3449</v>
      </c>
      <c r="E50" s="0" t="s">
        <v>3450</v>
      </c>
      <c r="F50" s="0" t="s">
        <v>3366</v>
      </c>
      <c r="G50" s="0" t="s">
        <v>1692</v>
      </c>
    </row>
    <row customHeight="1" ht="11.25">
      <c r="A51" s="494" t="s">
        <v>16</v>
      </c>
      <c r="B51" s="0" t="s">
        <v>100</v>
      </c>
      <c r="C51" s="0" t="s">
        <v>3426</v>
      </c>
      <c r="D51" s="0" t="s">
        <v>3451</v>
      </c>
      <c r="E51" s="0" t="s">
        <v>3452</v>
      </c>
      <c r="F51" s="0" t="s">
        <v>3371</v>
      </c>
      <c r="G51" s="0" t="s">
        <v>1697</v>
      </c>
    </row>
    <row customHeight="1" ht="11.25">
      <c r="A52" s="494" t="s">
        <v>16</v>
      </c>
      <c r="B52" s="0" t="s">
        <v>100</v>
      </c>
      <c r="C52" s="0" t="s">
        <v>3426</v>
      </c>
      <c r="D52" s="0" t="s">
        <v>3453</v>
      </c>
      <c r="E52" s="0" t="s">
        <v>3454</v>
      </c>
      <c r="F52" s="0" t="s">
        <v>3363</v>
      </c>
      <c r="G52" s="0" t="s">
        <v>1701</v>
      </c>
    </row>
    <row customHeight="1" ht="11.25">
      <c r="A53" s="494" t="s">
        <v>16</v>
      </c>
      <c r="B53" s="0" t="s">
        <v>100</v>
      </c>
      <c r="C53" s="0" t="s">
        <v>3426</v>
      </c>
      <c r="D53" s="0" t="s">
        <v>3455</v>
      </c>
      <c r="E53" s="0" t="s">
        <v>3456</v>
      </c>
      <c r="F53" s="0" t="s">
        <v>3371</v>
      </c>
      <c r="G53" s="0" t="s">
        <v>1703</v>
      </c>
    </row>
    <row customHeight="1" ht="11.25">
      <c r="A54" s="494" t="s">
        <v>16</v>
      </c>
      <c r="B54" s="0" t="s">
        <v>100</v>
      </c>
      <c r="C54" s="0" t="s">
        <v>3426</v>
      </c>
      <c r="D54" s="0" t="s">
        <v>3457</v>
      </c>
      <c r="E54" s="0" t="s">
        <v>3458</v>
      </c>
      <c r="F54" s="0" t="s">
        <v>3366</v>
      </c>
      <c r="G54" s="0" t="s">
        <v>1706</v>
      </c>
    </row>
    <row customHeight="1" ht="11.25">
      <c r="A55" s="494" t="s">
        <v>16</v>
      </c>
      <c r="B55" s="0" t="s">
        <v>100</v>
      </c>
      <c r="C55" s="0" t="s">
        <v>3426</v>
      </c>
      <c r="D55" s="0" t="s">
        <v>3459</v>
      </c>
      <c r="E55" s="0" t="s">
        <v>3460</v>
      </c>
      <c r="F55" s="0" t="s">
        <v>3366</v>
      </c>
      <c r="G55" s="0" t="s">
        <v>1710</v>
      </c>
    </row>
    <row customHeight="1" ht="11.25">
      <c r="A56" s="494" t="s">
        <v>16</v>
      </c>
      <c r="B56" s="0" t="s">
        <v>3461</v>
      </c>
      <c r="C56" s="0" t="s">
        <v>3462</v>
      </c>
      <c r="D56" s="0" t="s">
        <v>3461</v>
      </c>
      <c r="E56" s="0" t="s">
        <v>3462</v>
      </c>
      <c r="F56" s="0" t="s">
        <v>3360</v>
      </c>
      <c r="G56" s="0" t="s">
        <v>1713</v>
      </c>
    </row>
    <row customHeight="1" ht="11.25">
      <c r="A57" s="494" t="s">
        <v>16</v>
      </c>
      <c r="B57" s="0" t="s">
        <v>3461</v>
      </c>
      <c r="C57" s="0" t="s">
        <v>3462</v>
      </c>
      <c r="D57" s="0" t="s">
        <v>3463</v>
      </c>
      <c r="E57" s="0" t="s">
        <v>3464</v>
      </c>
      <c r="F57" s="0" t="s">
        <v>3363</v>
      </c>
      <c r="G57" s="0" t="s">
        <v>1716</v>
      </c>
    </row>
    <row customHeight="1" ht="11.25">
      <c r="A58" s="494" t="s">
        <v>16</v>
      </c>
      <c r="B58" s="0" t="s">
        <v>3461</v>
      </c>
      <c r="C58" s="0" t="s">
        <v>3462</v>
      </c>
      <c r="D58" s="0" t="s">
        <v>3465</v>
      </c>
      <c r="E58" s="0" t="s">
        <v>3466</v>
      </c>
      <c r="F58" s="0" t="s">
        <v>3363</v>
      </c>
      <c r="G58" s="0" t="s">
        <v>1719</v>
      </c>
    </row>
    <row customHeight="1" ht="11.25">
      <c r="A59" s="494" t="s">
        <v>16</v>
      </c>
      <c r="B59" s="0" t="s">
        <v>3461</v>
      </c>
      <c r="C59" s="0" t="s">
        <v>3462</v>
      </c>
      <c r="D59" s="0" t="s">
        <v>3467</v>
      </c>
      <c r="E59" s="0" t="s">
        <v>3468</v>
      </c>
      <c r="F59" s="0" t="s">
        <v>3366</v>
      </c>
      <c r="G59" s="0" t="s">
        <v>1723</v>
      </c>
    </row>
    <row customHeight="1" ht="11.25">
      <c r="A60" s="494" t="s">
        <v>16</v>
      </c>
      <c r="B60" s="0" t="s">
        <v>3461</v>
      </c>
      <c r="C60" s="0" t="s">
        <v>3462</v>
      </c>
      <c r="D60" s="0" t="s">
        <v>3469</v>
      </c>
      <c r="E60" s="0" t="s">
        <v>3470</v>
      </c>
      <c r="F60" s="0" t="s">
        <v>3363</v>
      </c>
      <c r="G60" s="0" t="s">
        <v>1727</v>
      </c>
    </row>
    <row customHeight="1" ht="11.25">
      <c r="A61" s="494" t="s">
        <v>16</v>
      </c>
      <c r="B61" s="0" t="s">
        <v>3461</v>
      </c>
      <c r="C61" s="0" t="s">
        <v>3462</v>
      </c>
      <c r="D61" s="0" t="s">
        <v>3471</v>
      </c>
      <c r="E61" s="0" t="s">
        <v>3472</v>
      </c>
      <c r="F61" s="0" t="s">
        <v>3366</v>
      </c>
      <c r="G61" s="0" t="s">
        <v>3473</v>
      </c>
    </row>
    <row customHeight="1" ht="11.25">
      <c r="A62" s="494" t="s">
        <v>16</v>
      </c>
      <c r="B62" s="0" t="s">
        <v>3461</v>
      </c>
      <c r="C62" s="0" t="s">
        <v>3462</v>
      </c>
      <c r="D62" s="0" t="s">
        <v>3474</v>
      </c>
      <c r="E62" s="0" t="s">
        <v>3475</v>
      </c>
      <c r="F62" s="0" t="s">
        <v>3366</v>
      </c>
      <c r="G62" s="0" t="s">
        <v>3476</v>
      </c>
    </row>
    <row customHeight="1" ht="11.25">
      <c r="A63" s="494" t="s">
        <v>16</v>
      </c>
      <c r="B63" s="0" t="s">
        <v>3461</v>
      </c>
      <c r="C63" s="0" t="s">
        <v>3462</v>
      </c>
      <c r="D63" s="0" t="s">
        <v>3477</v>
      </c>
      <c r="E63" s="0" t="s">
        <v>3478</v>
      </c>
      <c r="F63" s="0" t="s">
        <v>3366</v>
      </c>
      <c r="G63" s="0" t="s">
        <v>3479</v>
      </c>
    </row>
    <row customHeight="1" ht="11.25">
      <c r="A64" s="494" t="s">
        <v>16</v>
      </c>
      <c r="B64" s="0" t="s">
        <v>3461</v>
      </c>
      <c r="C64" s="0" t="s">
        <v>3462</v>
      </c>
      <c r="D64" s="0" t="s">
        <v>3480</v>
      </c>
      <c r="E64" s="0" t="s">
        <v>3481</v>
      </c>
      <c r="F64" s="0" t="s">
        <v>3363</v>
      </c>
      <c r="G64" s="0" t="s">
        <v>3482</v>
      </c>
    </row>
    <row customHeight="1" ht="11.25">
      <c r="A65" s="494" t="s">
        <v>16</v>
      </c>
      <c r="B65" s="0" t="s">
        <v>3461</v>
      </c>
      <c r="C65" s="0" t="s">
        <v>3462</v>
      </c>
      <c r="D65" s="0" t="s">
        <v>3483</v>
      </c>
      <c r="E65" s="0" t="s">
        <v>3484</v>
      </c>
      <c r="F65" s="0" t="s">
        <v>3371</v>
      </c>
      <c r="G65" s="0" t="s">
        <v>3485</v>
      </c>
    </row>
    <row customHeight="1" ht="11.25">
      <c r="A66" s="494" t="s">
        <v>16</v>
      </c>
      <c r="B66" s="0" t="s">
        <v>3461</v>
      </c>
      <c r="C66" s="0" t="s">
        <v>3462</v>
      </c>
      <c r="D66" s="0" t="s">
        <v>3486</v>
      </c>
      <c r="E66" s="0" t="s">
        <v>3487</v>
      </c>
      <c r="F66" s="0" t="s">
        <v>3363</v>
      </c>
      <c r="G66" s="0" t="s">
        <v>3488</v>
      </c>
    </row>
    <row customHeight="1" ht="11.25">
      <c r="A67" s="494" t="s">
        <v>16</v>
      </c>
      <c r="B67" s="0" t="s">
        <v>3461</v>
      </c>
      <c r="C67" s="0" t="s">
        <v>3462</v>
      </c>
      <c r="D67" s="0" t="s">
        <v>3489</v>
      </c>
      <c r="E67" s="0" t="s">
        <v>3490</v>
      </c>
      <c r="F67" s="0" t="s">
        <v>3366</v>
      </c>
      <c r="G67" s="0" t="s">
        <v>2045</v>
      </c>
    </row>
    <row customHeight="1" ht="11.25">
      <c r="A68" s="494" t="s">
        <v>16</v>
      </c>
      <c r="B68" s="0" t="s">
        <v>3461</v>
      </c>
      <c r="C68" s="0" t="s">
        <v>3462</v>
      </c>
      <c r="D68" s="0" t="s">
        <v>3491</v>
      </c>
      <c r="E68" s="0" t="s">
        <v>3492</v>
      </c>
      <c r="F68" s="0" t="s">
        <v>3371</v>
      </c>
      <c r="G68" s="0" t="s">
        <v>3493</v>
      </c>
    </row>
    <row customHeight="1" ht="11.25">
      <c r="A69" s="494" t="s">
        <v>16</v>
      </c>
      <c r="B69" s="0" t="s">
        <v>3494</v>
      </c>
      <c r="C69" s="0" t="s">
        <v>3495</v>
      </c>
      <c r="D69" s="0" t="s">
        <v>3494</v>
      </c>
      <c r="E69" s="0" t="s">
        <v>3495</v>
      </c>
      <c r="F69" s="0" t="s">
        <v>3496</v>
      </c>
      <c r="G69" s="0" t="s">
        <v>2248</v>
      </c>
    </row>
    <row customHeight="1" ht="11.25">
      <c r="A70" s="494" t="s">
        <v>16</v>
      </c>
      <c r="B70" s="0" t="s">
        <v>3497</v>
      </c>
      <c r="C70" s="0" t="s">
        <v>3498</v>
      </c>
      <c r="D70" s="0" t="s">
        <v>3499</v>
      </c>
      <c r="E70" s="0" t="s">
        <v>3500</v>
      </c>
      <c r="F70" s="0" t="s">
        <v>3366</v>
      </c>
      <c r="G70" s="0" t="s">
        <v>3501</v>
      </c>
    </row>
    <row customHeight="1" ht="11.25">
      <c r="A71" s="494" t="s">
        <v>16</v>
      </c>
      <c r="B71" s="0" t="s">
        <v>3497</v>
      </c>
      <c r="C71" s="0" t="s">
        <v>3498</v>
      </c>
      <c r="D71" s="0" t="s">
        <v>3502</v>
      </c>
      <c r="E71" s="0" t="s">
        <v>3503</v>
      </c>
      <c r="F71" s="0" t="s">
        <v>3366</v>
      </c>
      <c r="G71" s="0" t="s">
        <v>3504</v>
      </c>
    </row>
    <row customHeight="1" ht="11.25">
      <c r="A72" s="494" t="s">
        <v>16</v>
      </c>
      <c r="B72" s="0" t="s">
        <v>3497</v>
      </c>
      <c r="C72" s="0" t="s">
        <v>3498</v>
      </c>
      <c r="D72" s="0" t="s">
        <v>3505</v>
      </c>
      <c r="E72" s="0" t="s">
        <v>3506</v>
      </c>
      <c r="F72" s="0" t="s">
        <v>3366</v>
      </c>
      <c r="G72" s="0" t="s">
        <v>3507</v>
      </c>
    </row>
    <row customHeight="1" ht="11.25">
      <c r="A73" s="494" t="s">
        <v>16</v>
      </c>
      <c r="B73" s="0" t="s">
        <v>3497</v>
      </c>
      <c r="C73" s="0" t="s">
        <v>3498</v>
      </c>
      <c r="D73" s="0" t="s">
        <v>3508</v>
      </c>
      <c r="E73" s="0" t="s">
        <v>3509</v>
      </c>
      <c r="F73" s="0" t="s">
        <v>3371</v>
      </c>
      <c r="G73" s="0" t="s">
        <v>3510</v>
      </c>
    </row>
    <row customHeight="1" ht="11.25">
      <c r="A74" s="494" t="s">
        <v>16</v>
      </c>
      <c r="B74" s="0" t="s">
        <v>3497</v>
      </c>
      <c r="C74" s="0" t="s">
        <v>3498</v>
      </c>
      <c r="D74" s="0" t="s">
        <v>3497</v>
      </c>
      <c r="E74" s="0" t="s">
        <v>3498</v>
      </c>
      <c r="F74" s="0" t="s">
        <v>3360</v>
      </c>
      <c r="G74" s="0" t="s">
        <v>3511</v>
      </c>
    </row>
    <row customHeight="1" ht="11.25">
      <c r="A75" s="494" t="s">
        <v>16</v>
      </c>
      <c r="B75" s="0" t="s">
        <v>3497</v>
      </c>
      <c r="C75" s="0" t="s">
        <v>3498</v>
      </c>
      <c r="D75" s="0" t="s">
        <v>3512</v>
      </c>
      <c r="E75" s="0" t="s">
        <v>3513</v>
      </c>
      <c r="F75" s="0" t="s">
        <v>3363</v>
      </c>
      <c r="G75" s="0" t="s">
        <v>3514</v>
      </c>
    </row>
    <row customHeight="1" ht="11.25">
      <c r="A76" s="494" t="s">
        <v>16</v>
      </c>
      <c r="B76" s="0" t="s">
        <v>3497</v>
      </c>
      <c r="C76" s="0" t="s">
        <v>3498</v>
      </c>
      <c r="D76" s="0" t="s">
        <v>3515</v>
      </c>
      <c r="E76" s="0" t="s">
        <v>3516</v>
      </c>
      <c r="F76" s="0" t="s">
        <v>3371</v>
      </c>
      <c r="G76" s="0" t="s">
        <v>3517</v>
      </c>
    </row>
    <row customHeight="1" ht="11.25">
      <c r="A77" s="494" t="s">
        <v>16</v>
      </c>
      <c r="B77" s="0" t="s">
        <v>3497</v>
      </c>
      <c r="C77" s="0" t="s">
        <v>3498</v>
      </c>
      <c r="D77" s="0" t="s">
        <v>3518</v>
      </c>
      <c r="E77" s="0" t="s">
        <v>3519</v>
      </c>
      <c r="F77" s="0" t="s">
        <v>3366</v>
      </c>
      <c r="G77" s="0" t="s">
        <v>3520</v>
      </c>
    </row>
    <row customHeight="1" ht="11.25">
      <c r="A78" s="494" t="s">
        <v>16</v>
      </c>
      <c r="B78" s="0" t="s">
        <v>3497</v>
      </c>
      <c r="C78" s="0" t="s">
        <v>3498</v>
      </c>
      <c r="D78" s="0" t="s">
        <v>3521</v>
      </c>
      <c r="E78" s="0" t="s">
        <v>3522</v>
      </c>
      <c r="F78" s="0" t="s">
        <v>3366</v>
      </c>
      <c r="G78" s="0" t="s">
        <v>3523</v>
      </c>
    </row>
    <row customHeight="1" ht="11.25">
      <c r="A79" s="494" t="s">
        <v>16</v>
      </c>
      <c r="B79" s="0" t="s">
        <v>3497</v>
      </c>
      <c r="C79" s="0" t="s">
        <v>3498</v>
      </c>
      <c r="D79" s="0" t="s">
        <v>3524</v>
      </c>
      <c r="E79" s="0" t="s">
        <v>3525</v>
      </c>
      <c r="F79" s="0" t="s">
        <v>3363</v>
      </c>
      <c r="G79" s="0" t="s">
        <v>3526</v>
      </c>
    </row>
    <row customHeight="1" ht="11.25">
      <c r="A80" s="494" t="s">
        <v>16</v>
      </c>
      <c r="B80" s="0" t="s">
        <v>3497</v>
      </c>
      <c r="C80" s="0" t="s">
        <v>3498</v>
      </c>
      <c r="D80" s="0" t="s">
        <v>3527</v>
      </c>
      <c r="E80" s="0" t="s">
        <v>3528</v>
      </c>
      <c r="F80" s="0" t="s">
        <v>3366</v>
      </c>
      <c r="G80" s="0" t="s">
        <v>3529</v>
      </c>
    </row>
    <row customHeight="1" ht="11.25">
      <c r="A81" s="494" t="s">
        <v>16</v>
      </c>
      <c r="B81" s="0" t="s">
        <v>3497</v>
      </c>
      <c r="C81" s="0" t="s">
        <v>3498</v>
      </c>
      <c r="D81" s="0" t="s">
        <v>3530</v>
      </c>
      <c r="E81" s="0" t="s">
        <v>3531</v>
      </c>
      <c r="F81" s="0" t="s">
        <v>3366</v>
      </c>
      <c r="G81" s="0" t="s">
        <v>3532</v>
      </c>
    </row>
    <row customHeight="1" ht="11.25">
      <c r="A82" s="494" t="s">
        <v>16</v>
      </c>
      <c r="B82" s="0" t="s">
        <v>3497</v>
      </c>
      <c r="C82" s="0" t="s">
        <v>3498</v>
      </c>
      <c r="D82" s="0" t="s">
        <v>3533</v>
      </c>
      <c r="E82" s="0" t="s">
        <v>3534</v>
      </c>
      <c r="F82" s="0" t="s">
        <v>3366</v>
      </c>
      <c r="G82" s="0" t="s">
        <v>3535</v>
      </c>
    </row>
    <row customHeight="1" ht="11.25">
      <c r="A83" s="494" t="s">
        <v>16</v>
      </c>
      <c r="B83" s="0" t="s">
        <v>3497</v>
      </c>
      <c r="C83" s="0" t="s">
        <v>3498</v>
      </c>
      <c r="D83" s="0" t="s">
        <v>3536</v>
      </c>
      <c r="E83" s="0" t="s">
        <v>3537</v>
      </c>
      <c r="F83" s="0" t="s">
        <v>3366</v>
      </c>
      <c r="G83" s="0" t="s">
        <v>3538</v>
      </c>
    </row>
    <row customHeight="1" ht="11.25">
      <c r="A84" s="494" t="s">
        <v>16</v>
      </c>
      <c r="B84" s="0" t="s">
        <v>3497</v>
      </c>
      <c r="C84" s="0" t="s">
        <v>3498</v>
      </c>
      <c r="D84" s="0" t="s">
        <v>3539</v>
      </c>
      <c r="E84" s="0" t="s">
        <v>3540</v>
      </c>
      <c r="F84" s="0" t="s">
        <v>3371</v>
      </c>
      <c r="G84" s="0" t="s">
        <v>3541</v>
      </c>
    </row>
    <row customHeight="1" ht="11.25">
      <c r="A85" s="494" t="s">
        <v>16</v>
      </c>
      <c r="B85" s="0" t="s">
        <v>3497</v>
      </c>
      <c r="C85" s="0" t="s">
        <v>3498</v>
      </c>
      <c r="D85" s="0" t="s">
        <v>3542</v>
      </c>
      <c r="E85" s="0" t="s">
        <v>3543</v>
      </c>
      <c r="F85" s="0" t="s">
        <v>3366</v>
      </c>
      <c r="G85" s="0" t="s">
        <v>3544</v>
      </c>
    </row>
    <row customHeight="1" ht="11.25">
      <c r="A86" s="494" t="s">
        <v>16</v>
      </c>
      <c r="B86" s="0" t="s">
        <v>3497</v>
      </c>
      <c r="C86" s="0" t="s">
        <v>3498</v>
      </c>
      <c r="D86" s="0" t="s">
        <v>3545</v>
      </c>
      <c r="E86" s="0" t="s">
        <v>3546</v>
      </c>
      <c r="F86" s="0" t="s">
        <v>3366</v>
      </c>
      <c r="G86" s="0" t="s">
        <v>3547</v>
      </c>
    </row>
    <row customHeight="1" ht="11.25">
      <c r="A87" s="494" t="s">
        <v>16</v>
      </c>
      <c r="B87" s="0" t="s">
        <v>3497</v>
      </c>
      <c r="C87" s="0" t="s">
        <v>3498</v>
      </c>
      <c r="D87" s="0" t="s">
        <v>3548</v>
      </c>
      <c r="E87" s="0" t="s">
        <v>3549</v>
      </c>
      <c r="F87" s="0" t="s">
        <v>3371</v>
      </c>
      <c r="G87" s="0" t="s">
        <v>3550</v>
      </c>
    </row>
    <row customHeight="1" ht="11.25">
      <c r="A88" s="494" t="s">
        <v>16</v>
      </c>
      <c r="B88" s="0" t="s">
        <v>3551</v>
      </c>
      <c r="C88" s="0" t="s">
        <v>3552</v>
      </c>
      <c r="D88" s="0" t="s">
        <v>3553</v>
      </c>
      <c r="E88" s="0" t="s">
        <v>3554</v>
      </c>
      <c r="F88" s="0" t="s">
        <v>3366</v>
      </c>
      <c r="G88" s="0" t="s">
        <v>3555</v>
      </c>
    </row>
    <row customHeight="1" ht="11.25">
      <c r="A89" s="494" t="s">
        <v>16</v>
      </c>
      <c r="B89" s="0" t="s">
        <v>3551</v>
      </c>
      <c r="C89" s="0" t="s">
        <v>3552</v>
      </c>
      <c r="D89" s="0" t="s">
        <v>3556</v>
      </c>
      <c r="E89" s="0" t="s">
        <v>3557</v>
      </c>
      <c r="F89" s="0" t="s">
        <v>3366</v>
      </c>
      <c r="G89" s="0" t="s">
        <v>3558</v>
      </c>
    </row>
    <row customHeight="1" ht="11.25">
      <c r="A90" s="494" t="s">
        <v>16</v>
      </c>
      <c r="B90" s="0" t="s">
        <v>3551</v>
      </c>
      <c r="C90" s="0" t="s">
        <v>3552</v>
      </c>
      <c r="D90" s="0" t="s">
        <v>3559</v>
      </c>
      <c r="E90" s="0" t="s">
        <v>3560</v>
      </c>
      <c r="F90" s="0" t="s">
        <v>3363</v>
      </c>
      <c r="G90" s="0" t="s">
        <v>3561</v>
      </c>
    </row>
    <row customHeight="1" ht="11.25">
      <c r="A91" s="494" t="s">
        <v>16</v>
      </c>
      <c r="B91" s="0" t="s">
        <v>3551</v>
      </c>
      <c r="C91" s="0" t="s">
        <v>3552</v>
      </c>
      <c r="D91" s="0" t="s">
        <v>3551</v>
      </c>
      <c r="E91" s="0" t="s">
        <v>3552</v>
      </c>
      <c r="F91" s="0" t="s">
        <v>3360</v>
      </c>
      <c r="G91" s="0" t="s">
        <v>3562</v>
      </c>
    </row>
    <row customHeight="1" ht="11.25">
      <c r="A92" s="494" t="s">
        <v>16</v>
      </c>
      <c r="B92" s="0" t="s">
        <v>3551</v>
      </c>
      <c r="C92" s="0" t="s">
        <v>3552</v>
      </c>
      <c r="D92" s="0" t="s">
        <v>3563</v>
      </c>
      <c r="E92" s="0" t="s">
        <v>3564</v>
      </c>
      <c r="F92" s="0" t="s">
        <v>3363</v>
      </c>
      <c r="G92" s="0" t="s">
        <v>3565</v>
      </c>
    </row>
    <row customHeight="1" ht="11.25">
      <c r="A93" s="494" t="s">
        <v>16</v>
      </c>
      <c r="B93" s="0" t="s">
        <v>3551</v>
      </c>
      <c r="C93" s="0" t="s">
        <v>3552</v>
      </c>
      <c r="D93" s="0" t="s">
        <v>3566</v>
      </c>
      <c r="E93" s="0" t="s">
        <v>3567</v>
      </c>
      <c r="F93" s="0" t="s">
        <v>3366</v>
      </c>
      <c r="G93" s="0" t="s">
        <v>3568</v>
      </c>
    </row>
    <row customHeight="1" ht="11.25">
      <c r="A94" s="494" t="s">
        <v>16</v>
      </c>
      <c r="B94" s="0" t="s">
        <v>3551</v>
      </c>
      <c r="C94" s="0" t="s">
        <v>3552</v>
      </c>
      <c r="D94" s="0" t="s">
        <v>3569</v>
      </c>
      <c r="E94" s="0" t="s">
        <v>3570</v>
      </c>
      <c r="F94" s="0" t="s">
        <v>3366</v>
      </c>
      <c r="G94" s="0" t="s">
        <v>3571</v>
      </c>
    </row>
    <row customHeight="1" ht="11.25">
      <c r="A95" s="494" t="s">
        <v>16</v>
      </c>
      <c r="B95" s="0" t="s">
        <v>3551</v>
      </c>
      <c r="C95" s="0" t="s">
        <v>3552</v>
      </c>
      <c r="D95" s="0" t="s">
        <v>3572</v>
      </c>
      <c r="E95" s="0" t="s">
        <v>3573</v>
      </c>
      <c r="F95" s="0" t="s">
        <v>3366</v>
      </c>
      <c r="G95" s="0" t="s">
        <v>3574</v>
      </c>
    </row>
    <row customHeight="1" ht="11.25">
      <c r="A96" s="494" t="s">
        <v>16</v>
      </c>
      <c r="B96" s="0" t="s">
        <v>3551</v>
      </c>
      <c r="C96" s="0" t="s">
        <v>3552</v>
      </c>
      <c r="D96" s="0" t="s">
        <v>3575</v>
      </c>
      <c r="E96" s="0" t="s">
        <v>3576</v>
      </c>
      <c r="F96" s="0" t="s">
        <v>3366</v>
      </c>
      <c r="G96" s="0" t="s">
        <v>3577</v>
      </c>
    </row>
    <row customHeight="1" ht="11.25">
      <c r="A97" s="494" t="s">
        <v>16</v>
      </c>
      <c r="B97" s="0" t="s">
        <v>3551</v>
      </c>
      <c r="C97" s="0" t="s">
        <v>3552</v>
      </c>
      <c r="D97" s="0" t="s">
        <v>3578</v>
      </c>
      <c r="E97" s="0" t="s">
        <v>3579</v>
      </c>
      <c r="F97" s="0" t="s">
        <v>3366</v>
      </c>
      <c r="G97" s="0" t="s">
        <v>3580</v>
      </c>
    </row>
    <row customHeight="1" ht="11.25">
      <c r="A98" s="494" t="s">
        <v>16</v>
      </c>
      <c r="B98" s="0" t="s">
        <v>3551</v>
      </c>
      <c r="C98" s="0" t="s">
        <v>3552</v>
      </c>
      <c r="D98" s="0" t="s">
        <v>3581</v>
      </c>
      <c r="E98" s="0" t="s">
        <v>3582</v>
      </c>
      <c r="F98" s="0" t="s">
        <v>3366</v>
      </c>
      <c r="G98" s="0" t="s">
        <v>3583</v>
      </c>
    </row>
    <row customHeight="1" ht="11.25">
      <c r="A99" s="494" t="s">
        <v>16</v>
      </c>
      <c r="B99" s="0" t="s">
        <v>3551</v>
      </c>
      <c r="C99" s="0" t="s">
        <v>3552</v>
      </c>
      <c r="D99" s="0" t="s">
        <v>3584</v>
      </c>
      <c r="E99" s="0" t="s">
        <v>3585</v>
      </c>
      <c r="F99" s="0" t="s">
        <v>3366</v>
      </c>
      <c r="G99" s="0" t="s">
        <v>3586</v>
      </c>
    </row>
    <row customHeight="1" ht="11.25">
      <c r="A100" s="494" t="s">
        <v>16</v>
      </c>
      <c r="B100" s="0" t="s">
        <v>3587</v>
      </c>
      <c r="C100" s="0" t="s">
        <v>3588</v>
      </c>
      <c r="D100" s="0" t="s">
        <v>3589</v>
      </c>
      <c r="E100" s="0" t="s">
        <v>3590</v>
      </c>
      <c r="F100" s="0" t="s">
        <v>3371</v>
      </c>
      <c r="G100" s="0" t="s">
        <v>3591</v>
      </c>
    </row>
    <row customHeight="1" ht="11.25">
      <c r="A101" s="494" t="s">
        <v>16</v>
      </c>
      <c r="B101" s="0" t="s">
        <v>3587</v>
      </c>
      <c r="C101" s="0" t="s">
        <v>3588</v>
      </c>
      <c r="D101" s="0" t="s">
        <v>3592</v>
      </c>
      <c r="E101" s="0" t="s">
        <v>3593</v>
      </c>
      <c r="F101" s="0" t="s">
        <v>3366</v>
      </c>
      <c r="G101" s="0" t="s">
        <v>3594</v>
      </c>
    </row>
    <row customHeight="1" ht="11.25">
      <c r="A102" s="494" t="s">
        <v>16</v>
      </c>
      <c r="B102" s="0" t="s">
        <v>3587</v>
      </c>
      <c r="C102" s="0" t="s">
        <v>3588</v>
      </c>
      <c r="D102" s="0" t="s">
        <v>3587</v>
      </c>
      <c r="E102" s="0" t="s">
        <v>3588</v>
      </c>
      <c r="F102" s="0" t="s">
        <v>3360</v>
      </c>
      <c r="G102" s="0" t="s">
        <v>3595</v>
      </c>
    </row>
    <row customHeight="1" ht="11.25">
      <c r="A103" s="494" t="s">
        <v>16</v>
      </c>
      <c r="B103" s="0" t="s">
        <v>3587</v>
      </c>
      <c r="C103" s="0" t="s">
        <v>3588</v>
      </c>
      <c r="D103" s="0" t="s">
        <v>3596</v>
      </c>
      <c r="E103" s="0" t="s">
        <v>3597</v>
      </c>
      <c r="F103" s="0" t="s">
        <v>3363</v>
      </c>
      <c r="G103" s="0" t="s">
        <v>3598</v>
      </c>
    </row>
    <row customHeight="1" ht="11.25">
      <c r="A104" s="494" t="s">
        <v>16</v>
      </c>
      <c r="B104" s="0" t="s">
        <v>3587</v>
      </c>
      <c r="C104" s="0" t="s">
        <v>3588</v>
      </c>
      <c r="D104" s="0" t="s">
        <v>3599</v>
      </c>
      <c r="E104" s="0" t="s">
        <v>3600</v>
      </c>
      <c r="F104" s="0" t="s">
        <v>3366</v>
      </c>
      <c r="G104" s="0" t="s">
        <v>3601</v>
      </c>
    </row>
    <row customHeight="1" ht="11.25">
      <c r="A105" s="494" t="s">
        <v>16</v>
      </c>
      <c r="B105" s="0" t="s">
        <v>3587</v>
      </c>
      <c r="C105" s="0" t="s">
        <v>3588</v>
      </c>
      <c r="D105" s="0" t="s">
        <v>3602</v>
      </c>
      <c r="E105" s="0" t="s">
        <v>3603</v>
      </c>
      <c r="F105" s="0" t="s">
        <v>3366</v>
      </c>
      <c r="G105" s="0" t="s">
        <v>3604</v>
      </c>
    </row>
    <row customHeight="1" ht="11.25">
      <c r="A106" s="494" t="s">
        <v>16</v>
      </c>
      <c r="B106" s="0" t="s">
        <v>3587</v>
      </c>
      <c r="C106" s="0" t="s">
        <v>3588</v>
      </c>
      <c r="D106" s="0" t="s">
        <v>3605</v>
      </c>
      <c r="E106" s="0" t="s">
        <v>3606</v>
      </c>
      <c r="F106" s="0" t="s">
        <v>3366</v>
      </c>
      <c r="G106" s="0" t="s">
        <v>3607</v>
      </c>
    </row>
    <row customHeight="1" ht="11.25">
      <c r="A107" s="494" t="s">
        <v>16</v>
      </c>
      <c r="B107" s="0" t="s">
        <v>3608</v>
      </c>
      <c r="C107" s="0" t="s">
        <v>3609</v>
      </c>
      <c r="D107" s="0" t="s">
        <v>3608</v>
      </c>
      <c r="E107" s="0" t="s">
        <v>3609</v>
      </c>
      <c r="F107" s="0" t="s">
        <v>3360</v>
      </c>
      <c r="G107" s="0" t="s">
        <v>3610</v>
      </c>
    </row>
    <row customHeight="1" ht="11.25">
      <c r="A108" s="494" t="s">
        <v>16</v>
      </c>
      <c r="B108" s="0" t="s">
        <v>3608</v>
      </c>
      <c r="C108" s="0" t="s">
        <v>3609</v>
      </c>
      <c r="D108" s="0" t="s">
        <v>3611</v>
      </c>
      <c r="E108" s="0" t="s">
        <v>3612</v>
      </c>
      <c r="F108" s="0" t="s">
        <v>3363</v>
      </c>
      <c r="G108" s="0" t="s">
        <v>3613</v>
      </c>
    </row>
    <row customHeight="1" ht="11.25">
      <c r="A109" s="494" t="s">
        <v>16</v>
      </c>
      <c r="B109" s="0" t="s">
        <v>3608</v>
      </c>
      <c r="C109" s="0" t="s">
        <v>3609</v>
      </c>
      <c r="D109" s="0" t="s">
        <v>3614</v>
      </c>
      <c r="E109" s="0" t="s">
        <v>3615</v>
      </c>
      <c r="F109" s="0" t="s">
        <v>3371</v>
      </c>
      <c r="G109" s="0" t="s">
        <v>3616</v>
      </c>
    </row>
    <row customHeight="1" ht="11.25">
      <c r="A110" s="494" t="s">
        <v>16</v>
      </c>
      <c r="B110" s="0" t="s">
        <v>3608</v>
      </c>
      <c r="C110" s="0" t="s">
        <v>3609</v>
      </c>
      <c r="D110" s="0" t="s">
        <v>3617</v>
      </c>
      <c r="E110" s="0" t="s">
        <v>3618</v>
      </c>
      <c r="F110" s="0" t="s">
        <v>3371</v>
      </c>
      <c r="G110" s="0" t="s">
        <v>3619</v>
      </c>
    </row>
    <row customHeight="1" ht="11.25">
      <c r="A111" s="494" t="s">
        <v>16</v>
      </c>
      <c r="B111" s="0" t="s">
        <v>3608</v>
      </c>
      <c r="C111" s="0" t="s">
        <v>3609</v>
      </c>
      <c r="D111" s="0" t="s">
        <v>3620</v>
      </c>
      <c r="E111" s="0" t="s">
        <v>3621</v>
      </c>
      <c r="F111" s="0" t="s">
        <v>3363</v>
      </c>
      <c r="G111" s="0" t="s">
        <v>3622</v>
      </c>
    </row>
    <row customHeight="1" ht="11.25">
      <c r="A112" s="494" t="s">
        <v>16</v>
      </c>
      <c r="B112" s="0" t="s">
        <v>3608</v>
      </c>
      <c r="C112" s="0" t="s">
        <v>3609</v>
      </c>
      <c r="D112" s="0" t="s">
        <v>3623</v>
      </c>
      <c r="E112" s="0" t="s">
        <v>3624</v>
      </c>
      <c r="F112" s="0" t="s">
        <v>3371</v>
      </c>
      <c r="G112" s="0" t="s">
        <v>3625</v>
      </c>
    </row>
    <row customHeight="1" ht="11.25">
      <c r="A113" s="494" t="s">
        <v>16</v>
      </c>
      <c r="B113" s="0" t="s">
        <v>3608</v>
      </c>
      <c r="C113" s="0" t="s">
        <v>3609</v>
      </c>
      <c r="D113" s="0" t="s">
        <v>3626</v>
      </c>
      <c r="E113" s="0" t="s">
        <v>3627</v>
      </c>
      <c r="F113" s="0" t="s">
        <v>3371</v>
      </c>
      <c r="G113" s="0" t="s">
        <v>3628</v>
      </c>
    </row>
    <row customHeight="1" ht="11.25">
      <c r="A114" s="494" t="s">
        <v>16</v>
      </c>
      <c r="B114" s="0" t="s">
        <v>3608</v>
      </c>
      <c r="C114" s="0" t="s">
        <v>3609</v>
      </c>
      <c r="D114" s="0" t="s">
        <v>3629</v>
      </c>
      <c r="E114" s="0" t="s">
        <v>3630</v>
      </c>
      <c r="F114" s="0" t="s">
        <v>3366</v>
      </c>
      <c r="G114" s="0" t="s">
        <v>3631</v>
      </c>
    </row>
    <row customHeight="1" ht="11.25">
      <c r="A115" s="494" t="s">
        <v>16</v>
      </c>
      <c r="B115" s="0" t="s">
        <v>3608</v>
      </c>
      <c r="C115" s="0" t="s">
        <v>3609</v>
      </c>
      <c r="D115" s="0" t="s">
        <v>3632</v>
      </c>
      <c r="E115" s="0" t="s">
        <v>3633</v>
      </c>
      <c r="F115" s="0" t="s">
        <v>3371</v>
      </c>
      <c r="G115" s="0" t="s">
        <v>3634</v>
      </c>
    </row>
    <row customHeight="1" ht="11.25">
      <c r="A116" s="494" t="s">
        <v>16</v>
      </c>
      <c r="B116" s="0" t="s">
        <v>3608</v>
      </c>
      <c r="C116" s="0" t="s">
        <v>3609</v>
      </c>
      <c r="D116" s="0" t="s">
        <v>3635</v>
      </c>
      <c r="E116" s="0" t="s">
        <v>3636</v>
      </c>
      <c r="F116" s="0" t="s">
        <v>3366</v>
      </c>
      <c r="G116" s="0" t="s">
        <v>3637</v>
      </c>
    </row>
    <row customHeight="1" ht="11.25">
      <c r="A117" s="494" t="s">
        <v>16</v>
      </c>
      <c r="B117" s="0" t="s">
        <v>3608</v>
      </c>
      <c r="C117" s="0" t="s">
        <v>3609</v>
      </c>
      <c r="D117" s="0" t="s">
        <v>3638</v>
      </c>
      <c r="E117" s="0" t="s">
        <v>3639</v>
      </c>
      <c r="F117" s="0" t="s">
        <v>3363</v>
      </c>
      <c r="G117" s="0" t="s">
        <v>3640</v>
      </c>
    </row>
    <row customHeight="1" ht="11.25">
      <c r="A118" s="494" t="s">
        <v>16</v>
      </c>
      <c r="B118" s="0" t="s">
        <v>3608</v>
      </c>
      <c r="C118" s="0" t="s">
        <v>3609</v>
      </c>
      <c r="D118" s="0" t="s">
        <v>3641</v>
      </c>
      <c r="E118" s="0" t="s">
        <v>3642</v>
      </c>
      <c r="F118" s="0" t="s">
        <v>3366</v>
      </c>
      <c r="G118" s="0" t="s">
        <v>3643</v>
      </c>
    </row>
    <row customHeight="1" ht="11.25">
      <c r="A119" s="494" t="s">
        <v>16</v>
      </c>
      <c r="B119" s="0" t="s">
        <v>109</v>
      </c>
      <c r="C119" s="0" t="s">
        <v>3644</v>
      </c>
      <c r="D119" s="0" t="s">
        <v>3645</v>
      </c>
      <c r="E119" s="0" t="s">
        <v>3646</v>
      </c>
      <c r="F119" s="0" t="s">
        <v>3366</v>
      </c>
      <c r="G119" s="0" t="s">
        <v>3647</v>
      </c>
    </row>
    <row customHeight="1" ht="11.25">
      <c r="A120" s="494" t="s">
        <v>16</v>
      </c>
      <c r="B120" s="0" t="s">
        <v>109</v>
      </c>
      <c r="C120" s="0" t="s">
        <v>3644</v>
      </c>
      <c r="D120" s="0" t="s">
        <v>3648</v>
      </c>
      <c r="E120" s="0" t="s">
        <v>3649</v>
      </c>
      <c r="F120" s="0" t="s">
        <v>3366</v>
      </c>
      <c r="G120" s="0" t="s">
        <v>3650</v>
      </c>
    </row>
    <row customHeight="1" ht="11.25">
      <c r="A121" s="494" t="s">
        <v>16</v>
      </c>
      <c r="B121" s="0" t="s">
        <v>109</v>
      </c>
      <c r="C121" s="0" t="s">
        <v>3644</v>
      </c>
      <c r="D121" s="0" t="s">
        <v>109</v>
      </c>
      <c r="E121" s="0" t="s">
        <v>3644</v>
      </c>
      <c r="F121" s="0" t="s">
        <v>3360</v>
      </c>
      <c r="G121" s="0" t="s">
        <v>108</v>
      </c>
    </row>
    <row customHeight="1" ht="11.25">
      <c r="A122" s="494" t="s">
        <v>16</v>
      </c>
      <c r="B122" s="0" t="s">
        <v>109</v>
      </c>
      <c r="C122" s="0" t="s">
        <v>3644</v>
      </c>
      <c r="D122" s="0" t="s">
        <v>3651</v>
      </c>
      <c r="E122" s="0" t="s">
        <v>3652</v>
      </c>
      <c r="F122" s="0" t="s">
        <v>3363</v>
      </c>
      <c r="G122" s="0" t="s">
        <v>3653</v>
      </c>
    </row>
    <row customHeight="1" ht="11.25">
      <c r="A123" s="494" t="s">
        <v>16</v>
      </c>
      <c r="B123" s="0" t="s">
        <v>109</v>
      </c>
      <c r="C123" s="0" t="s">
        <v>3644</v>
      </c>
      <c r="D123" s="0" t="s">
        <v>110</v>
      </c>
      <c r="E123" s="0" t="s">
        <v>111</v>
      </c>
      <c r="F123" s="0" t="s">
        <v>3371</v>
      </c>
      <c r="G123" s="0" t="s">
        <v>3654</v>
      </c>
    </row>
    <row customHeight="1" ht="11.25">
      <c r="A124" s="494" t="s">
        <v>16</v>
      </c>
      <c r="B124" s="0" t="s">
        <v>109</v>
      </c>
      <c r="C124" s="0" t="s">
        <v>3644</v>
      </c>
      <c r="D124" s="0" t="s">
        <v>3655</v>
      </c>
      <c r="E124" s="0" t="s">
        <v>3656</v>
      </c>
      <c r="F124" s="0" t="s">
        <v>3366</v>
      </c>
      <c r="G124" s="0" t="s">
        <v>3657</v>
      </c>
    </row>
    <row customHeight="1" ht="11.25">
      <c r="A125" s="494" t="s">
        <v>16</v>
      </c>
      <c r="B125" s="0" t="s">
        <v>3658</v>
      </c>
      <c r="C125" s="0" t="s">
        <v>3659</v>
      </c>
      <c r="D125" s="0" t="s">
        <v>3660</v>
      </c>
      <c r="E125" s="0" t="s">
        <v>3661</v>
      </c>
      <c r="F125" s="0" t="s">
        <v>3371</v>
      </c>
      <c r="G125" s="0" t="s">
        <v>3662</v>
      </c>
    </row>
    <row customHeight="1" ht="11.25">
      <c r="A126" s="494" t="s">
        <v>16</v>
      </c>
      <c r="B126" s="0" t="s">
        <v>3658</v>
      </c>
      <c r="C126" s="0" t="s">
        <v>3659</v>
      </c>
      <c r="D126" s="0" t="s">
        <v>3663</v>
      </c>
      <c r="E126" s="0" t="s">
        <v>3664</v>
      </c>
      <c r="F126" s="0" t="s">
        <v>3371</v>
      </c>
      <c r="G126" s="0" t="s">
        <v>3665</v>
      </c>
    </row>
    <row customHeight="1" ht="11.25">
      <c r="A127" s="494" t="s">
        <v>16</v>
      </c>
      <c r="B127" s="0" t="s">
        <v>3658</v>
      </c>
      <c r="C127" s="0" t="s">
        <v>3659</v>
      </c>
      <c r="D127" s="0" t="s">
        <v>3666</v>
      </c>
      <c r="E127" s="0" t="s">
        <v>3667</v>
      </c>
      <c r="F127" s="0" t="s">
        <v>3371</v>
      </c>
      <c r="G127" s="0" t="s">
        <v>3668</v>
      </c>
    </row>
    <row customHeight="1" ht="11.25">
      <c r="A128" s="494" t="s">
        <v>16</v>
      </c>
      <c r="B128" s="0" t="s">
        <v>3658</v>
      </c>
      <c r="C128" s="0" t="s">
        <v>3659</v>
      </c>
      <c r="D128" s="0" t="s">
        <v>3669</v>
      </c>
      <c r="E128" s="0" t="s">
        <v>3670</v>
      </c>
      <c r="F128" s="0" t="s">
        <v>3366</v>
      </c>
      <c r="G128" s="0" t="s">
        <v>3671</v>
      </c>
    </row>
    <row customHeight="1" ht="11.25">
      <c r="A129" s="494" t="s">
        <v>16</v>
      </c>
      <c r="B129" s="0" t="s">
        <v>3658</v>
      </c>
      <c r="C129" s="0" t="s">
        <v>3659</v>
      </c>
      <c r="D129" s="0" t="s">
        <v>3672</v>
      </c>
      <c r="E129" s="0" t="s">
        <v>3673</v>
      </c>
      <c r="F129" s="0" t="s">
        <v>3366</v>
      </c>
      <c r="G129" s="0" t="s">
        <v>3674</v>
      </c>
    </row>
    <row customHeight="1" ht="11.25">
      <c r="A130" s="494" t="s">
        <v>16</v>
      </c>
      <c r="B130" s="0" t="s">
        <v>3658</v>
      </c>
      <c r="C130" s="0" t="s">
        <v>3659</v>
      </c>
      <c r="D130" s="0" t="s">
        <v>3675</v>
      </c>
      <c r="E130" s="0" t="s">
        <v>3676</v>
      </c>
      <c r="F130" s="0" t="s">
        <v>3366</v>
      </c>
      <c r="G130" s="0" t="s">
        <v>3677</v>
      </c>
    </row>
    <row customHeight="1" ht="11.25">
      <c r="A131" s="494" t="s">
        <v>16</v>
      </c>
      <c r="B131" s="0" t="s">
        <v>3658</v>
      </c>
      <c r="C131" s="0" t="s">
        <v>3659</v>
      </c>
      <c r="D131" s="0" t="s">
        <v>3678</v>
      </c>
      <c r="E131" s="0" t="s">
        <v>3679</v>
      </c>
      <c r="F131" s="0" t="s">
        <v>3366</v>
      </c>
      <c r="G131" s="0" t="s">
        <v>3680</v>
      </c>
    </row>
    <row customHeight="1" ht="11.25">
      <c r="A132" s="494" t="s">
        <v>16</v>
      </c>
      <c r="B132" s="0" t="s">
        <v>3658</v>
      </c>
      <c r="C132" s="0" t="s">
        <v>3659</v>
      </c>
      <c r="D132" s="0" t="s">
        <v>3681</v>
      </c>
      <c r="E132" s="0" t="s">
        <v>3682</v>
      </c>
      <c r="F132" s="0" t="s">
        <v>3366</v>
      </c>
      <c r="G132" s="0" t="s">
        <v>3683</v>
      </c>
    </row>
    <row customHeight="1" ht="11.25">
      <c r="A133" s="494" t="s">
        <v>16</v>
      </c>
      <c r="B133" s="0" t="s">
        <v>3658</v>
      </c>
      <c r="C133" s="0" t="s">
        <v>3659</v>
      </c>
      <c r="D133" s="0" t="s">
        <v>3684</v>
      </c>
      <c r="E133" s="0" t="s">
        <v>3685</v>
      </c>
      <c r="F133" s="0" t="s">
        <v>3371</v>
      </c>
      <c r="G133" s="0" t="s">
        <v>3686</v>
      </c>
    </row>
    <row customHeight="1" ht="11.25">
      <c r="A134" s="494" t="s">
        <v>16</v>
      </c>
      <c r="B134" s="0" t="s">
        <v>3658</v>
      </c>
      <c r="C134" s="0" t="s">
        <v>3659</v>
      </c>
      <c r="D134" s="0" t="s">
        <v>3658</v>
      </c>
      <c r="E134" s="0" t="s">
        <v>3659</v>
      </c>
      <c r="F134" s="0" t="s">
        <v>3360</v>
      </c>
      <c r="G134" s="0" t="s">
        <v>3687</v>
      </c>
    </row>
    <row customHeight="1" ht="11.25">
      <c r="A135" s="494" t="s">
        <v>16</v>
      </c>
      <c r="B135" s="0" t="s">
        <v>3658</v>
      </c>
      <c r="C135" s="0" t="s">
        <v>3659</v>
      </c>
      <c r="D135" s="0" t="s">
        <v>3688</v>
      </c>
      <c r="E135" s="0" t="s">
        <v>3689</v>
      </c>
      <c r="F135" s="0" t="s">
        <v>3366</v>
      </c>
      <c r="G135" s="0" t="s">
        <v>3690</v>
      </c>
    </row>
    <row customHeight="1" ht="11.25">
      <c r="A136" s="494" t="s">
        <v>16</v>
      </c>
      <c r="B136" s="0" t="s">
        <v>3658</v>
      </c>
      <c r="C136" s="0" t="s">
        <v>3659</v>
      </c>
      <c r="D136" s="0" t="s">
        <v>3691</v>
      </c>
      <c r="E136" s="0" t="s">
        <v>3692</v>
      </c>
      <c r="F136" s="0" t="s">
        <v>3366</v>
      </c>
      <c r="G136" s="0" t="s">
        <v>3693</v>
      </c>
    </row>
    <row customHeight="1" ht="11.25">
      <c r="A137" s="494" t="s">
        <v>16</v>
      </c>
      <c r="B137" s="0" t="s">
        <v>3658</v>
      </c>
      <c r="C137" s="0" t="s">
        <v>3659</v>
      </c>
      <c r="D137" s="0" t="s">
        <v>3694</v>
      </c>
      <c r="E137" s="0" t="s">
        <v>3695</v>
      </c>
      <c r="F137" s="0" t="s">
        <v>3366</v>
      </c>
      <c r="G137" s="0" t="s">
        <v>3696</v>
      </c>
    </row>
    <row customHeight="1" ht="11.25">
      <c r="A138" s="494" t="s">
        <v>16</v>
      </c>
      <c r="B138" s="0" t="s">
        <v>3658</v>
      </c>
      <c r="C138" s="0" t="s">
        <v>3659</v>
      </c>
      <c r="D138" s="0" t="s">
        <v>3697</v>
      </c>
      <c r="E138" s="0" t="s">
        <v>3698</v>
      </c>
      <c r="F138" s="0" t="s">
        <v>3366</v>
      </c>
      <c r="G138" s="0" t="s">
        <v>3699</v>
      </c>
    </row>
    <row customHeight="1" ht="11.25">
      <c r="A139" s="494" t="s">
        <v>16</v>
      </c>
      <c r="B139" s="0" t="s">
        <v>3658</v>
      </c>
      <c r="C139" s="0" t="s">
        <v>3659</v>
      </c>
      <c r="D139" s="0" t="s">
        <v>3700</v>
      </c>
      <c r="E139" s="0" t="s">
        <v>3701</v>
      </c>
      <c r="F139" s="0" t="s">
        <v>3366</v>
      </c>
      <c r="G139" s="0" t="s">
        <v>3702</v>
      </c>
    </row>
    <row customHeight="1" ht="11.25">
      <c r="A140" s="494" t="s">
        <v>16</v>
      </c>
      <c r="B140" s="0" t="s">
        <v>3658</v>
      </c>
      <c r="C140" s="0" t="s">
        <v>3659</v>
      </c>
      <c r="D140" s="0" t="s">
        <v>3703</v>
      </c>
      <c r="E140" s="0" t="s">
        <v>3704</v>
      </c>
      <c r="F140" s="0" t="s">
        <v>3366</v>
      </c>
      <c r="G140" s="0" t="s">
        <v>3705</v>
      </c>
    </row>
    <row customHeight="1" ht="11.25">
      <c r="A141" s="494" t="s">
        <v>16</v>
      </c>
      <c r="B141" s="0" t="s">
        <v>3706</v>
      </c>
      <c r="C141" s="0" t="s">
        <v>3707</v>
      </c>
      <c r="D141" s="0" t="s">
        <v>3708</v>
      </c>
      <c r="E141" s="0" t="s">
        <v>3709</v>
      </c>
      <c r="F141" s="0" t="s">
        <v>3366</v>
      </c>
      <c r="G141" s="0" t="s">
        <v>3710</v>
      </c>
    </row>
    <row customHeight="1" ht="11.25">
      <c r="A142" s="494" t="s">
        <v>16</v>
      </c>
      <c r="B142" s="0" t="s">
        <v>3706</v>
      </c>
      <c r="C142" s="0" t="s">
        <v>3707</v>
      </c>
      <c r="D142" s="0" t="s">
        <v>3711</v>
      </c>
      <c r="E142" s="0" t="s">
        <v>3712</v>
      </c>
      <c r="F142" s="0" t="s">
        <v>3366</v>
      </c>
      <c r="G142" s="0" t="s">
        <v>3713</v>
      </c>
    </row>
    <row customHeight="1" ht="11.25">
      <c r="A143" s="494" t="s">
        <v>16</v>
      </c>
      <c r="B143" s="0" t="s">
        <v>3706</v>
      </c>
      <c r="C143" s="0" t="s">
        <v>3707</v>
      </c>
      <c r="D143" s="0" t="s">
        <v>3714</v>
      </c>
      <c r="E143" s="0" t="s">
        <v>3715</v>
      </c>
      <c r="F143" s="0" t="s">
        <v>3366</v>
      </c>
      <c r="G143" s="0" t="s">
        <v>3716</v>
      </c>
    </row>
    <row customHeight="1" ht="11.25">
      <c r="A144" s="494" t="s">
        <v>16</v>
      </c>
      <c r="B144" s="0" t="s">
        <v>3706</v>
      </c>
      <c r="C144" s="0" t="s">
        <v>3707</v>
      </c>
      <c r="D144" s="0" t="s">
        <v>3717</v>
      </c>
      <c r="E144" s="0" t="s">
        <v>3718</v>
      </c>
      <c r="F144" s="0" t="s">
        <v>3366</v>
      </c>
      <c r="G144" s="0" t="s">
        <v>3719</v>
      </c>
    </row>
    <row customHeight="1" ht="11.25">
      <c r="A145" s="494" t="s">
        <v>16</v>
      </c>
      <c r="B145" s="0" t="s">
        <v>3706</v>
      </c>
      <c r="C145" s="0" t="s">
        <v>3707</v>
      </c>
      <c r="D145" s="0" t="s">
        <v>3706</v>
      </c>
      <c r="E145" s="0" t="s">
        <v>3707</v>
      </c>
      <c r="F145" s="0" t="s">
        <v>3360</v>
      </c>
      <c r="G145" s="0" t="s">
        <v>3720</v>
      </c>
    </row>
    <row customHeight="1" ht="11.25">
      <c r="A146" s="494" t="s">
        <v>16</v>
      </c>
      <c r="B146" s="0" t="s">
        <v>3706</v>
      </c>
      <c r="C146" s="0" t="s">
        <v>3707</v>
      </c>
      <c r="D146" s="0" t="s">
        <v>3721</v>
      </c>
      <c r="E146" s="0" t="s">
        <v>3722</v>
      </c>
      <c r="F146" s="0" t="s">
        <v>3363</v>
      </c>
      <c r="G146" s="0" t="s">
        <v>3723</v>
      </c>
    </row>
    <row customHeight="1" ht="11.25">
      <c r="A147" s="494" t="s">
        <v>16</v>
      </c>
      <c r="B147" s="0" t="s">
        <v>3706</v>
      </c>
      <c r="C147" s="0" t="s">
        <v>3707</v>
      </c>
      <c r="D147" s="0" t="s">
        <v>3724</v>
      </c>
      <c r="E147" s="0" t="s">
        <v>3725</v>
      </c>
      <c r="F147" s="0" t="s">
        <v>3366</v>
      </c>
      <c r="G147" s="0" t="s">
        <v>3726</v>
      </c>
    </row>
    <row customHeight="1" ht="11.25">
      <c r="A148" s="494" t="s">
        <v>16</v>
      </c>
      <c r="B148" s="0" t="s">
        <v>3706</v>
      </c>
      <c r="C148" s="0" t="s">
        <v>3707</v>
      </c>
      <c r="D148" s="0" t="s">
        <v>3727</v>
      </c>
      <c r="E148" s="0" t="s">
        <v>3728</v>
      </c>
      <c r="F148" s="0" t="s">
        <v>3366</v>
      </c>
      <c r="G148" s="0" t="s">
        <v>3729</v>
      </c>
    </row>
    <row customHeight="1" ht="11.25">
      <c r="A149" s="494" t="s">
        <v>16</v>
      </c>
      <c r="B149" s="0" t="s">
        <v>3706</v>
      </c>
      <c r="C149" s="0" t="s">
        <v>3707</v>
      </c>
      <c r="D149" s="0" t="s">
        <v>3730</v>
      </c>
      <c r="E149" s="0" t="s">
        <v>3731</v>
      </c>
      <c r="F149" s="0" t="s">
        <v>3366</v>
      </c>
      <c r="G149" s="0" t="s">
        <v>3732</v>
      </c>
    </row>
    <row customHeight="1" ht="11.25">
      <c r="A150" s="494" t="s">
        <v>16</v>
      </c>
      <c r="B150" s="0" t="s">
        <v>3706</v>
      </c>
      <c r="C150" s="0" t="s">
        <v>3707</v>
      </c>
      <c r="D150" s="0" t="s">
        <v>3733</v>
      </c>
      <c r="E150" s="0" t="s">
        <v>3734</v>
      </c>
      <c r="F150" s="0" t="s">
        <v>3366</v>
      </c>
      <c r="G150" s="0" t="s">
        <v>3735</v>
      </c>
    </row>
    <row customHeight="1" ht="11.25">
      <c r="A151" s="494" t="s">
        <v>16</v>
      </c>
      <c r="B151" s="0" t="s">
        <v>3706</v>
      </c>
      <c r="C151" s="0" t="s">
        <v>3707</v>
      </c>
      <c r="D151" s="0" t="s">
        <v>3736</v>
      </c>
      <c r="E151" s="0" t="s">
        <v>3737</v>
      </c>
      <c r="F151" s="0" t="s">
        <v>3366</v>
      </c>
      <c r="G151" s="0" t="s">
        <v>3738</v>
      </c>
    </row>
    <row customHeight="1" ht="11.25">
      <c r="A152" s="494" t="s">
        <v>16</v>
      </c>
      <c r="B152" s="0" t="s">
        <v>3706</v>
      </c>
      <c r="C152" s="0" t="s">
        <v>3707</v>
      </c>
      <c r="D152" s="0" t="s">
        <v>3739</v>
      </c>
      <c r="E152" s="0" t="s">
        <v>3740</v>
      </c>
      <c r="F152" s="0" t="s">
        <v>3366</v>
      </c>
      <c r="G152" s="0" t="s">
        <v>3741</v>
      </c>
    </row>
    <row customHeight="1" ht="11.25">
      <c r="A153" s="494" t="s">
        <v>16</v>
      </c>
      <c r="B153" s="0" t="s">
        <v>3706</v>
      </c>
      <c r="C153" s="0" t="s">
        <v>3707</v>
      </c>
      <c r="D153" s="0" t="s">
        <v>3742</v>
      </c>
      <c r="E153" s="0" t="s">
        <v>3743</v>
      </c>
      <c r="F153" s="0" t="s">
        <v>3371</v>
      </c>
      <c r="G153" s="0" t="s">
        <v>3744</v>
      </c>
    </row>
    <row customHeight="1" ht="11.25">
      <c r="A154" s="494" t="s">
        <v>16</v>
      </c>
      <c r="B154" s="0" t="s">
        <v>3706</v>
      </c>
      <c r="C154" s="0" t="s">
        <v>3707</v>
      </c>
      <c r="D154" s="0" t="s">
        <v>3745</v>
      </c>
      <c r="E154" s="0" t="s">
        <v>3746</v>
      </c>
      <c r="F154" s="0" t="s">
        <v>3366</v>
      </c>
      <c r="G154" s="0" t="s">
        <v>3747</v>
      </c>
    </row>
    <row customHeight="1" ht="11.25">
      <c r="A155" s="494" t="s">
        <v>16</v>
      </c>
      <c r="B155" s="0" t="s">
        <v>3706</v>
      </c>
      <c r="C155" s="0" t="s">
        <v>3707</v>
      </c>
      <c r="D155" s="0" t="s">
        <v>3748</v>
      </c>
      <c r="E155" s="0" t="s">
        <v>3749</v>
      </c>
      <c r="F155" s="0" t="s">
        <v>3366</v>
      </c>
      <c r="G155" s="0" t="s">
        <v>3750</v>
      </c>
    </row>
    <row customHeight="1" ht="11.25">
      <c r="A156" s="494" t="s">
        <v>16</v>
      </c>
      <c r="B156" s="0" t="s">
        <v>3751</v>
      </c>
      <c r="C156" s="0" t="s">
        <v>3752</v>
      </c>
      <c r="D156" s="0" t="s">
        <v>3753</v>
      </c>
      <c r="E156" s="0" t="s">
        <v>3754</v>
      </c>
      <c r="F156" s="0" t="s">
        <v>3371</v>
      </c>
      <c r="G156" s="0" t="s">
        <v>3755</v>
      </c>
    </row>
    <row customHeight="1" ht="11.25">
      <c r="A157" s="494" t="s">
        <v>16</v>
      </c>
      <c r="B157" s="0" t="s">
        <v>3751</v>
      </c>
      <c r="C157" s="0" t="s">
        <v>3752</v>
      </c>
      <c r="D157" s="0" t="s">
        <v>3756</v>
      </c>
      <c r="E157" s="0" t="s">
        <v>3757</v>
      </c>
      <c r="F157" s="0" t="s">
        <v>3366</v>
      </c>
      <c r="G157" s="0" t="s">
        <v>3758</v>
      </c>
    </row>
    <row customHeight="1" ht="11.25">
      <c r="A158" s="494" t="s">
        <v>16</v>
      </c>
      <c r="B158" s="0" t="s">
        <v>3751</v>
      </c>
      <c r="C158" s="0" t="s">
        <v>3752</v>
      </c>
      <c r="D158" s="0" t="s">
        <v>3759</v>
      </c>
      <c r="E158" s="0" t="s">
        <v>3760</v>
      </c>
      <c r="F158" s="0" t="s">
        <v>3371</v>
      </c>
      <c r="G158" s="0" t="s">
        <v>3761</v>
      </c>
    </row>
    <row customHeight="1" ht="11.25">
      <c r="A159" s="494" t="s">
        <v>16</v>
      </c>
      <c r="B159" s="0" t="s">
        <v>3751</v>
      </c>
      <c r="C159" s="0" t="s">
        <v>3752</v>
      </c>
      <c r="D159" s="0" t="s">
        <v>3762</v>
      </c>
      <c r="E159" s="0" t="s">
        <v>3763</v>
      </c>
      <c r="F159" s="0" t="s">
        <v>3371</v>
      </c>
      <c r="G159" s="0" t="s">
        <v>3764</v>
      </c>
    </row>
    <row customHeight="1" ht="11.25">
      <c r="A160" s="494" t="s">
        <v>16</v>
      </c>
      <c r="B160" s="0" t="s">
        <v>3751</v>
      </c>
      <c r="C160" s="0" t="s">
        <v>3752</v>
      </c>
      <c r="D160" s="0" t="s">
        <v>3751</v>
      </c>
      <c r="E160" s="0" t="s">
        <v>3752</v>
      </c>
      <c r="F160" s="0" t="s">
        <v>3360</v>
      </c>
      <c r="G160" s="0" t="s">
        <v>3765</v>
      </c>
    </row>
    <row customHeight="1" ht="11.25">
      <c r="A161" s="494" t="s">
        <v>16</v>
      </c>
      <c r="B161" s="0" t="s">
        <v>3751</v>
      </c>
      <c r="C161" s="0" t="s">
        <v>3752</v>
      </c>
      <c r="D161" s="0" t="s">
        <v>3766</v>
      </c>
      <c r="E161" s="0" t="s">
        <v>3767</v>
      </c>
      <c r="F161" s="0" t="s">
        <v>3363</v>
      </c>
      <c r="G161" s="0" t="s">
        <v>3768</v>
      </c>
    </row>
    <row customHeight="1" ht="11.25">
      <c r="A162" s="494" t="s">
        <v>16</v>
      </c>
      <c r="B162" s="0" t="s">
        <v>3769</v>
      </c>
      <c r="C162" s="0" t="s">
        <v>3770</v>
      </c>
      <c r="D162" s="0" t="s">
        <v>3771</v>
      </c>
      <c r="E162" s="0" t="s">
        <v>3772</v>
      </c>
      <c r="F162" s="0" t="s">
        <v>3366</v>
      </c>
      <c r="G162" s="0" t="s">
        <v>3773</v>
      </c>
    </row>
    <row customHeight="1" ht="11.25">
      <c r="A163" s="494" t="s">
        <v>16</v>
      </c>
      <c r="B163" s="0" t="s">
        <v>3769</v>
      </c>
      <c r="C163" s="0" t="s">
        <v>3770</v>
      </c>
      <c r="D163" s="0" t="s">
        <v>3774</v>
      </c>
      <c r="E163" s="0" t="s">
        <v>3775</v>
      </c>
      <c r="F163" s="0" t="s">
        <v>3366</v>
      </c>
      <c r="G163" s="0" t="s">
        <v>3776</v>
      </c>
    </row>
    <row customHeight="1" ht="11.25">
      <c r="A164" s="494" t="s">
        <v>16</v>
      </c>
      <c r="B164" s="0" t="s">
        <v>3769</v>
      </c>
      <c r="C164" s="0" t="s">
        <v>3770</v>
      </c>
      <c r="D164" s="0" t="s">
        <v>3777</v>
      </c>
      <c r="E164" s="0" t="s">
        <v>3778</v>
      </c>
      <c r="F164" s="0" t="s">
        <v>3366</v>
      </c>
      <c r="G164" s="0" t="s">
        <v>3779</v>
      </c>
    </row>
    <row customHeight="1" ht="11.25">
      <c r="A165" s="494" t="s">
        <v>16</v>
      </c>
      <c r="B165" s="0" t="s">
        <v>3769</v>
      </c>
      <c r="C165" s="0" t="s">
        <v>3770</v>
      </c>
      <c r="D165" s="0" t="s">
        <v>3780</v>
      </c>
      <c r="E165" s="0" t="s">
        <v>3781</v>
      </c>
      <c r="F165" s="0" t="s">
        <v>3371</v>
      </c>
      <c r="G165" s="0" t="s">
        <v>3782</v>
      </c>
    </row>
    <row customHeight="1" ht="11.25">
      <c r="A166" s="494" t="s">
        <v>16</v>
      </c>
      <c r="B166" s="0" t="s">
        <v>3769</v>
      </c>
      <c r="C166" s="0" t="s">
        <v>3770</v>
      </c>
      <c r="D166" s="0" t="s">
        <v>3783</v>
      </c>
      <c r="E166" s="0" t="s">
        <v>3784</v>
      </c>
      <c r="F166" s="0" t="s">
        <v>3366</v>
      </c>
      <c r="G166" s="0" t="s">
        <v>3785</v>
      </c>
    </row>
    <row customHeight="1" ht="11.25">
      <c r="A167" s="494" t="s">
        <v>16</v>
      </c>
      <c r="B167" s="0" t="s">
        <v>3769</v>
      </c>
      <c r="C167" s="0" t="s">
        <v>3770</v>
      </c>
      <c r="D167" s="0" t="s">
        <v>3786</v>
      </c>
      <c r="E167" s="0" t="s">
        <v>3787</v>
      </c>
      <c r="F167" s="0" t="s">
        <v>3366</v>
      </c>
      <c r="G167" s="0" t="s">
        <v>3788</v>
      </c>
    </row>
    <row customHeight="1" ht="11.25">
      <c r="A168" s="494" t="s">
        <v>16</v>
      </c>
      <c r="B168" s="0" t="s">
        <v>3769</v>
      </c>
      <c r="C168" s="0" t="s">
        <v>3770</v>
      </c>
      <c r="D168" s="0" t="s">
        <v>3789</v>
      </c>
      <c r="E168" s="0" t="s">
        <v>3790</v>
      </c>
      <c r="F168" s="0" t="s">
        <v>3366</v>
      </c>
      <c r="G168" s="0" t="s">
        <v>3791</v>
      </c>
    </row>
    <row customHeight="1" ht="11.25">
      <c r="A169" s="494" t="s">
        <v>16</v>
      </c>
      <c r="B169" s="0" t="s">
        <v>3769</v>
      </c>
      <c r="C169" s="0" t="s">
        <v>3770</v>
      </c>
      <c r="D169" s="0" t="s">
        <v>3792</v>
      </c>
      <c r="E169" s="0" t="s">
        <v>3793</v>
      </c>
      <c r="F169" s="0" t="s">
        <v>3366</v>
      </c>
      <c r="G169" s="0" t="s">
        <v>3794</v>
      </c>
    </row>
    <row customHeight="1" ht="11.25">
      <c r="A170" s="494" t="s">
        <v>16</v>
      </c>
      <c r="B170" s="0" t="s">
        <v>3769</v>
      </c>
      <c r="C170" s="0" t="s">
        <v>3770</v>
      </c>
      <c r="D170" s="0" t="s">
        <v>3795</v>
      </c>
      <c r="E170" s="0" t="s">
        <v>3796</v>
      </c>
      <c r="F170" s="0" t="s">
        <v>3366</v>
      </c>
      <c r="G170" s="0" t="s">
        <v>3797</v>
      </c>
    </row>
    <row customHeight="1" ht="11.25">
      <c r="A171" s="494" t="s">
        <v>16</v>
      </c>
      <c r="B171" s="0" t="s">
        <v>3769</v>
      </c>
      <c r="C171" s="0" t="s">
        <v>3770</v>
      </c>
      <c r="D171" s="0" t="s">
        <v>3769</v>
      </c>
      <c r="E171" s="0" t="s">
        <v>3770</v>
      </c>
      <c r="F171" s="0" t="s">
        <v>3360</v>
      </c>
      <c r="G171" s="0" t="s">
        <v>3798</v>
      </c>
    </row>
    <row customHeight="1" ht="11.25">
      <c r="A172" s="494" t="s">
        <v>16</v>
      </c>
      <c r="B172" s="0" t="s">
        <v>3769</v>
      </c>
      <c r="C172" s="0" t="s">
        <v>3770</v>
      </c>
      <c r="D172" s="0" t="s">
        <v>3799</v>
      </c>
      <c r="E172" s="0" t="s">
        <v>3800</v>
      </c>
      <c r="F172" s="0" t="s">
        <v>3363</v>
      </c>
      <c r="G172" s="0" t="s">
        <v>3801</v>
      </c>
    </row>
    <row customHeight="1" ht="11.25">
      <c r="A173" s="494" t="s">
        <v>16</v>
      </c>
      <c r="B173" s="0" t="s">
        <v>3769</v>
      </c>
      <c r="C173" s="0" t="s">
        <v>3770</v>
      </c>
      <c r="D173" s="0" t="s">
        <v>3802</v>
      </c>
      <c r="E173" s="0" t="s">
        <v>3803</v>
      </c>
      <c r="F173" s="0" t="s">
        <v>3366</v>
      </c>
      <c r="G173" s="0" t="s">
        <v>3804</v>
      </c>
    </row>
    <row customHeight="1" ht="11.25">
      <c r="A174" s="494" t="s">
        <v>16</v>
      </c>
      <c r="B174" s="0" t="s">
        <v>3769</v>
      </c>
      <c r="C174" s="0" t="s">
        <v>3770</v>
      </c>
      <c r="D174" s="0" t="s">
        <v>3805</v>
      </c>
      <c r="E174" s="0" t="s">
        <v>3806</v>
      </c>
      <c r="F174" s="0" t="s">
        <v>3366</v>
      </c>
      <c r="G174" s="0" t="s">
        <v>3807</v>
      </c>
    </row>
    <row customHeight="1" ht="11.25">
      <c r="A175" s="494" t="s">
        <v>16</v>
      </c>
      <c r="B175" s="0" t="s">
        <v>3769</v>
      </c>
      <c r="C175" s="0" t="s">
        <v>3770</v>
      </c>
      <c r="D175" s="0" t="s">
        <v>3808</v>
      </c>
      <c r="E175" s="0" t="s">
        <v>3809</v>
      </c>
      <c r="F175" s="0" t="s">
        <v>3366</v>
      </c>
      <c r="G175" s="0" t="s">
        <v>3810</v>
      </c>
    </row>
    <row customHeight="1" ht="11.25">
      <c r="A176" s="494" t="s">
        <v>16</v>
      </c>
      <c r="B176" s="0" t="s">
        <v>3769</v>
      </c>
      <c r="C176" s="0" t="s">
        <v>3770</v>
      </c>
      <c r="D176" s="0" t="s">
        <v>3811</v>
      </c>
      <c r="E176" s="0" t="s">
        <v>3812</v>
      </c>
      <c r="F176" s="0" t="s">
        <v>3366</v>
      </c>
      <c r="G176" s="0" t="s">
        <v>3813</v>
      </c>
    </row>
    <row customHeight="1" ht="11.25">
      <c r="A177" s="494" t="s">
        <v>16</v>
      </c>
      <c r="B177" s="0" t="s">
        <v>3814</v>
      </c>
      <c r="C177" s="0" t="s">
        <v>3815</v>
      </c>
      <c r="D177" s="0" t="s">
        <v>3816</v>
      </c>
      <c r="E177" s="0" t="s">
        <v>3817</v>
      </c>
      <c r="F177" s="0" t="s">
        <v>3366</v>
      </c>
      <c r="G177" s="0" t="s">
        <v>3818</v>
      </c>
    </row>
    <row customHeight="1" ht="11.25">
      <c r="A178" s="494" t="s">
        <v>16</v>
      </c>
      <c r="B178" s="0" t="s">
        <v>3814</v>
      </c>
      <c r="C178" s="0" t="s">
        <v>3815</v>
      </c>
      <c r="D178" s="0" t="s">
        <v>3819</v>
      </c>
      <c r="E178" s="0" t="s">
        <v>3820</v>
      </c>
      <c r="F178" s="0" t="s">
        <v>3366</v>
      </c>
      <c r="G178" s="0" t="s">
        <v>3821</v>
      </c>
    </row>
    <row customHeight="1" ht="11.25">
      <c r="A179" s="494" t="s">
        <v>16</v>
      </c>
      <c r="B179" s="0" t="s">
        <v>3814</v>
      </c>
      <c r="C179" s="0" t="s">
        <v>3815</v>
      </c>
      <c r="D179" s="0" t="s">
        <v>3822</v>
      </c>
      <c r="E179" s="0" t="s">
        <v>3823</v>
      </c>
      <c r="F179" s="0" t="s">
        <v>3366</v>
      </c>
      <c r="G179" s="0" t="s">
        <v>3824</v>
      </c>
    </row>
    <row customHeight="1" ht="11.25">
      <c r="A180" s="494" t="s">
        <v>16</v>
      </c>
      <c r="B180" s="0" t="s">
        <v>3814</v>
      </c>
      <c r="C180" s="0" t="s">
        <v>3815</v>
      </c>
      <c r="D180" s="0" t="s">
        <v>3825</v>
      </c>
      <c r="E180" s="0" t="s">
        <v>3826</v>
      </c>
      <c r="F180" s="0" t="s">
        <v>3366</v>
      </c>
      <c r="G180" s="0" t="s">
        <v>3827</v>
      </c>
    </row>
    <row customHeight="1" ht="11.25">
      <c r="A181" s="494" t="s">
        <v>16</v>
      </c>
      <c r="B181" s="0" t="s">
        <v>3814</v>
      </c>
      <c r="C181" s="0" t="s">
        <v>3815</v>
      </c>
      <c r="D181" s="0" t="s">
        <v>3814</v>
      </c>
      <c r="E181" s="0" t="s">
        <v>3815</v>
      </c>
      <c r="F181" s="0" t="s">
        <v>3360</v>
      </c>
      <c r="G181" s="0" t="s">
        <v>3828</v>
      </c>
    </row>
    <row customHeight="1" ht="11.25">
      <c r="A182" s="494" t="s">
        <v>16</v>
      </c>
      <c r="B182" s="0" t="s">
        <v>3814</v>
      </c>
      <c r="C182" s="0" t="s">
        <v>3815</v>
      </c>
      <c r="D182" s="0" t="s">
        <v>3829</v>
      </c>
      <c r="E182" s="0" t="s">
        <v>3830</v>
      </c>
      <c r="F182" s="0" t="s">
        <v>3363</v>
      </c>
      <c r="G182" s="0" t="s">
        <v>3831</v>
      </c>
    </row>
    <row customHeight="1" ht="11.25">
      <c r="A183" s="494" t="s">
        <v>16</v>
      </c>
      <c r="B183" s="0" t="s">
        <v>3814</v>
      </c>
      <c r="C183" s="0" t="s">
        <v>3815</v>
      </c>
      <c r="D183" s="0" t="s">
        <v>3832</v>
      </c>
      <c r="E183" s="0" t="s">
        <v>3833</v>
      </c>
      <c r="F183" s="0" t="s">
        <v>3366</v>
      </c>
      <c r="G183" s="0" t="s">
        <v>3834</v>
      </c>
    </row>
    <row customHeight="1" ht="11.25">
      <c r="A184" s="494" t="s">
        <v>16</v>
      </c>
      <c r="B184" s="0" t="s">
        <v>3814</v>
      </c>
      <c r="C184" s="0" t="s">
        <v>3815</v>
      </c>
      <c r="D184" s="0" t="s">
        <v>3835</v>
      </c>
      <c r="E184" s="0" t="s">
        <v>3836</v>
      </c>
      <c r="F184" s="0" t="s">
        <v>3366</v>
      </c>
      <c r="G184" s="0" t="s">
        <v>3837</v>
      </c>
    </row>
    <row customHeight="1" ht="11.25">
      <c r="A185" s="494" t="s">
        <v>16</v>
      </c>
      <c r="B185" s="0" t="s">
        <v>3838</v>
      </c>
      <c r="C185" s="0" t="s">
        <v>3839</v>
      </c>
      <c r="D185" s="0" t="s">
        <v>3838</v>
      </c>
      <c r="E185" s="0" t="s">
        <v>3839</v>
      </c>
      <c r="F185" s="0" t="s">
        <v>3840</v>
      </c>
      <c r="G185" s="0" t="s">
        <v>3841</v>
      </c>
    </row>
    <row customHeight="1" ht="11.25">
      <c r="A186" s="494" t="s">
        <v>16</v>
      </c>
      <c r="B186" s="0" t="s">
        <v>3842</v>
      </c>
      <c r="C186" s="0" t="s">
        <v>3843</v>
      </c>
      <c r="D186" s="0" t="s">
        <v>3367</v>
      </c>
      <c r="E186" s="0" t="s">
        <v>3844</v>
      </c>
      <c r="F186" s="0" t="s">
        <v>3366</v>
      </c>
      <c r="G186" s="0" t="s">
        <v>3845</v>
      </c>
    </row>
    <row customHeight="1" ht="11.25">
      <c r="A187" s="494" t="s">
        <v>16</v>
      </c>
      <c r="B187" s="0" t="s">
        <v>3842</v>
      </c>
      <c r="C187" s="0" t="s">
        <v>3843</v>
      </c>
      <c r="D187" s="0" t="s">
        <v>3846</v>
      </c>
      <c r="E187" s="0" t="s">
        <v>3847</v>
      </c>
      <c r="F187" s="0" t="s">
        <v>3366</v>
      </c>
      <c r="G187" s="0" t="s">
        <v>3848</v>
      </c>
    </row>
    <row customHeight="1" ht="11.25">
      <c r="A188" s="494" t="s">
        <v>16</v>
      </c>
      <c r="B188" s="0" t="s">
        <v>3842</v>
      </c>
      <c r="C188" s="0" t="s">
        <v>3843</v>
      </c>
      <c r="D188" s="0" t="s">
        <v>3849</v>
      </c>
      <c r="E188" s="0" t="s">
        <v>3850</v>
      </c>
      <c r="F188" s="0" t="s">
        <v>3366</v>
      </c>
      <c r="G188" s="0" t="s">
        <v>3851</v>
      </c>
    </row>
    <row customHeight="1" ht="11.25">
      <c r="A189" s="494" t="s">
        <v>16</v>
      </c>
      <c r="B189" s="0" t="s">
        <v>3842</v>
      </c>
      <c r="C189" s="0" t="s">
        <v>3843</v>
      </c>
      <c r="D189" s="0" t="s">
        <v>3852</v>
      </c>
      <c r="E189" s="0" t="s">
        <v>3853</v>
      </c>
      <c r="F189" s="0" t="s">
        <v>3366</v>
      </c>
      <c r="G189" s="0" t="s">
        <v>3854</v>
      </c>
    </row>
    <row customHeight="1" ht="11.25">
      <c r="A190" s="494" t="s">
        <v>16</v>
      </c>
      <c r="B190" s="0" t="s">
        <v>3842</v>
      </c>
      <c r="C190" s="0" t="s">
        <v>3843</v>
      </c>
      <c r="D190" s="0" t="s">
        <v>3855</v>
      </c>
      <c r="E190" s="0" t="s">
        <v>3856</v>
      </c>
      <c r="F190" s="0" t="s">
        <v>3366</v>
      </c>
      <c r="G190" s="0" t="s">
        <v>3857</v>
      </c>
    </row>
    <row customHeight="1" ht="11.25">
      <c r="A191" s="494" t="s">
        <v>16</v>
      </c>
      <c r="B191" s="0" t="s">
        <v>3842</v>
      </c>
      <c r="C191" s="0" t="s">
        <v>3843</v>
      </c>
      <c r="D191" s="0" t="s">
        <v>3858</v>
      </c>
      <c r="E191" s="0" t="s">
        <v>3859</v>
      </c>
      <c r="F191" s="0" t="s">
        <v>3366</v>
      </c>
      <c r="G191" s="0" t="s">
        <v>3860</v>
      </c>
    </row>
    <row customHeight="1" ht="11.25">
      <c r="A192" s="494" t="s">
        <v>16</v>
      </c>
      <c r="B192" s="0" t="s">
        <v>3842</v>
      </c>
      <c r="C192" s="0" t="s">
        <v>3843</v>
      </c>
      <c r="D192" s="0" t="s">
        <v>3842</v>
      </c>
      <c r="E192" s="0" t="s">
        <v>3843</v>
      </c>
      <c r="F192" s="0" t="s">
        <v>3360</v>
      </c>
      <c r="G192" s="0" t="s">
        <v>3861</v>
      </c>
    </row>
    <row customHeight="1" ht="11.25">
      <c r="A193" s="494" t="s">
        <v>16</v>
      </c>
      <c r="B193" s="0" t="s">
        <v>3842</v>
      </c>
      <c r="C193" s="0" t="s">
        <v>3843</v>
      </c>
      <c r="D193" s="0" t="s">
        <v>3862</v>
      </c>
      <c r="E193" s="0" t="s">
        <v>3863</v>
      </c>
      <c r="F193" s="0" t="s">
        <v>3363</v>
      </c>
      <c r="G193" s="0" t="s">
        <v>3864</v>
      </c>
    </row>
    <row customHeight="1" ht="11.25">
      <c r="A194" s="494" t="s">
        <v>16</v>
      </c>
      <c r="B194" s="0" t="s">
        <v>3842</v>
      </c>
      <c r="C194" s="0" t="s">
        <v>3843</v>
      </c>
      <c r="D194" s="0" t="s">
        <v>3865</v>
      </c>
      <c r="E194" s="0" t="s">
        <v>3866</v>
      </c>
      <c r="F194" s="0" t="s">
        <v>3366</v>
      </c>
      <c r="G194" s="0" t="s">
        <v>3867</v>
      </c>
    </row>
    <row customHeight="1" ht="11.25">
      <c r="A195" s="494" t="s">
        <v>16</v>
      </c>
      <c r="B195" s="0" t="s">
        <v>3842</v>
      </c>
      <c r="C195" s="0" t="s">
        <v>3843</v>
      </c>
      <c r="D195" s="0" t="s">
        <v>3868</v>
      </c>
      <c r="E195" s="0" t="s">
        <v>3869</v>
      </c>
      <c r="F195" s="0" t="s">
        <v>3366</v>
      </c>
      <c r="G195" s="0" t="s">
        <v>3870</v>
      </c>
    </row>
    <row customHeight="1" ht="11.25">
      <c r="A196" s="494" t="s">
        <v>16</v>
      </c>
      <c r="B196" s="0" t="s">
        <v>3871</v>
      </c>
      <c r="C196" s="0" t="s">
        <v>3872</v>
      </c>
      <c r="D196" s="0" t="s">
        <v>3873</v>
      </c>
      <c r="E196" s="0" t="s">
        <v>3874</v>
      </c>
      <c r="F196" s="0" t="s">
        <v>3371</v>
      </c>
      <c r="G196" s="0" t="s">
        <v>3875</v>
      </c>
    </row>
    <row customHeight="1" ht="11.25">
      <c r="A197" s="494" t="s">
        <v>16</v>
      </c>
      <c r="B197" s="0" t="s">
        <v>3871</v>
      </c>
      <c r="C197" s="0" t="s">
        <v>3872</v>
      </c>
      <c r="D197" s="0" t="s">
        <v>3876</v>
      </c>
      <c r="E197" s="0" t="s">
        <v>3877</v>
      </c>
      <c r="F197" s="0" t="s">
        <v>3366</v>
      </c>
      <c r="G197" s="0" t="s">
        <v>3878</v>
      </c>
    </row>
    <row customHeight="1" ht="11.25">
      <c r="A198" s="494" t="s">
        <v>16</v>
      </c>
      <c r="B198" s="0" t="s">
        <v>3871</v>
      </c>
      <c r="C198" s="0" t="s">
        <v>3872</v>
      </c>
      <c r="D198" s="0" t="s">
        <v>3879</v>
      </c>
      <c r="E198" s="0" t="s">
        <v>3880</v>
      </c>
      <c r="F198" s="0" t="s">
        <v>3363</v>
      </c>
      <c r="G198" s="0" t="s">
        <v>3881</v>
      </c>
    </row>
    <row customHeight="1" ht="11.25">
      <c r="A199" s="494" t="s">
        <v>16</v>
      </c>
      <c r="B199" s="0" t="s">
        <v>3871</v>
      </c>
      <c r="C199" s="0" t="s">
        <v>3872</v>
      </c>
      <c r="D199" s="0" t="s">
        <v>3762</v>
      </c>
      <c r="E199" s="0" t="s">
        <v>3882</v>
      </c>
      <c r="F199" s="0" t="s">
        <v>3363</v>
      </c>
      <c r="G199" s="0" t="s">
        <v>3883</v>
      </c>
    </row>
    <row customHeight="1" ht="11.25">
      <c r="A200" s="494" t="s">
        <v>16</v>
      </c>
      <c r="B200" s="0" t="s">
        <v>3871</v>
      </c>
      <c r="C200" s="0" t="s">
        <v>3872</v>
      </c>
      <c r="D200" s="0" t="s">
        <v>3884</v>
      </c>
      <c r="E200" s="0" t="s">
        <v>3885</v>
      </c>
      <c r="F200" s="0" t="s">
        <v>3366</v>
      </c>
      <c r="G200" s="0" t="s">
        <v>3886</v>
      </c>
    </row>
    <row customHeight="1" ht="11.25">
      <c r="A201" s="494" t="s">
        <v>16</v>
      </c>
      <c r="B201" s="0" t="s">
        <v>3871</v>
      </c>
      <c r="C201" s="0" t="s">
        <v>3872</v>
      </c>
      <c r="D201" s="0" t="s">
        <v>3887</v>
      </c>
      <c r="E201" s="0" t="s">
        <v>3888</v>
      </c>
      <c r="F201" s="0" t="s">
        <v>3371</v>
      </c>
      <c r="G201" s="0" t="s">
        <v>3889</v>
      </c>
    </row>
    <row customHeight="1" ht="11.25">
      <c r="A202" s="494" t="s">
        <v>16</v>
      </c>
      <c r="B202" s="0" t="s">
        <v>3871</v>
      </c>
      <c r="C202" s="0" t="s">
        <v>3872</v>
      </c>
      <c r="D202" s="0" t="s">
        <v>3890</v>
      </c>
      <c r="E202" s="0" t="s">
        <v>3891</v>
      </c>
      <c r="F202" s="0" t="s">
        <v>3363</v>
      </c>
      <c r="G202" s="0" t="s">
        <v>3892</v>
      </c>
    </row>
    <row customHeight="1" ht="11.25">
      <c r="A203" s="494" t="s">
        <v>16</v>
      </c>
      <c r="B203" s="0" t="s">
        <v>3871</v>
      </c>
      <c r="C203" s="0" t="s">
        <v>3872</v>
      </c>
      <c r="D203" s="0" t="s">
        <v>3890</v>
      </c>
      <c r="E203" s="0" t="s">
        <v>3893</v>
      </c>
      <c r="F203" s="0" t="s">
        <v>3366</v>
      </c>
      <c r="G203" s="0" t="s">
        <v>3894</v>
      </c>
    </row>
    <row customHeight="1" ht="11.25">
      <c r="A204" s="494" t="s">
        <v>16</v>
      </c>
      <c r="B204" s="0" t="s">
        <v>3871</v>
      </c>
      <c r="C204" s="0" t="s">
        <v>3872</v>
      </c>
      <c r="D204" s="0" t="s">
        <v>3871</v>
      </c>
      <c r="E204" s="0" t="s">
        <v>3872</v>
      </c>
      <c r="F204" s="0" t="s">
        <v>3360</v>
      </c>
      <c r="G204" s="0" t="s">
        <v>3895</v>
      </c>
    </row>
    <row customHeight="1" ht="11.25">
      <c r="A205" s="494" t="s">
        <v>16</v>
      </c>
      <c r="B205" s="0" t="s">
        <v>3871</v>
      </c>
      <c r="C205" s="0" t="s">
        <v>3872</v>
      </c>
      <c r="D205" s="0" t="s">
        <v>3896</v>
      </c>
      <c r="E205" s="0" t="s">
        <v>3897</v>
      </c>
      <c r="F205" s="0" t="s">
        <v>3363</v>
      </c>
      <c r="G205" s="0" t="s">
        <v>3898</v>
      </c>
    </row>
    <row customHeight="1" ht="11.25">
      <c r="A206" s="494" t="s">
        <v>16</v>
      </c>
      <c r="B206" s="0" t="s">
        <v>3871</v>
      </c>
      <c r="C206" s="0" t="s">
        <v>3872</v>
      </c>
      <c r="D206" s="0" t="s">
        <v>3899</v>
      </c>
      <c r="E206" s="0" t="s">
        <v>3900</v>
      </c>
      <c r="F206" s="0" t="s">
        <v>3366</v>
      </c>
      <c r="G206" s="0" t="s">
        <v>3901</v>
      </c>
    </row>
    <row customHeight="1" ht="11.25">
      <c r="A207" s="494" t="s">
        <v>16</v>
      </c>
      <c r="B207" s="0" t="s">
        <v>3871</v>
      </c>
      <c r="C207" s="0" t="s">
        <v>3872</v>
      </c>
      <c r="D207" s="0" t="s">
        <v>3902</v>
      </c>
      <c r="E207" s="0" t="s">
        <v>3903</v>
      </c>
      <c r="F207" s="0" t="s">
        <v>3371</v>
      </c>
      <c r="G207" s="0" t="s">
        <v>3904</v>
      </c>
    </row>
    <row customHeight="1" ht="11.25">
      <c r="A208" s="8469" t="s">
        <v>16</v>
      </c>
      <c r="B208" s="0" t="s">
        <v>3871</v>
      </c>
      <c r="C208" s="0" t="s">
        <v>3872</v>
      </c>
      <c r="D208" s="0" t="s">
        <v>3905</v>
      </c>
      <c r="E208" s="0" t="s">
        <v>3906</v>
      </c>
      <c r="F208" s="0" t="s">
        <v>3371</v>
      </c>
      <c r="G208" s="0" t="s">
        <v>3907</v>
      </c>
    </row>
    <row customHeight="1" ht="11.25">
      <c r="A209" s="8469" t="s">
        <v>16</v>
      </c>
      <c r="B209" s="0" t="s">
        <v>3871</v>
      </c>
      <c r="C209" s="0" t="s">
        <v>3872</v>
      </c>
      <c r="D209" s="0" t="s">
        <v>3908</v>
      </c>
      <c r="E209" s="0" t="s">
        <v>3909</v>
      </c>
      <c r="F209" s="0" t="s">
        <v>3371</v>
      </c>
      <c r="G209" s="0" t="s">
        <v>3910</v>
      </c>
    </row>
    <row customHeight="1" ht="11.25">
      <c r="A210" s="8469" t="s">
        <v>16</v>
      </c>
      <c r="B210" s="0" t="s">
        <v>3871</v>
      </c>
      <c r="C210" s="0" t="s">
        <v>3872</v>
      </c>
      <c r="D210" s="0" t="s">
        <v>3911</v>
      </c>
      <c r="E210" s="0" t="s">
        <v>3912</v>
      </c>
      <c r="F210" s="0" t="s">
        <v>3366</v>
      </c>
      <c r="G210" s="0" t="s">
        <v>3913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CBBEA-9AAB-9E98-8F21-0.2A531C9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65" width="13.8515625" customWidth="1"/>
    <col min="2" max="2" style="8465" width="10.421875" customWidth="1"/>
    <col min="3" max="3" style="8465" width="7.57421875" customWidth="1"/>
    <col min="4" max="4" style="8465" width="13.8515625" customWidth="1"/>
    <col min="5" max="5" style="8465" width="11.57421875" customWidth="1"/>
    <col min="6" max="6" style="8465" width="16.28125" customWidth="1"/>
    <col min="7" max="7" style="8465" width="16.00390625" customWidth="1"/>
    <col min="8" max="9" style="8465" width="16.140625" customWidth="1"/>
  </cols>
  <sheetData>
    <row customHeight="1" ht="11.25">
      <c r="A1" s="956" t="s">
        <v>3914</v>
      </c>
      <c r="B1" s="956" t="s">
        <v>3915</v>
      </c>
      <c r="C1" s="1280" t="s">
        <v>3916</v>
      </c>
      <c r="D1" s="956" t="s">
        <v>3917</v>
      </c>
      <c r="E1" s="956" t="s">
        <v>3918</v>
      </c>
      <c r="F1" s="1280" t="s">
        <v>3919</v>
      </c>
      <c r="G1" s="1280" t="s">
        <v>3920</v>
      </c>
      <c r="H1" s="1280" t="s">
        <v>3921</v>
      </c>
      <c r="I1" s="1280"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FB4A-3DBF-C4FF-CE91-0.F6DDD1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461A7-DEA8-E0A1-4DFE-0.6438CF84}"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457" width="9.140625"/>
  </cols>
  <sheetData>
    <row customHeight="1" ht="11.25">
      <c r="A1" s="304" t="s">
        <v>143</v>
      </c>
      <c r="B1" s="304" t="s">
        <v>3923</v>
      </c>
    </row>
    <row customHeight="1" ht="11.25">
      <c r="A2" s="5561" t="s">
        <v>98</v>
      </c>
      <c r="B2" s="5561" t="s">
        <v>3924</v>
      </c>
    </row>
    <row customHeight="1" ht="11.25">
      <c r="A3" s="5561" t="s">
        <v>113</v>
      </c>
      <c r="B3" s="5561"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C0BB-CCEC-318F-EC82-0.D8088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65" width="9.140625"/>
    <col min="2" max="2" style="8465" width="65.28125" customWidth="1"/>
  </cols>
  <sheetData>
    <row customHeight="1" ht="11.25">
      <c r="A1" s="956" t="s">
        <v>3926</v>
      </c>
      <c r="B1" s="956" t="s">
        <v>3927</v>
      </c>
    </row>
    <row customHeight="1" ht="11.25">
      <c r="A2" s="956">
        <v>4213775</v>
      </c>
      <c r="B2" s="956" t="s">
        <v>1247</v>
      </c>
    </row>
    <row customHeight="1" ht="11.25">
      <c r="A3" s="956">
        <v>4213784</v>
      </c>
      <c r="B3" s="956" t="s">
        <v>1280</v>
      </c>
    </row>
    <row customHeight="1" ht="11.25">
      <c r="A4" s="956">
        <v>4213781</v>
      </c>
      <c r="B4" s="956" t="s">
        <v>1273</v>
      </c>
    </row>
    <row customHeight="1" ht="11.25">
      <c r="A5" s="956">
        <v>4213776</v>
      </c>
      <c r="B5" s="956" t="s">
        <v>190</v>
      </c>
    </row>
    <row customHeight="1" ht="11.25">
      <c r="A6" s="956">
        <v>4213777</v>
      </c>
      <c r="B6" s="956" t="s">
        <v>198</v>
      </c>
    </row>
    <row customHeight="1" ht="11.25">
      <c r="A7" s="956">
        <v>4213778</v>
      </c>
      <c r="B7" s="956" t="s">
        <v>204</v>
      </c>
    </row>
    <row customHeight="1" ht="11.25">
      <c r="A8" s="956">
        <v>4213780</v>
      </c>
      <c r="B8" s="956" t="s">
        <v>210</v>
      </c>
    </row>
    <row customHeight="1" ht="11.25">
      <c r="A9" s="956">
        <v>4213779</v>
      </c>
      <c r="B9" s="956" t="s">
        <v>1414</v>
      </c>
    </row>
    <row customHeight="1" ht="11.25">
      <c r="A10" s="956">
        <v>4213783</v>
      </c>
      <c r="B10" s="956" t="s">
        <v>1429</v>
      </c>
    </row>
    <row customHeight="1" ht="11.25">
      <c r="A11" s="956">
        <v>4213782</v>
      </c>
      <c r="B11" s="956"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4D437-877A-7A9E-67E3-0.1BBA8B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65" width="9.140625"/>
    <col min="2" max="2" style="8465" width="65.28125" customWidth="1"/>
  </cols>
  <sheetData>
    <row customHeight="1" ht="11.25">
      <c r="A1" s="956" t="s">
        <v>3926</v>
      </c>
      <c r="B1" s="956" t="s">
        <v>3928</v>
      </c>
    </row>
    <row customHeight="1" ht="11.25">
      <c r="A2" s="956" t="s">
        <v>3929</v>
      </c>
      <c r="B2" s="956" t="s">
        <v>1527</v>
      </c>
    </row>
    <row customHeight="1" ht="11.25">
      <c r="A3" s="956" t="s">
        <v>3930</v>
      </c>
      <c r="B3" s="956" t="s">
        <v>1537</v>
      </c>
    </row>
    <row customHeight="1" ht="11.25">
      <c r="A4" s="956" t="s">
        <v>3931</v>
      </c>
      <c r="B4" s="956" t="s">
        <v>1546</v>
      </c>
    </row>
    <row customHeight="1" ht="11.25">
      <c r="A5" s="956" t="s">
        <v>3932</v>
      </c>
      <c r="B5" s="956" t="s">
        <v>1555</v>
      </c>
    </row>
    <row customHeight="1" ht="11.25">
      <c r="A6" s="956" t="s">
        <v>3933</v>
      </c>
      <c r="B6" s="956" t="s">
        <v>1561</v>
      </c>
    </row>
    <row customHeight="1" ht="11.25">
      <c r="A7" s="956" t="s">
        <v>3934</v>
      </c>
      <c r="B7" s="956" t="s">
        <v>1569</v>
      </c>
    </row>
    <row customHeight="1" ht="11.25">
      <c r="A8" s="956" t="s">
        <v>3935</v>
      </c>
      <c r="B8" s="956" t="s">
        <v>1576</v>
      </c>
    </row>
    <row customHeight="1" ht="11.25">
      <c r="A9" s="956" t="s">
        <v>3936</v>
      </c>
      <c r="B9" s="956" t="s">
        <v>1582</v>
      </c>
    </row>
    <row customHeight="1" ht="11.25">
      <c r="A10" s="956" t="s">
        <v>3937</v>
      </c>
      <c r="B10" s="956" t="s">
        <v>1586</v>
      </c>
    </row>
    <row customHeight="1" ht="11.25">
      <c r="A11" s="956" t="s">
        <v>3938</v>
      </c>
      <c r="B11" s="956"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EB761-61CA-8BDD-20F7-0.F1E65DBB}"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94" t="s">
        <v>3351</v>
      </c>
      <c r="B1" s="494" t="s">
        <v>3352</v>
      </c>
      <c r="C1" s="494" t="s">
        <v>3353</v>
      </c>
      <c r="D1" s="494" t="s">
        <v>3354</v>
      </c>
      <c r="E1" s="0" t="s">
        <v>3355</v>
      </c>
      <c r="F1" s="0" t="s">
        <v>3356</v>
      </c>
      <c r="G1" s="0" t="s">
        <v>3357</v>
      </c>
    </row>
    <row customHeight="1" ht="11.25">
      <c r="A2" s="0" t="s">
        <v>16</v>
      </c>
      <c r="B2" s="0" t="s">
        <v>3358</v>
      </c>
      <c r="C2" s="0" t="s">
        <v>3359</v>
      </c>
      <c r="D2" s="0" t="s">
        <v>3358</v>
      </c>
      <c r="E2" s="0" t="s">
        <v>3359</v>
      </c>
      <c r="F2" s="0" t="s">
        <v>3360</v>
      </c>
      <c r="G2" s="0" t="s">
        <v>123</v>
      </c>
    </row>
    <row customHeight="1" ht="11.25">
      <c r="A3" s="0" t="s">
        <v>16</v>
      </c>
      <c r="B3" s="0" t="s">
        <v>3358</v>
      </c>
      <c r="C3" s="0" t="s">
        <v>3359</v>
      </c>
      <c r="D3" s="0" t="s">
        <v>3361</v>
      </c>
      <c r="E3" s="0" t="s">
        <v>3362</v>
      </c>
      <c r="F3" s="0" t="s">
        <v>3363</v>
      </c>
      <c r="G3" s="0" t="s">
        <v>103</v>
      </c>
    </row>
    <row customHeight="1" ht="11.25">
      <c r="A4" s="0" t="s">
        <v>16</v>
      </c>
      <c r="B4" s="0" t="s">
        <v>3358</v>
      </c>
      <c r="C4" s="0" t="s">
        <v>3359</v>
      </c>
      <c r="D4" s="0" t="s">
        <v>3364</v>
      </c>
      <c r="E4" s="0" t="s">
        <v>3365</v>
      </c>
      <c r="F4" s="0" t="s">
        <v>3366</v>
      </c>
      <c r="G4" s="0" t="s">
        <v>90</v>
      </c>
    </row>
    <row customHeight="1" ht="11.25">
      <c r="A5" s="0" t="s">
        <v>16</v>
      </c>
      <c r="B5" s="0" t="s">
        <v>3358</v>
      </c>
      <c r="C5" s="0" t="s">
        <v>3359</v>
      </c>
      <c r="D5" s="0" t="s">
        <v>3367</v>
      </c>
      <c r="E5" s="0" t="s">
        <v>3368</v>
      </c>
      <c r="F5" s="0" t="s">
        <v>3366</v>
      </c>
      <c r="G5" s="0" t="s">
        <v>91</v>
      </c>
    </row>
    <row customHeight="1" ht="11.25">
      <c r="A6" s="0" t="s">
        <v>16</v>
      </c>
      <c r="B6" s="0" t="s">
        <v>3358</v>
      </c>
      <c r="C6" s="0" t="s">
        <v>3359</v>
      </c>
      <c r="D6" s="0" t="s">
        <v>3369</v>
      </c>
      <c r="E6" s="0" t="s">
        <v>3370</v>
      </c>
      <c r="F6" s="0" t="s">
        <v>3371</v>
      </c>
      <c r="G6" s="0" t="s">
        <v>124</v>
      </c>
    </row>
    <row customHeight="1" ht="11.25">
      <c r="A7" s="0" t="s">
        <v>16</v>
      </c>
      <c r="B7" s="0" t="s">
        <v>3358</v>
      </c>
      <c r="C7" s="0" t="s">
        <v>3359</v>
      </c>
      <c r="D7" s="0" t="s">
        <v>3372</v>
      </c>
      <c r="E7" s="0" t="s">
        <v>3373</v>
      </c>
      <c r="F7" s="0" t="s">
        <v>3366</v>
      </c>
      <c r="G7" s="0" t="s">
        <v>92</v>
      </c>
    </row>
    <row customHeight="1" ht="11.25">
      <c r="A8" s="0" t="s">
        <v>16</v>
      </c>
      <c r="B8" s="0" t="s">
        <v>3358</v>
      </c>
      <c r="C8" s="0" t="s">
        <v>3359</v>
      </c>
      <c r="D8" s="0" t="s">
        <v>3374</v>
      </c>
      <c r="E8" s="0" t="s">
        <v>3375</v>
      </c>
      <c r="F8" s="0" t="s">
        <v>3363</v>
      </c>
      <c r="G8" s="0" t="s">
        <v>93</v>
      </c>
    </row>
    <row customHeight="1" ht="11.25">
      <c r="A9" s="0" t="s">
        <v>16</v>
      </c>
      <c r="B9" s="0" t="s">
        <v>3358</v>
      </c>
      <c r="C9" s="0" t="s">
        <v>3359</v>
      </c>
      <c r="D9" s="0" t="s">
        <v>3376</v>
      </c>
      <c r="E9" s="0" t="s">
        <v>3377</v>
      </c>
      <c r="F9" s="0" t="s">
        <v>3366</v>
      </c>
      <c r="G9" s="0" t="s">
        <v>125</v>
      </c>
    </row>
    <row customHeight="1" ht="11.25">
      <c r="A10" s="0" t="s">
        <v>16</v>
      </c>
      <c r="B10" s="0" t="s">
        <v>3378</v>
      </c>
      <c r="C10" s="0" t="s">
        <v>3379</v>
      </c>
      <c r="D10" s="0" t="s">
        <v>3380</v>
      </c>
      <c r="E10" s="0" t="s">
        <v>3381</v>
      </c>
      <c r="F10" s="0" t="s">
        <v>3366</v>
      </c>
      <c r="G10" s="0" t="s">
        <v>161</v>
      </c>
    </row>
    <row customHeight="1" ht="11.25">
      <c r="A11" s="0" t="s">
        <v>16</v>
      </c>
      <c r="B11" s="0" t="s">
        <v>3378</v>
      </c>
      <c r="C11" s="0" t="s">
        <v>3379</v>
      </c>
      <c r="D11" s="0" t="s">
        <v>3382</v>
      </c>
      <c r="E11" s="0" t="s">
        <v>3383</v>
      </c>
      <c r="F11" s="0" t="s">
        <v>3366</v>
      </c>
      <c r="G11" s="0" t="s">
        <v>162</v>
      </c>
    </row>
    <row customHeight="1" ht="11.25">
      <c r="A12" s="0" t="s">
        <v>16</v>
      </c>
      <c r="B12" s="0" t="s">
        <v>3378</v>
      </c>
      <c r="C12" s="0" t="s">
        <v>3379</v>
      </c>
      <c r="D12" s="0" t="s">
        <v>3378</v>
      </c>
      <c r="E12" s="0" t="s">
        <v>3379</v>
      </c>
      <c r="F12" s="0" t="s">
        <v>3360</v>
      </c>
      <c r="G12" s="0" t="s">
        <v>163</v>
      </c>
    </row>
    <row customHeight="1" ht="11.25">
      <c r="A13" s="0" t="s">
        <v>16</v>
      </c>
      <c r="B13" s="0" t="s">
        <v>3378</v>
      </c>
      <c r="C13" s="0" t="s">
        <v>3379</v>
      </c>
      <c r="D13" s="0" t="s">
        <v>3384</v>
      </c>
      <c r="E13" s="0" t="s">
        <v>3385</v>
      </c>
      <c r="F13" s="0" t="s">
        <v>3363</v>
      </c>
      <c r="G13" s="0" t="s">
        <v>164</v>
      </c>
    </row>
    <row customHeight="1" ht="11.25">
      <c r="A14" s="0" t="s">
        <v>16</v>
      </c>
      <c r="B14" s="0" t="s">
        <v>3378</v>
      </c>
      <c r="C14" s="0" t="s">
        <v>3379</v>
      </c>
      <c r="D14" s="0" t="s">
        <v>3386</v>
      </c>
      <c r="E14" s="0" t="s">
        <v>3387</v>
      </c>
      <c r="F14" s="0" t="s">
        <v>3366</v>
      </c>
      <c r="G14" s="0" t="s">
        <v>165</v>
      </c>
    </row>
    <row customHeight="1" ht="11.25">
      <c r="A15" s="0" t="s">
        <v>16</v>
      </c>
      <c r="B15" s="0" t="s">
        <v>3378</v>
      </c>
      <c r="C15" s="0" t="s">
        <v>3379</v>
      </c>
      <c r="D15" s="0" t="s">
        <v>3388</v>
      </c>
      <c r="E15" s="0" t="s">
        <v>3389</v>
      </c>
      <c r="F15" s="0" t="s">
        <v>3366</v>
      </c>
      <c r="G15" s="0" t="s">
        <v>166</v>
      </c>
    </row>
    <row customHeight="1" ht="11.25">
      <c r="A16" s="0" t="s">
        <v>16</v>
      </c>
      <c r="B16" s="0" t="s">
        <v>3378</v>
      </c>
      <c r="C16" s="0" t="s">
        <v>3379</v>
      </c>
      <c r="D16" s="0" t="s">
        <v>3390</v>
      </c>
      <c r="E16" s="0" t="s">
        <v>3391</v>
      </c>
      <c r="F16" s="0" t="s">
        <v>3366</v>
      </c>
      <c r="G16" s="0" t="s">
        <v>1489</v>
      </c>
    </row>
    <row customHeight="1" ht="11.25">
      <c r="A17" s="0" t="s">
        <v>16</v>
      </c>
      <c r="B17" s="0" t="s">
        <v>3378</v>
      </c>
      <c r="C17" s="0" t="s">
        <v>3379</v>
      </c>
      <c r="D17" s="0" t="s">
        <v>3392</v>
      </c>
      <c r="E17" s="0" t="s">
        <v>3393</v>
      </c>
      <c r="F17" s="0" t="s">
        <v>3366</v>
      </c>
      <c r="G17" s="0" t="s">
        <v>1495</v>
      </c>
    </row>
    <row customHeight="1" ht="11.25">
      <c r="A18" s="0" t="s">
        <v>16</v>
      </c>
      <c r="B18" s="0" t="s">
        <v>3394</v>
      </c>
      <c r="C18" s="0" t="s">
        <v>3395</v>
      </c>
      <c r="D18" s="0" t="s">
        <v>3396</v>
      </c>
      <c r="E18" s="0" t="s">
        <v>3397</v>
      </c>
      <c r="F18" s="0" t="s">
        <v>3366</v>
      </c>
      <c r="G18" s="0" t="s">
        <v>1507</v>
      </c>
    </row>
    <row customHeight="1" ht="11.25">
      <c r="A19" s="0" t="s">
        <v>16</v>
      </c>
      <c r="B19" s="0" t="s">
        <v>3394</v>
      </c>
      <c r="C19" s="0" t="s">
        <v>3395</v>
      </c>
      <c r="D19" s="0" t="s">
        <v>3394</v>
      </c>
      <c r="E19" s="0" t="s">
        <v>3395</v>
      </c>
      <c r="F19" s="0" t="s">
        <v>3360</v>
      </c>
      <c r="G19" s="0" t="s">
        <v>1521</v>
      </c>
    </row>
    <row customHeight="1" ht="11.25">
      <c r="A20" s="0" t="s">
        <v>16</v>
      </c>
      <c r="B20" s="0" t="s">
        <v>3394</v>
      </c>
      <c r="C20" s="0" t="s">
        <v>3395</v>
      </c>
      <c r="D20" s="0" t="s">
        <v>3398</v>
      </c>
      <c r="E20" s="0" t="s">
        <v>3399</v>
      </c>
      <c r="F20" s="0" t="s">
        <v>3363</v>
      </c>
      <c r="G20" s="0" t="s">
        <v>1533</v>
      </c>
    </row>
    <row customHeight="1" ht="11.25">
      <c r="A21" s="0" t="s">
        <v>16</v>
      </c>
      <c r="B21" s="0" t="s">
        <v>3394</v>
      </c>
      <c r="C21" s="0" t="s">
        <v>3395</v>
      </c>
      <c r="D21" s="0" t="s">
        <v>3400</v>
      </c>
      <c r="E21" s="0" t="s">
        <v>3401</v>
      </c>
      <c r="F21" s="0" t="s">
        <v>3366</v>
      </c>
      <c r="G21" s="0" t="s">
        <v>1542</v>
      </c>
    </row>
    <row customHeight="1" ht="11.25">
      <c r="A22" s="0" t="s">
        <v>16</v>
      </c>
      <c r="B22" s="0" t="s">
        <v>3394</v>
      </c>
      <c r="C22" s="0" t="s">
        <v>3395</v>
      </c>
      <c r="D22" s="0" t="s">
        <v>3402</v>
      </c>
      <c r="E22" s="0" t="s">
        <v>3403</v>
      </c>
      <c r="F22" s="0" t="s">
        <v>3366</v>
      </c>
      <c r="G22" s="0" t="s">
        <v>1558</v>
      </c>
    </row>
    <row customHeight="1" ht="11.25">
      <c r="A23" s="0" t="s">
        <v>16</v>
      </c>
      <c r="B23" s="0" t="s">
        <v>3394</v>
      </c>
      <c r="C23" s="0" t="s">
        <v>3395</v>
      </c>
      <c r="D23" s="0" t="s">
        <v>3404</v>
      </c>
      <c r="E23" s="0" t="s">
        <v>3405</v>
      </c>
      <c r="F23" s="0" t="s">
        <v>3366</v>
      </c>
      <c r="G23" s="0" t="s">
        <v>1565</v>
      </c>
    </row>
    <row customHeight="1" ht="11.25">
      <c r="A24" s="0" t="s">
        <v>16</v>
      </c>
      <c r="B24" s="0" t="s">
        <v>3394</v>
      </c>
      <c r="C24" s="0" t="s">
        <v>3395</v>
      </c>
      <c r="D24" s="0" t="s">
        <v>3406</v>
      </c>
      <c r="E24" s="0" t="s">
        <v>3407</v>
      </c>
      <c r="F24" s="0" t="s">
        <v>3366</v>
      </c>
      <c r="G24" s="0" t="s">
        <v>1573</v>
      </c>
    </row>
    <row customHeight="1" ht="11.25">
      <c r="A25" s="0" t="s">
        <v>16</v>
      </c>
      <c r="B25" s="0" t="s">
        <v>3394</v>
      </c>
      <c r="C25" s="0" t="s">
        <v>3395</v>
      </c>
      <c r="D25" s="0" t="s">
        <v>3408</v>
      </c>
      <c r="E25" s="0" t="s">
        <v>3409</v>
      </c>
      <c r="F25" s="0" t="s">
        <v>3363</v>
      </c>
      <c r="G25" s="0" t="s">
        <v>1580</v>
      </c>
    </row>
    <row customHeight="1" ht="11.25">
      <c r="A26" s="0" t="s">
        <v>16</v>
      </c>
      <c r="B26" s="0" t="s">
        <v>3394</v>
      </c>
      <c r="C26" s="0" t="s">
        <v>3395</v>
      </c>
      <c r="D26" s="0" t="s">
        <v>3410</v>
      </c>
      <c r="E26" s="0" t="s">
        <v>3411</v>
      </c>
      <c r="F26" s="0" t="s">
        <v>3366</v>
      </c>
      <c r="G26" s="0" t="s">
        <v>1584</v>
      </c>
    </row>
    <row customHeight="1" ht="11.25">
      <c r="A27" s="0" t="s">
        <v>16</v>
      </c>
      <c r="B27" s="0" t="s">
        <v>3394</v>
      </c>
      <c r="C27" s="0" t="s">
        <v>3395</v>
      </c>
      <c r="D27" s="0" t="s">
        <v>3412</v>
      </c>
      <c r="E27" s="0" t="s">
        <v>3413</v>
      </c>
      <c r="F27" s="0" t="s">
        <v>3366</v>
      </c>
      <c r="G27" s="0" t="s">
        <v>1589</v>
      </c>
    </row>
    <row customHeight="1" ht="11.25">
      <c r="A28" s="0" t="s">
        <v>16</v>
      </c>
      <c r="B28" s="0" t="s">
        <v>3394</v>
      </c>
      <c r="C28" s="0" t="s">
        <v>3395</v>
      </c>
      <c r="D28" s="0" t="s">
        <v>3414</v>
      </c>
      <c r="E28" s="0" t="s">
        <v>3415</v>
      </c>
      <c r="F28" s="0" t="s">
        <v>3366</v>
      </c>
      <c r="G28" s="0" t="s">
        <v>1597</v>
      </c>
    </row>
    <row customHeight="1" ht="11.25">
      <c r="A29" s="0" t="s">
        <v>16</v>
      </c>
      <c r="B29" s="0" t="s">
        <v>3394</v>
      </c>
      <c r="C29" s="0" t="s">
        <v>3395</v>
      </c>
      <c r="D29" s="0" t="s">
        <v>3416</v>
      </c>
      <c r="E29" s="0" t="s">
        <v>3417</v>
      </c>
      <c r="F29" s="0" t="s">
        <v>3366</v>
      </c>
      <c r="G29" s="0" t="s">
        <v>1599</v>
      </c>
    </row>
    <row customHeight="1" ht="11.25">
      <c r="A30" s="0" t="s">
        <v>16</v>
      </c>
      <c r="B30" s="0" t="s">
        <v>3394</v>
      </c>
      <c r="C30" s="0" t="s">
        <v>3395</v>
      </c>
      <c r="D30" s="0" t="s">
        <v>3418</v>
      </c>
      <c r="E30" s="0" t="s">
        <v>3419</v>
      </c>
      <c r="F30" s="0" t="s">
        <v>3366</v>
      </c>
      <c r="G30" s="0" t="s">
        <v>1602</v>
      </c>
    </row>
    <row customHeight="1" ht="11.25">
      <c r="A31" s="0" t="s">
        <v>16</v>
      </c>
      <c r="B31" s="0" t="s">
        <v>3394</v>
      </c>
      <c r="C31" s="0" t="s">
        <v>3395</v>
      </c>
      <c r="D31" s="0" t="s">
        <v>3420</v>
      </c>
      <c r="E31" s="0" t="s">
        <v>3421</v>
      </c>
      <c r="F31" s="0" t="s">
        <v>3363</v>
      </c>
      <c r="G31" s="0" t="s">
        <v>1608</v>
      </c>
    </row>
    <row customHeight="1" ht="11.25">
      <c r="A32" s="0" t="s">
        <v>16</v>
      </c>
      <c r="B32" s="0" t="s">
        <v>3394</v>
      </c>
      <c r="C32" s="0" t="s">
        <v>3395</v>
      </c>
      <c r="D32" s="0" t="s">
        <v>3422</v>
      </c>
      <c r="E32" s="0" t="s">
        <v>3423</v>
      </c>
      <c r="F32" s="0" t="s">
        <v>3366</v>
      </c>
      <c r="G32" s="0" t="s">
        <v>1610</v>
      </c>
    </row>
    <row customHeight="1" ht="11.25">
      <c r="A33" s="0" t="s">
        <v>16</v>
      </c>
      <c r="B33" s="0" t="s">
        <v>3394</v>
      </c>
      <c r="C33" s="0" t="s">
        <v>3395</v>
      </c>
      <c r="D33" s="0" t="s">
        <v>3424</v>
      </c>
      <c r="E33" s="0" t="s">
        <v>3425</v>
      </c>
      <c r="F33" s="0" t="s">
        <v>3366</v>
      </c>
      <c r="G33" s="0" t="s">
        <v>1611</v>
      </c>
    </row>
    <row customHeight="1" ht="11.25">
      <c r="A34" s="0" t="s">
        <v>16</v>
      </c>
      <c r="B34" s="0" t="s">
        <v>100</v>
      </c>
      <c r="C34" s="0" t="s">
        <v>3426</v>
      </c>
      <c r="D34" s="0" t="s">
        <v>3427</v>
      </c>
      <c r="E34" s="0" t="s">
        <v>3428</v>
      </c>
      <c r="F34" s="0" t="s">
        <v>3366</v>
      </c>
      <c r="G34" s="0" t="s">
        <v>1613</v>
      </c>
    </row>
    <row customHeight="1" ht="11.25">
      <c r="A35" s="0" t="s">
        <v>16</v>
      </c>
      <c r="B35" s="0" t="s">
        <v>100</v>
      </c>
      <c r="C35" s="0" t="s">
        <v>3426</v>
      </c>
      <c r="D35" s="0" t="s">
        <v>3429</v>
      </c>
      <c r="E35" s="0" t="s">
        <v>3431</v>
      </c>
      <c r="F35" s="0" t="s">
        <v>3366</v>
      </c>
      <c r="G35" s="0" t="s">
        <v>1618</v>
      </c>
    </row>
    <row customHeight="1" ht="11.25">
      <c r="A36" s="0" t="s">
        <v>16</v>
      </c>
      <c r="B36" s="0" t="s">
        <v>100</v>
      </c>
      <c r="C36" s="0" t="s">
        <v>3426</v>
      </c>
      <c r="D36" s="0" t="s">
        <v>100</v>
      </c>
      <c r="E36" s="0" t="s">
        <v>3426</v>
      </c>
      <c r="F36" s="0" t="s">
        <v>3360</v>
      </c>
      <c r="G36" s="0" t="s">
        <v>1623</v>
      </c>
    </row>
    <row customHeight="1" ht="11.25">
      <c r="A37" s="0" t="s">
        <v>16</v>
      </c>
      <c r="B37" s="0" t="s">
        <v>100</v>
      </c>
      <c r="C37" s="0" t="s">
        <v>3426</v>
      </c>
      <c r="D37" s="0" t="s">
        <v>3432</v>
      </c>
      <c r="E37" s="0" t="s">
        <v>3433</v>
      </c>
      <c r="F37" s="0" t="s">
        <v>3363</v>
      </c>
      <c r="G37" s="0" t="s">
        <v>1627</v>
      </c>
    </row>
    <row customHeight="1" ht="11.25">
      <c r="A38" s="0" t="s">
        <v>16</v>
      </c>
      <c r="B38" s="0" t="s">
        <v>100</v>
      </c>
      <c r="C38" s="0" t="s">
        <v>3426</v>
      </c>
      <c r="D38" s="0" t="s">
        <v>3434</v>
      </c>
      <c r="E38" s="0" t="s">
        <v>3435</v>
      </c>
      <c r="F38" s="0" t="s">
        <v>3371</v>
      </c>
      <c r="G38" s="0" t="s">
        <v>1635</v>
      </c>
    </row>
    <row customHeight="1" ht="11.25">
      <c r="A39" s="0" t="s">
        <v>16</v>
      </c>
      <c r="B39" s="0" t="s">
        <v>100</v>
      </c>
      <c r="C39" s="0" t="s">
        <v>3426</v>
      </c>
      <c r="D39" s="0" t="s">
        <v>115</v>
      </c>
      <c r="E39" s="0" t="s">
        <v>116</v>
      </c>
      <c r="F39" s="0" t="s">
        <v>3371</v>
      </c>
      <c r="G39" s="0" t="s">
        <v>114</v>
      </c>
    </row>
    <row customHeight="1" ht="11.25">
      <c r="A40" s="0" t="s">
        <v>16</v>
      </c>
      <c r="B40" s="0" t="s">
        <v>100</v>
      </c>
      <c r="C40" s="0" t="s">
        <v>3426</v>
      </c>
      <c r="D40" s="0" t="s">
        <v>3436</v>
      </c>
      <c r="E40" s="0" t="s">
        <v>3437</v>
      </c>
      <c r="F40" s="0" t="s">
        <v>3363</v>
      </c>
      <c r="G40" s="0" t="s">
        <v>1645</v>
      </c>
    </row>
    <row customHeight="1" ht="11.25">
      <c r="A41" s="0" t="s">
        <v>16</v>
      </c>
      <c r="B41" s="0" t="s">
        <v>100</v>
      </c>
      <c r="C41" s="0" t="s">
        <v>3426</v>
      </c>
      <c r="D41" s="0" t="s">
        <v>3436</v>
      </c>
      <c r="E41" s="0" t="s">
        <v>3438</v>
      </c>
      <c r="F41" s="0" t="s">
        <v>3366</v>
      </c>
      <c r="G41" s="0" t="s">
        <v>1649</v>
      </c>
    </row>
    <row customHeight="1" ht="11.25">
      <c r="A42" s="0" t="s">
        <v>16</v>
      </c>
      <c r="B42" s="0" t="s">
        <v>100</v>
      </c>
      <c r="C42" s="0" t="s">
        <v>3426</v>
      </c>
      <c r="D42" s="0" t="s">
        <v>3439</v>
      </c>
      <c r="E42" s="0" t="s">
        <v>3440</v>
      </c>
      <c r="F42" s="0" t="s">
        <v>3371</v>
      </c>
      <c r="G42" s="0" t="s">
        <v>1652</v>
      </c>
    </row>
    <row customHeight="1" ht="11.25">
      <c r="A43" s="0" t="s">
        <v>16</v>
      </c>
      <c r="B43" s="0" t="s">
        <v>100</v>
      </c>
      <c r="C43" s="0" t="s">
        <v>3426</v>
      </c>
      <c r="D43" s="0" t="s">
        <v>3441</v>
      </c>
      <c r="E43" s="0" t="s">
        <v>3442</v>
      </c>
      <c r="F43" s="0" t="s">
        <v>3366</v>
      </c>
      <c r="G43" s="0" t="s">
        <v>1659</v>
      </c>
    </row>
    <row customHeight="1" ht="11.25">
      <c r="A44" s="0" t="s">
        <v>16</v>
      </c>
      <c r="B44" s="0" t="s">
        <v>100</v>
      </c>
      <c r="C44" s="0" t="s">
        <v>3426</v>
      </c>
      <c r="D44" s="0" t="s">
        <v>3443</v>
      </c>
      <c r="E44" s="0" t="s">
        <v>3444</v>
      </c>
      <c r="F44" s="0" t="s">
        <v>3366</v>
      </c>
      <c r="G44" s="0" t="s">
        <v>1668</v>
      </c>
    </row>
    <row customHeight="1" ht="11.25">
      <c r="A45" s="0" t="s">
        <v>16</v>
      </c>
      <c r="B45" s="0" t="s">
        <v>100</v>
      </c>
      <c r="C45" s="0" t="s">
        <v>3426</v>
      </c>
      <c r="D45" s="0" t="s">
        <v>3445</v>
      </c>
      <c r="E45" s="0" t="s">
        <v>3446</v>
      </c>
      <c r="F45" s="0" t="s">
        <v>3371</v>
      </c>
      <c r="G45" s="0" t="s">
        <v>1673</v>
      </c>
    </row>
    <row customHeight="1" ht="11.25">
      <c r="A46" s="0" t="s">
        <v>16</v>
      </c>
      <c r="B46" s="0" t="s">
        <v>100</v>
      </c>
      <c r="C46" s="0" t="s">
        <v>3426</v>
      </c>
      <c r="D46" s="0" t="s">
        <v>3447</v>
      </c>
      <c r="E46" s="0" t="s">
        <v>3448</v>
      </c>
      <c r="F46" s="0" t="s">
        <v>3371</v>
      </c>
      <c r="G46" s="0" t="s">
        <v>1686</v>
      </c>
    </row>
    <row customHeight="1" ht="11.25">
      <c r="A47" s="0" t="s">
        <v>16</v>
      </c>
      <c r="B47" s="0" t="s">
        <v>100</v>
      </c>
      <c r="C47" s="0" t="s">
        <v>3426</v>
      </c>
      <c r="D47" s="0" t="s">
        <v>3449</v>
      </c>
      <c r="E47" s="0" t="s">
        <v>3450</v>
      </c>
      <c r="F47" s="0" t="s">
        <v>3366</v>
      </c>
      <c r="G47" s="0" t="s">
        <v>1689</v>
      </c>
    </row>
    <row customHeight="1" ht="11.25">
      <c r="A48" s="0" t="s">
        <v>16</v>
      </c>
      <c r="B48" s="0" t="s">
        <v>100</v>
      </c>
      <c r="C48" s="0" t="s">
        <v>3426</v>
      </c>
      <c r="D48" s="0" t="s">
        <v>3451</v>
      </c>
      <c r="E48" s="0" t="s">
        <v>3452</v>
      </c>
      <c r="F48" s="0" t="s">
        <v>3371</v>
      </c>
      <c r="G48" s="0" t="s">
        <v>1692</v>
      </c>
    </row>
    <row customHeight="1" ht="11.25">
      <c r="A49" s="0" t="s">
        <v>16</v>
      </c>
      <c r="B49" s="0" t="s">
        <v>100</v>
      </c>
      <c r="C49" s="0" t="s">
        <v>3426</v>
      </c>
      <c r="D49" s="0" t="s">
        <v>3453</v>
      </c>
      <c r="E49" s="0" t="s">
        <v>3454</v>
      </c>
      <c r="F49" s="0" t="s">
        <v>3363</v>
      </c>
      <c r="G49" s="0" t="s">
        <v>1697</v>
      </c>
    </row>
    <row customHeight="1" ht="11.25">
      <c r="A50" s="0" t="s">
        <v>16</v>
      </c>
      <c r="B50" s="0" t="s">
        <v>100</v>
      </c>
      <c r="C50" s="0" t="s">
        <v>3426</v>
      </c>
      <c r="D50" s="0" t="s">
        <v>3455</v>
      </c>
      <c r="E50" s="0" t="s">
        <v>3456</v>
      </c>
      <c r="F50" s="0" t="s">
        <v>3371</v>
      </c>
      <c r="G50" s="0" t="s">
        <v>1701</v>
      </c>
    </row>
    <row customHeight="1" ht="11.25">
      <c r="A51" s="0" t="s">
        <v>16</v>
      </c>
      <c r="B51" s="0" t="s">
        <v>100</v>
      </c>
      <c r="C51" s="0" t="s">
        <v>3426</v>
      </c>
      <c r="D51" s="0" t="s">
        <v>3457</v>
      </c>
      <c r="E51" s="0" t="s">
        <v>3458</v>
      </c>
      <c r="F51" s="0" t="s">
        <v>3366</v>
      </c>
      <c r="G51" s="0" t="s">
        <v>1703</v>
      </c>
    </row>
    <row customHeight="1" ht="11.25">
      <c r="A52" s="0" t="s">
        <v>16</v>
      </c>
      <c r="B52" s="0" t="s">
        <v>100</v>
      </c>
      <c r="C52" s="0" t="s">
        <v>3426</v>
      </c>
      <c r="D52" s="0" t="s">
        <v>3459</v>
      </c>
      <c r="E52" s="0" t="s">
        <v>3460</v>
      </c>
      <c r="F52" s="0" t="s">
        <v>3366</v>
      </c>
      <c r="G52" s="0" t="s">
        <v>1706</v>
      </c>
    </row>
    <row customHeight="1" ht="11.25">
      <c r="A53" s="0" t="s">
        <v>16</v>
      </c>
      <c r="B53" s="0" t="s">
        <v>3461</v>
      </c>
      <c r="C53" s="0" t="s">
        <v>3462</v>
      </c>
      <c r="D53" s="0" t="s">
        <v>3461</v>
      </c>
      <c r="E53" s="0" t="s">
        <v>3462</v>
      </c>
      <c r="F53" s="0" t="s">
        <v>3360</v>
      </c>
      <c r="G53" s="0" t="s">
        <v>1710</v>
      </c>
    </row>
    <row customHeight="1" ht="11.25">
      <c r="A54" s="0" t="s">
        <v>16</v>
      </c>
      <c r="B54" s="0" t="s">
        <v>3461</v>
      </c>
      <c r="C54" s="0" t="s">
        <v>3462</v>
      </c>
      <c r="D54" s="0" t="s">
        <v>3463</v>
      </c>
      <c r="E54" s="0" t="s">
        <v>3464</v>
      </c>
      <c r="F54" s="0" t="s">
        <v>3363</v>
      </c>
      <c r="G54" s="0" t="s">
        <v>1713</v>
      </c>
    </row>
    <row customHeight="1" ht="11.25">
      <c r="A55" s="0" t="s">
        <v>16</v>
      </c>
      <c r="B55" s="0" t="s">
        <v>3461</v>
      </c>
      <c r="C55" s="0" t="s">
        <v>3462</v>
      </c>
      <c r="D55" s="0" t="s">
        <v>3465</v>
      </c>
      <c r="E55" s="0" t="s">
        <v>3466</v>
      </c>
      <c r="F55" s="0" t="s">
        <v>3363</v>
      </c>
      <c r="G55" s="0" t="s">
        <v>1716</v>
      </c>
    </row>
    <row customHeight="1" ht="11.25">
      <c r="A56" s="0" t="s">
        <v>16</v>
      </c>
      <c r="B56" s="0" t="s">
        <v>3461</v>
      </c>
      <c r="C56" s="0" t="s">
        <v>3462</v>
      </c>
      <c r="D56" s="0" t="s">
        <v>3467</v>
      </c>
      <c r="E56" s="0" t="s">
        <v>3468</v>
      </c>
      <c r="F56" s="0" t="s">
        <v>3366</v>
      </c>
      <c r="G56" s="0" t="s">
        <v>1719</v>
      </c>
    </row>
    <row customHeight="1" ht="11.25">
      <c r="A57" s="0" t="s">
        <v>16</v>
      </c>
      <c r="B57" s="0" t="s">
        <v>3461</v>
      </c>
      <c r="C57" s="0" t="s">
        <v>3462</v>
      </c>
      <c r="D57" s="0" t="s">
        <v>3469</v>
      </c>
      <c r="E57" s="0" t="s">
        <v>3470</v>
      </c>
      <c r="F57" s="0" t="s">
        <v>3363</v>
      </c>
      <c r="G57" s="0" t="s">
        <v>1723</v>
      </c>
    </row>
    <row customHeight="1" ht="11.25">
      <c r="A58" s="0" t="s">
        <v>16</v>
      </c>
      <c r="B58" s="0" t="s">
        <v>3461</v>
      </c>
      <c r="C58" s="0" t="s">
        <v>3462</v>
      </c>
      <c r="D58" s="0" t="s">
        <v>3471</v>
      </c>
      <c r="E58" s="0" t="s">
        <v>3472</v>
      </c>
      <c r="F58" s="0" t="s">
        <v>3366</v>
      </c>
      <c r="G58" s="0" t="s">
        <v>1727</v>
      </c>
    </row>
    <row customHeight="1" ht="11.25">
      <c r="A59" s="0" t="s">
        <v>16</v>
      </c>
      <c r="B59" s="0" t="s">
        <v>3461</v>
      </c>
      <c r="C59" s="0" t="s">
        <v>3462</v>
      </c>
      <c r="D59" s="0" t="s">
        <v>3474</v>
      </c>
      <c r="E59" s="0" t="s">
        <v>3475</v>
      </c>
      <c r="F59" s="0" t="s">
        <v>3366</v>
      </c>
      <c r="G59" s="0" t="s">
        <v>3473</v>
      </c>
    </row>
    <row customHeight="1" ht="11.25">
      <c r="A60" s="0" t="s">
        <v>16</v>
      </c>
      <c r="B60" s="0" t="s">
        <v>3461</v>
      </c>
      <c r="C60" s="0" t="s">
        <v>3462</v>
      </c>
      <c r="D60" s="0" t="s">
        <v>3477</v>
      </c>
      <c r="E60" s="0" t="s">
        <v>3478</v>
      </c>
      <c r="F60" s="0" t="s">
        <v>3366</v>
      </c>
      <c r="G60" s="0" t="s">
        <v>3476</v>
      </c>
    </row>
    <row customHeight="1" ht="11.25">
      <c r="A61" s="0" t="s">
        <v>16</v>
      </c>
      <c r="B61" s="0" t="s">
        <v>3461</v>
      </c>
      <c r="C61" s="0" t="s">
        <v>3462</v>
      </c>
      <c r="D61" s="0" t="s">
        <v>3480</v>
      </c>
      <c r="E61" s="0" t="s">
        <v>3481</v>
      </c>
      <c r="F61" s="0" t="s">
        <v>3363</v>
      </c>
      <c r="G61" s="0" t="s">
        <v>3479</v>
      </c>
    </row>
    <row customHeight="1" ht="11.25">
      <c r="A62" s="0" t="s">
        <v>16</v>
      </c>
      <c r="B62" s="0" t="s">
        <v>3461</v>
      </c>
      <c r="C62" s="0" t="s">
        <v>3462</v>
      </c>
      <c r="D62" s="0" t="s">
        <v>3483</v>
      </c>
      <c r="E62" s="0" t="s">
        <v>3484</v>
      </c>
      <c r="F62" s="0" t="s">
        <v>3371</v>
      </c>
      <c r="G62" s="0" t="s">
        <v>3482</v>
      </c>
    </row>
    <row customHeight="1" ht="11.25">
      <c r="A63" s="0" t="s">
        <v>16</v>
      </c>
      <c r="B63" s="0" t="s">
        <v>3461</v>
      </c>
      <c r="C63" s="0" t="s">
        <v>3462</v>
      </c>
      <c r="D63" s="0" t="s">
        <v>3486</v>
      </c>
      <c r="E63" s="0" t="s">
        <v>3487</v>
      </c>
      <c r="F63" s="0" t="s">
        <v>3363</v>
      </c>
      <c r="G63" s="0" t="s">
        <v>3485</v>
      </c>
    </row>
    <row customHeight="1" ht="11.25">
      <c r="A64" s="0" t="s">
        <v>16</v>
      </c>
      <c r="B64" s="0" t="s">
        <v>3461</v>
      </c>
      <c r="C64" s="0" t="s">
        <v>3462</v>
      </c>
      <c r="D64" s="0" t="s">
        <v>3489</v>
      </c>
      <c r="E64" s="0" t="s">
        <v>3490</v>
      </c>
      <c r="F64" s="0" t="s">
        <v>3366</v>
      </c>
      <c r="G64" s="0" t="s">
        <v>3488</v>
      </c>
    </row>
    <row customHeight="1" ht="11.25">
      <c r="A65" s="0" t="s">
        <v>16</v>
      </c>
      <c r="B65" s="0" t="s">
        <v>3461</v>
      </c>
      <c r="C65" s="0" t="s">
        <v>3462</v>
      </c>
      <c r="D65" s="0" t="s">
        <v>3491</v>
      </c>
      <c r="E65" s="0" t="s">
        <v>3492</v>
      </c>
      <c r="F65" s="0" t="s">
        <v>3371</v>
      </c>
      <c r="G65" s="0" t="s">
        <v>2045</v>
      </c>
    </row>
    <row customHeight="1" ht="11.25">
      <c r="A66" s="0" t="s">
        <v>16</v>
      </c>
      <c r="B66" s="0" t="s">
        <v>3497</v>
      </c>
      <c r="C66" s="0" t="s">
        <v>3498</v>
      </c>
      <c r="D66" s="0" t="s">
        <v>3499</v>
      </c>
      <c r="E66" s="0" t="s">
        <v>3500</v>
      </c>
      <c r="F66" s="0" t="s">
        <v>3366</v>
      </c>
      <c r="G66" s="0" t="s">
        <v>3493</v>
      </c>
    </row>
    <row customHeight="1" ht="11.25">
      <c r="A67" s="0" t="s">
        <v>16</v>
      </c>
      <c r="B67" s="0" t="s">
        <v>3497</v>
      </c>
      <c r="C67" s="0" t="s">
        <v>3498</v>
      </c>
      <c r="D67" s="0" t="s">
        <v>3502</v>
      </c>
      <c r="E67" s="0" t="s">
        <v>3503</v>
      </c>
      <c r="F67" s="0" t="s">
        <v>3366</v>
      </c>
      <c r="G67" s="0" t="s">
        <v>2248</v>
      </c>
    </row>
    <row customHeight="1" ht="11.25">
      <c r="A68" s="0" t="s">
        <v>16</v>
      </c>
      <c r="B68" s="0" t="s">
        <v>3497</v>
      </c>
      <c r="C68" s="0" t="s">
        <v>3498</v>
      </c>
      <c r="D68" s="0" t="s">
        <v>3505</v>
      </c>
      <c r="E68" s="0" t="s">
        <v>3506</v>
      </c>
      <c r="F68" s="0" t="s">
        <v>3366</v>
      </c>
      <c r="G68" s="0" t="s">
        <v>3501</v>
      </c>
    </row>
    <row customHeight="1" ht="11.25">
      <c r="A69" s="0" t="s">
        <v>16</v>
      </c>
      <c r="B69" s="0" t="s">
        <v>3497</v>
      </c>
      <c r="C69" s="0" t="s">
        <v>3498</v>
      </c>
      <c r="D69" s="0" t="s">
        <v>3508</v>
      </c>
      <c r="E69" s="0" t="s">
        <v>3509</v>
      </c>
      <c r="F69" s="0" t="s">
        <v>3371</v>
      </c>
      <c r="G69" s="0" t="s">
        <v>3504</v>
      </c>
    </row>
    <row customHeight="1" ht="11.25">
      <c r="A70" s="0" t="s">
        <v>16</v>
      </c>
      <c r="B70" s="0" t="s">
        <v>3497</v>
      </c>
      <c r="C70" s="0" t="s">
        <v>3498</v>
      </c>
      <c r="D70" s="0" t="s">
        <v>3497</v>
      </c>
      <c r="E70" s="0" t="s">
        <v>3498</v>
      </c>
      <c r="F70" s="0" t="s">
        <v>3360</v>
      </c>
      <c r="G70" s="0" t="s">
        <v>3507</v>
      </c>
    </row>
    <row customHeight="1" ht="11.25">
      <c r="A71" s="0" t="s">
        <v>16</v>
      </c>
      <c r="B71" s="0" t="s">
        <v>3497</v>
      </c>
      <c r="C71" s="0" t="s">
        <v>3498</v>
      </c>
      <c r="D71" s="0" t="s">
        <v>3512</v>
      </c>
      <c r="E71" s="0" t="s">
        <v>3513</v>
      </c>
      <c r="F71" s="0" t="s">
        <v>3363</v>
      </c>
      <c r="G71" s="0" t="s">
        <v>3510</v>
      </c>
    </row>
    <row customHeight="1" ht="11.25">
      <c r="A72" s="0" t="s">
        <v>16</v>
      </c>
      <c r="B72" s="0" t="s">
        <v>3497</v>
      </c>
      <c r="C72" s="0" t="s">
        <v>3498</v>
      </c>
      <c r="D72" s="0" t="s">
        <v>3515</v>
      </c>
      <c r="E72" s="0" t="s">
        <v>3516</v>
      </c>
      <c r="F72" s="0" t="s">
        <v>3371</v>
      </c>
      <c r="G72" s="0" t="s">
        <v>3511</v>
      </c>
    </row>
    <row customHeight="1" ht="11.25">
      <c r="A73" s="0" t="s">
        <v>16</v>
      </c>
      <c r="B73" s="0" t="s">
        <v>3497</v>
      </c>
      <c r="C73" s="0" t="s">
        <v>3498</v>
      </c>
      <c r="D73" s="0" t="s">
        <v>3518</v>
      </c>
      <c r="E73" s="0" t="s">
        <v>3519</v>
      </c>
      <c r="F73" s="0" t="s">
        <v>3366</v>
      </c>
      <c r="G73" s="0" t="s">
        <v>3514</v>
      </c>
    </row>
    <row customHeight="1" ht="11.25">
      <c r="A74" s="0" t="s">
        <v>16</v>
      </c>
      <c r="B74" s="0" t="s">
        <v>3497</v>
      </c>
      <c r="C74" s="0" t="s">
        <v>3498</v>
      </c>
      <c r="D74" s="0" t="s">
        <v>3521</v>
      </c>
      <c r="E74" s="0" t="s">
        <v>3522</v>
      </c>
      <c r="F74" s="0" t="s">
        <v>3366</v>
      </c>
      <c r="G74" s="0" t="s">
        <v>3517</v>
      </c>
    </row>
    <row customHeight="1" ht="11.25">
      <c r="A75" s="0" t="s">
        <v>16</v>
      </c>
      <c r="B75" s="0" t="s">
        <v>3497</v>
      </c>
      <c r="C75" s="0" t="s">
        <v>3498</v>
      </c>
      <c r="D75" s="0" t="s">
        <v>3524</v>
      </c>
      <c r="E75" s="0" t="s">
        <v>3525</v>
      </c>
      <c r="F75" s="0" t="s">
        <v>3363</v>
      </c>
      <c r="G75" s="0" t="s">
        <v>3520</v>
      </c>
    </row>
    <row customHeight="1" ht="11.25">
      <c r="A76" s="0" t="s">
        <v>16</v>
      </c>
      <c r="B76" s="0" t="s">
        <v>3497</v>
      </c>
      <c r="C76" s="0" t="s">
        <v>3498</v>
      </c>
      <c r="D76" s="0" t="s">
        <v>3527</v>
      </c>
      <c r="E76" s="0" t="s">
        <v>3528</v>
      </c>
      <c r="F76" s="0" t="s">
        <v>3366</v>
      </c>
      <c r="G76" s="0" t="s">
        <v>3523</v>
      </c>
    </row>
    <row customHeight="1" ht="11.25">
      <c r="A77" s="0" t="s">
        <v>16</v>
      </c>
      <c r="B77" s="0" t="s">
        <v>3497</v>
      </c>
      <c r="C77" s="0" t="s">
        <v>3498</v>
      </c>
      <c r="D77" s="0" t="s">
        <v>3530</v>
      </c>
      <c r="E77" s="0" t="s">
        <v>3531</v>
      </c>
      <c r="F77" s="0" t="s">
        <v>3366</v>
      </c>
      <c r="G77" s="0" t="s">
        <v>3526</v>
      </c>
    </row>
    <row customHeight="1" ht="11.25">
      <c r="A78" s="0" t="s">
        <v>16</v>
      </c>
      <c r="B78" s="0" t="s">
        <v>3497</v>
      </c>
      <c r="C78" s="0" t="s">
        <v>3498</v>
      </c>
      <c r="D78" s="0" t="s">
        <v>3533</v>
      </c>
      <c r="E78" s="0" t="s">
        <v>3534</v>
      </c>
      <c r="F78" s="0" t="s">
        <v>3366</v>
      </c>
      <c r="G78" s="0" t="s">
        <v>3529</v>
      </c>
    </row>
    <row customHeight="1" ht="11.25">
      <c r="A79" s="0" t="s">
        <v>16</v>
      </c>
      <c r="B79" s="0" t="s">
        <v>3497</v>
      </c>
      <c r="C79" s="0" t="s">
        <v>3498</v>
      </c>
      <c r="D79" s="0" t="s">
        <v>3536</v>
      </c>
      <c r="E79" s="0" t="s">
        <v>3537</v>
      </c>
      <c r="F79" s="0" t="s">
        <v>3366</v>
      </c>
      <c r="G79" s="0" t="s">
        <v>3532</v>
      </c>
    </row>
    <row customHeight="1" ht="11.25">
      <c r="A80" s="0" t="s">
        <v>16</v>
      </c>
      <c r="B80" s="0" t="s">
        <v>3497</v>
      </c>
      <c r="C80" s="0" t="s">
        <v>3498</v>
      </c>
      <c r="D80" s="0" t="s">
        <v>3539</v>
      </c>
      <c r="E80" s="0" t="s">
        <v>3540</v>
      </c>
      <c r="F80" s="0" t="s">
        <v>3371</v>
      </c>
      <c r="G80" s="0" t="s">
        <v>3535</v>
      </c>
    </row>
    <row customHeight="1" ht="11.25">
      <c r="A81" s="0" t="s">
        <v>16</v>
      </c>
      <c r="B81" s="0" t="s">
        <v>3497</v>
      </c>
      <c r="C81" s="0" t="s">
        <v>3498</v>
      </c>
      <c r="D81" s="0" t="s">
        <v>3542</v>
      </c>
      <c r="E81" s="0" t="s">
        <v>3543</v>
      </c>
      <c r="F81" s="0" t="s">
        <v>3366</v>
      </c>
      <c r="G81" s="0" t="s">
        <v>3538</v>
      </c>
    </row>
    <row customHeight="1" ht="11.25">
      <c r="A82" s="0" t="s">
        <v>16</v>
      </c>
      <c r="B82" s="0" t="s">
        <v>3497</v>
      </c>
      <c r="C82" s="0" t="s">
        <v>3498</v>
      </c>
      <c r="D82" s="0" t="s">
        <v>3545</v>
      </c>
      <c r="E82" s="0" t="s">
        <v>3546</v>
      </c>
      <c r="F82" s="0" t="s">
        <v>3366</v>
      </c>
      <c r="G82" s="0" t="s">
        <v>3541</v>
      </c>
    </row>
    <row customHeight="1" ht="11.25">
      <c r="A83" s="0" t="s">
        <v>16</v>
      </c>
      <c r="B83" s="0" t="s">
        <v>3497</v>
      </c>
      <c r="C83" s="0" t="s">
        <v>3498</v>
      </c>
      <c r="D83" s="0" t="s">
        <v>3548</v>
      </c>
      <c r="E83" s="0" t="s">
        <v>3549</v>
      </c>
      <c r="F83" s="0" t="s">
        <v>3371</v>
      </c>
      <c r="G83" s="0" t="s">
        <v>3544</v>
      </c>
    </row>
    <row customHeight="1" ht="11.25">
      <c r="A84" s="0" t="s">
        <v>16</v>
      </c>
      <c r="B84" s="0" t="s">
        <v>3551</v>
      </c>
      <c r="C84" s="0" t="s">
        <v>3552</v>
      </c>
      <c r="D84" s="0" t="s">
        <v>3553</v>
      </c>
      <c r="E84" s="0" t="s">
        <v>3554</v>
      </c>
      <c r="F84" s="0" t="s">
        <v>3366</v>
      </c>
      <c r="G84" s="0" t="s">
        <v>3547</v>
      </c>
    </row>
    <row customHeight="1" ht="11.25">
      <c r="A85" s="0" t="s">
        <v>16</v>
      </c>
      <c r="B85" s="0" t="s">
        <v>3551</v>
      </c>
      <c r="C85" s="0" t="s">
        <v>3552</v>
      </c>
      <c r="D85" s="0" t="s">
        <v>3556</v>
      </c>
      <c r="E85" s="0" t="s">
        <v>3557</v>
      </c>
      <c r="F85" s="0" t="s">
        <v>3366</v>
      </c>
      <c r="G85" s="0" t="s">
        <v>3550</v>
      </c>
    </row>
    <row customHeight="1" ht="11.25">
      <c r="A86" s="0" t="s">
        <v>16</v>
      </c>
      <c r="B86" s="0" t="s">
        <v>3551</v>
      </c>
      <c r="C86" s="0" t="s">
        <v>3552</v>
      </c>
      <c r="D86" s="0" t="s">
        <v>3559</v>
      </c>
      <c r="E86" s="0" t="s">
        <v>3560</v>
      </c>
      <c r="F86" s="0" t="s">
        <v>3363</v>
      </c>
      <c r="G86" s="0" t="s">
        <v>3555</v>
      </c>
    </row>
    <row customHeight="1" ht="11.25">
      <c r="A87" s="0" t="s">
        <v>16</v>
      </c>
      <c r="B87" s="0" t="s">
        <v>3551</v>
      </c>
      <c r="C87" s="0" t="s">
        <v>3552</v>
      </c>
      <c r="D87" s="0" t="s">
        <v>3551</v>
      </c>
      <c r="E87" s="0" t="s">
        <v>3552</v>
      </c>
      <c r="F87" s="0" t="s">
        <v>3360</v>
      </c>
      <c r="G87" s="0" t="s">
        <v>3558</v>
      </c>
    </row>
    <row customHeight="1" ht="11.25">
      <c r="A88" s="0" t="s">
        <v>16</v>
      </c>
      <c r="B88" s="0" t="s">
        <v>3551</v>
      </c>
      <c r="C88" s="0" t="s">
        <v>3552</v>
      </c>
      <c r="D88" s="0" t="s">
        <v>3563</v>
      </c>
      <c r="E88" s="0" t="s">
        <v>3564</v>
      </c>
      <c r="F88" s="0" t="s">
        <v>3363</v>
      </c>
      <c r="G88" s="0" t="s">
        <v>3561</v>
      </c>
    </row>
    <row customHeight="1" ht="11.25">
      <c r="A89" s="0" t="s">
        <v>16</v>
      </c>
      <c r="B89" s="0" t="s">
        <v>3551</v>
      </c>
      <c r="C89" s="0" t="s">
        <v>3552</v>
      </c>
      <c r="D89" s="0" t="s">
        <v>3566</v>
      </c>
      <c r="E89" s="0" t="s">
        <v>3567</v>
      </c>
      <c r="F89" s="0" t="s">
        <v>3366</v>
      </c>
      <c r="G89" s="0" t="s">
        <v>3562</v>
      </c>
    </row>
    <row customHeight="1" ht="11.25">
      <c r="A90" s="0" t="s">
        <v>16</v>
      </c>
      <c r="B90" s="0" t="s">
        <v>3551</v>
      </c>
      <c r="C90" s="0" t="s">
        <v>3552</v>
      </c>
      <c r="D90" s="0" t="s">
        <v>3569</v>
      </c>
      <c r="E90" s="0" t="s">
        <v>3570</v>
      </c>
      <c r="F90" s="0" t="s">
        <v>3366</v>
      </c>
      <c r="G90" s="0" t="s">
        <v>3565</v>
      </c>
    </row>
    <row customHeight="1" ht="11.25">
      <c r="A91" s="0" t="s">
        <v>16</v>
      </c>
      <c r="B91" s="0" t="s">
        <v>3551</v>
      </c>
      <c r="C91" s="0" t="s">
        <v>3552</v>
      </c>
      <c r="D91" s="0" t="s">
        <v>3572</v>
      </c>
      <c r="E91" s="0" t="s">
        <v>3573</v>
      </c>
      <c r="F91" s="0" t="s">
        <v>3366</v>
      </c>
      <c r="G91" s="0" t="s">
        <v>3568</v>
      </c>
    </row>
    <row customHeight="1" ht="11.25">
      <c r="A92" s="0" t="s">
        <v>16</v>
      </c>
      <c r="B92" s="0" t="s">
        <v>3551</v>
      </c>
      <c r="C92" s="0" t="s">
        <v>3552</v>
      </c>
      <c r="D92" s="0" t="s">
        <v>3575</v>
      </c>
      <c r="E92" s="0" t="s">
        <v>3576</v>
      </c>
      <c r="F92" s="0" t="s">
        <v>3366</v>
      </c>
      <c r="G92" s="0" t="s">
        <v>3571</v>
      </c>
    </row>
    <row customHeight="1" ht="11.25">
      <c r="A93" s="0" t="s">
        <v>16</v>
      </c>
      <c r="B93" s="0" t="s">
        <v>3551</v>
      </c>
      <c r="C93" s="0" t="s">
        <v>3552</v>
      </c>
      <c r="D93" s="0" t="s">
        <v>3578</v>
      </c>
      <c r="E93" s="0" t="s">
        <v>3579</v>
      </c>
      <c r="F93" s="0" t="s">
        <v>3366</v>
      </c>
      <c r="G93" s="0" t="s">
        <v>3574</v>
      </c>
    </row>
    <row customHeight="1" ht="11.25">
      <c r="A94" s="0" t="s">
        <v>16</v>
      </c>
      <c r="B94" s="0" t="s">
        <v>3551</v>
      </c>
      <c r="C94" s="0" t="s">
        <v>3552</v>
      </c>
      <c r="D94" s="0" t="s">
        <v>3581</v>
      </c>
      <c r="E94" s="0" t="s">
        <v>3582</v>
      </c>
      <c r="F94" s="0" t="s">
        <v>3366</v>
      </c>
      <c r="G94" s="0" t="s">
        <v>3577</v>
      </c>
    </row>
    <row customHeight="1" ht="11.25">
      <c r="A95" s="0" t="s">
        <v>16</v>
      </c>
      <c r="B95" s="0" t="s">
        <v>3551</v>
      </c>
      <c r="C95" s="0" t="s">
        <v>3552</v>
      </c>
      <c r="D95" s="0" t="s">
        <v>3584</v>
      </c>
      <c r="E95" s="0" t="s">
        <v>3585</v>
      </c>
      <c r="F95" s="0" t="s">
        <v>3366</v>
      </c>
      <c r="G95" s="0" t="s">
        <v>3580</v>
      </c>
    </row>
    <row customHeight="1" ht="11.25">
      <c r="A96" s="0" t="s">
        <v>16</v>
      </c>
      <c r="B96" s="0" t="s">
        <v>3587</v>
      </c>
      <c r="C96" s="0" t="s">
        <v>3588</v>
      </c>
      <c r="D96" s="0" t="s">
        <v>3589</v>
      </c>
      <c r="E96" s="0" t="s">
        <v>3590</v>
      </c>
      <c r="F96" s="0" t="s">
        <v>3371</v>
      </c>
      <c r="G96" s="0" t="s">
        <v>3583</v>
      </c>
    </row>
    <row customHeight="1" ht="11.25">
      <c r="A97" s="0" t="s">
        <v>16</v>
      </c>
      <c r="B97" s="0" t="s">
        <v>3587</v>
      </c>
      <c r="C97" s="0" t="s">
        <v>3588</v>
      </c>
      <c r="D97" s="0" t="s">
        <v>3592</v>
      </c>
      <c r="E97" s="0" t="s">
        <v>3593</v>
      </c>
      <c r="F97" s="0" t="s">
        <v>3366</v>
      </c>
      <c r="G97" s="0" t="s">
        <v>3586</v>
      </c>
    </row>
    <row customHeight="1" ht="11.25">
      <c r="A98" s="0" t="s">
        <v>16</v>
      </c>
      <c r="B98" s="0" t="s">
        <v>3587</v>
      </c>
      <c r="C98" s="0" t="s">
        <v>3588</v>
      </c>
      <c r="D98" s="0" t="s">
        <v>3587</v>
      </c>
      <c r="E98" s="0" t="s">
        <v>3588</v>
      </c>
      <c r="F98" s="0" t="s">
        <v>3360</v>
      </c>
      <c r="G98" s="0" t="s">
        <v>3591</v>
      </c>
    </row>
    <row customHeight="1" ht="11.25">
      <c r="A99" s="0" t="s">
        <v>16</v>
      </c>
      <c r="B99" s="0" t="s">
        <v>3587</v>
      </c>
      <c r="C99" s="0" t="s">
        <v>3588</v>
      </c>
      <c r="D99" s="0" t="s">
        <v>3596</v>
      </c>
      <c r="E99" s="0" t="s">
        <v>3597</v>
      </c>
      <c r="F99" s="0" t="s">
        <v>3363</v>
      </c>
      <c r="G99" s="0" t="s">
        <v>3594</v>
      </c>
    </row>
    <row customHeight="1" ht="11.25">
      <c r="A100" s="0" t="s">
        <v>16</v>
      </c>
      <c r="B100" s="0" t="s">
        <v>3587</v>
      </c>
      <c r="C100" s="0" t="s">
        <v>3588</v>
      </c>
      <c r="D100" s="0" t="s">
        <v>3599</v>
      </c>
      <c r="E100" s="0" t="s">
        <v>3600</v>
      </c>
      <c r="F100" s="0" t="s">
        <v>3366</v>
      </c>
      <c r="G100" s="0" t="s">
        <v>3595</v>
      </c>
    </row>
    <row customHeight="1" ht="11.25">
      <c r="A101" s="0" t="s">
        <v>16</v>
      </c>
      <c r="B101" s="0" t="s">
        <v>3587</v>
      </c>
      <c r="C101" s="0" t="s">
        <v>3588</v>
      </c>
      <c r="D101" s="0" t="s">
        <v>3602</v>
      </c>
      <c r="E101" s="0" t="s">
        <v>3603</v>
      </c>
      <c r="F101" s="0" t="s">
        <v>3366</v>
      </c>
      <c r="G101" s="0" t="s">
        <v>3598</v>
      </c>
    </row>
    <row customHeight="1" ht="11.25">
      <c r="A102" s="0" t="s">
        <v>16</v>
      </c>
      <c r="B102" s="0" t="s">
        <v>3587</v>
      </c>
      <c r="C102" s="0" t="s">
        <v>3588</v>
      </c>
      <c r="D102" s="0" t="s">
        <v>3605</v>
      </c>
      <c r="E102" s="0" t="s">
        <v>3606</v>
      </c>
      <c r="F102" s="0" t="s">
        <v>3366</v>
      </c>
      <c r="G102" s="0" t="s">
        <v>3601</v>
      </c>
    </row>
    <row customHeight="1" ht="11.25">
      <c r="A103" s="0" t="s">
        <v>16</v>
      </c>
      <c r="B103" s="0" t="s">
        <v>3608</v>
      </c>
      <c r="C103" s="0" t="s">
        <v>3609</v>
      </c>
      <c r="D103" s="0" t="s">
        <v>3608</v>
      </c>
      <c r="E103" s="0" t="s">
        <v>3609</v>
      </c>
      <c r="F103" s="0" t="s">
        <v>3360</v>
      </c>
      <c r="G103" s="0" t="s">
        <v>3604</v>
      </c>
    </row>
    <row customHeight="1" ht="11.25">
      <c r="A104" s="0" t="s">
        <v>16</v>
      </c>
      <c r="B104" s="0" t="s">
        <v>3608</v>
      </c>
      <c r="C104" s="0" t="s">
        <v>3609</v>
      </c>
      <c r="D104" s="0" t="s">
        <v>3611</v>
      </c>
      <c r="E104" s="0" t="s">
        <v>3612</v>
      </c>
      <c r="F104" s="0" t="s">
        <v>3363</v>
      </c>
      <c r="G104" s="0" t="s">
        <v>3607</v>
      </c>
    </row>
    <row customHeight="1" ht="11.25">
      <c r="A105" s="0" t="s">
        <v>16</v>
      </c>
      <c r="B105" s="0" t="s">
        <v>3608</v>
      </c>
      <c r="C105" s="0" t="s">
        <v>3609</v>
      </c>
      <c r="D105" s="0" t="s">
        <v>3614</v>
      </c>
      <c r="E105" s="0" t="s">
        <v>3615</v>
      </c>
      <c r="F105" s="0" t="s">
        <v>3371</v>
      </c>
      <c r="G105" s="0" t="s">
        <v>3610</v>
      </c>
    </row>
    <row customHeight="1" ht="11.25">
      <c r="A106" s="0" t="s">
        <v>16</v>
      </c>
      <c r="B106" s="0" t="s">
        <v>3608</v>
      </c>
      <c r="C106" s="0" t="s">
        <v>3609</v>
      </c>
      <c r="D106" s="0" t="s">
        <v>3617</v>
      </c>
      <c r="E106" s="0" t="s">
        <v>3618</v>
      </c>
      <c r="F106" s="0" t="s">
        <v>3371</v>
      </c>
      <c r="G106" s="0" t="s">
        <v>3613</v>
      </c>
    </row>
    <row customHeight="1" ht="11.25">
      <c r="A107" s="0" t="s">
        <v>16</v>
      </c>
      <c r="B107" s="0" t="s">
        <v>3608</v>
      </c>
      <c r="C107" s="0" t="s">
        <v>3609</v>
      </c>
      <c r="D107" s="0" t="s">
        <v>3620</v>
      </c>
      <c r="E107" s="0" t="s">
        <v>3621</v>
      </c>
      <c r="F107" s="0" t="s">
        <v>3363</v>
      </c>
      <c r="G107" s="0" t="s">
        <v>3616</v>
      </c>
    </row>
    <row customHeight="1" ht="11.25">
      <c r="A108" s="0" t="s">
        <v>16</v>
      </c>
      <c r="B108" s="0" t="s">
        <v>3608</v>
      </c>
      <c r="C108" s="0" t="s">
        <v>3609</v>
      </c>
      <c r="D108" s="0" t="s">
        <v>3623</v>
      </c>
      <c r="E108" s="0" t="s">
        <v>3624</v>
      </c>
      <c r="F108" s="0" t="s">
        <v>3371</v>
      </c>
      <c r="G108" s="0" t="s">
        <v>3619</v>
      </c>
    </row>
    <row customHeight="1" ht="11.25">
      <c r="A109" s="0" t="s">
        <v>16</v>
      </c>
      <c r="B109" s="0" t="s">
        <v>3608</v>
      </c>
      <c r="C109" s="0" t="s">
        <v>3609</v>
      </c>
      <c r="D109" s="0" t="s">
        <v>3626</v>
      </c>
      <c r="E109" s="0" t="s">
        <v>3627</v>
      </c>
      <c r="F109" s="0" t="s">
        <v>3371</v>
      </c>
      <c r="G109" s="0" t="s">
        <v>3622</v>
      </c>
    </row>
    <row customHeight="1" ht="11.25">
      <c r="A110" s="0" t="s">
        <v>16</v>
      </c>
      <c r="B110" s="0" t="s">
        <v>3608</v>
      </c>
      <c r="C110" s="0" t="s">
        <v>3609</v>
      </c>
      <c r="D110" s="0" t="s">
        <v>3629</v>
      </c>
      <c r="E110" s="0" t="s">
        <v>3630</v>
      </c>
      <c r="F110" s="0" t="s">
        <v>3366</v>
      </c>
      <c r="G110" s="0" t="s">
        <v>3625</v>
      </c>
    </row>
    <row customHeight="1" ht="11.25">
      <c r="A111" s="0" t="s">
        <v>16</v>
      </c>
      <c r="B111" s="0" t="s">
        <v>3608</v>
      </c>
      <c r="C111" s="0" t="s">
        <v>3609</v>
      </c>
      <c r="D111" s="0" t="s">
        <v>3632</v>
      </c>
      <c r="E111" s="0" t="s">
        <v>3633</v>
      </c>
      <c r="F111" s="0" t="s">
        <v>3371</v>
      </c>
      <c r="G111" s="0" t="s">
        <v>3628</v>
      </c>
    </row>
    <row customHeight="1" ht="11.25">
      <c r="A112" s="0" t="s">
        <v>16</v>
      </c>
      <c r="B112" s="0" t="s">
        <v>3608</v>
      </c>
      <c r="C112" s="0" t="s">
        <v>3609</v>
      </c>
      <c r="D112" s="0" t="s">
        <v>3635</v>
      </c>
      <c r="E112" s="0" t="s">
        <v>3636</v>
      </c>
      <c r="F112" s="0" t="s">
        <v>3366</v>
      </c>
      <c r="G112" s="0" t="s">
        <v>3631</v>
      </c>
    </row>
    <row customHeight="1" ht="11.25">
      <c r="A113" s="0" t="s">
        <v>16</v>
      </c>
      <c r="B113" s="0" t="s">
        <v>3608</v>
      </c>
      <c r="C113" s="0" t="s">
        <v>3609</v>
      </c>
      <c r="D113" s="0" t="s">
        <v>3638</v>
      </c>
      <c r="E113" s="0" t="s">
        <v>3639</v>
      </c>
      <c r="F113" s="0" t="s">
        <v>3363</v>
      </c>
      <c r="G113" s="0" t="s">
        <v>3634</v>
      </c>
    </row>
    <row customHeight="1" ht="11.25">
      <c r="A114" s="0" t="s">
        <v>16</v>
      </c>
      <c r="B114" s="0" t="s">
        <v>3608</v>
      </c>
      <c r="C114" s="0" t="s">
        <v>3609</v>
      </c>
      <c r="D114" s="0" t="s">
        <v>3641</v>
      </c>
      <c r="E114" s="0" t="s">
        <v>3642</v>
      </c>
      <c r="F114" s="0" t="s">
        <v>3366</v>
      </c>
      <c r="G114" s="0" t="s">
        <v>3637</v>
      </c>
    </row>
    <row customHeight="1" ht="11.25">
      <c r="A115" s="0" t="s">
        <v>16</v>
      </c>
      <c r="B115" s="0" t="s">
        <v>109</v>
      </c>
      <c r="C115" s="0" t="s">
        <v>3644</v>
      </c>
      <c r="D115" s="0" t="s">
        <v>3645</v>
      </c>
      <c r="E115" s="0" t="s">
        <v>3646</v>
      </c>
      <c r="F115" s="0" t="s">
        <v>3366</v>
      </c>
      <c r="G115" s="0" t="s">
        <v>3640</v>
      </c>
    </row>
    <row customHeight="1" ht="11.25">
      <c r="A116" s="0" t="s">
        <v>16</v>
      </c>
      <c r="B116" s="0" t="s">
        <v>109</v>
      </c>
      <c r="C116" s="0" t="s">
        <v>3644</v>
      </c>
      <c r="D116" s="0" t="s">
        <v>3648</v>
      </c>
      <c r="E116" s="0" t="s">
        <v>3649</v>
      </c>
      <c r="F116" s="0" t="s">
        <v>3366</v>
      </c>
      <c r="G116" s="0" t="s">
        <v>3643</v>
      </c>
    </row>
    <row customHeight="1" ht="11.25">
      <c r="A117" s="0" t="s">
        <v>16</v>
      </c>
      <c r="B117" s="0" t="s">
        <v>109</v>
      </c>
      <c r="C117" s="0" t="s">
        <v>3644</v>
      </c>
      <c r="D117" s="0" t="s">
        <v>109</v>
      </c>
      <c r="E117" s="0" t="s">
        <v>3644</v>
      </c>
      <c r="F117" s="0" t="s">
        <v>3360</v>
      </c>
      <c r="G117" s="0" t="s">
        <v>3647</v>
      </c>
    </row>
    <row customHeight="1" ht="11.25">
      <c r="A118" s="0" t="s">
        <v>16</v>
      </c>
      <c r="B118" s="0" t="s">
        <v>109</v>
      </c>
      <c r="C118" s="0" t="s">
        <v>3644</v>
      </c>
      <c r="D118" s="0" t="s">
        <v>3651</v>
      </c>
      <c r="E118" s="0" t="s">
        <v>3652</v>
      </c>
      <c r="F118" s="0" t="s">
        <v>3363</v>
      </c>
      <c r="G118" s="0" t="s">
        <v>3650</v>
      </c>
    </row>
    <row customHeight="1" ht="11.25">
      <c r="A119" s="0" t="s">
        <v>16</v>
      </c>
      <c r="B119" s="0" t="s">
        <v>109</v>
      </c>
      <c r="C119" s="0" t="s">
        <v>3644</v>
      </c>
      <c r="D119" s="0" t="s">
        <v>110</v>
      </c>
      <c r="E119" s="0" t="s">
        <v>111</v>
      </c>
      <c r="F119" s="0" t="s">
        <v>3371</v>
      </c>
      <c r="G119" s="0" t="s">
        <v>108</v>
      </c>
    </row>
    <row customHeight="1" ht="11.25">
      <c r="A120" s="0" t="s">
        <v>16</v>
      </c>
      <c r="B120" s="0" t="s">
        <v>109</v>
      </c>
      <c r="C120" s="0" t="s">
        <v>3644</v>
      </c>
      <c r="D120" s="0" t="s">
        <v>3655</v>
      </c>
      <c r="E120" s="0" t="s">
        <v>3656</v>
      </c>
      <c r="F120" s="0" t="s">
        <v>3366</v>
      </c>
      <c r="G120" s="0" t="s">
        <v>3653</v>
      </c>
    </row>
    <row customHeight="1" ht="11.25">
      <c r="A121" s="0" t="s">
        <v>16</v>
      </c>
      <c r="B121" s="0" t="s">
        <v>3658</v>
      </c>
      <c r="C121" s="0" t="s">
        <v>3659</v>
      </c>
      <c r="D121" s="0" t="s">
        <v>3660</v>
      </c>
      <c r="E121" s="0" t="s">
        <v>3661</v>
      </c>
      <c r="F121" s="0" t="s">
        <v>3371</v>
      </c>
      <c r="G121" s="0" t="s">
        <v>3654</v>
      </c>
    </row>
    <row customHeight="1" ht="11.25">
      <c r="A122" s="0" t="s">
        <v>16</v>
      </c>
      <c r="B122" s="0" t="s">
        <v>3658</v>
      </c>
      <c r="C122" s="0" t="s">
        <v>3659</v>
      </c>
      <c r="D122" s="0" t="s">
        <v>3663</v>
      </c>
      <c r="E122" s="0" t="s">
        <v>3664</v>
      </c>
      <c r="F122" s="0" t="s">
        <v>3371</v>
      </c>
      <c r="G122" s="0" t="s">
        <v>3657</v>
      </c>
    </row>
    <row customHeight="1" ht="11.25">
      <c r="A123" s="0" t="s">
        <v>16</v>
      </c>
      <c r="B123" s="0" t="s">
        <v>3658</v>
      </c>
      <c r="C123" s="0" t="s">
        <v>3659</v>
      </c>
      <c r="D123" s="0" t="s">
        <v>3666</v>
      </c>
      <c r="E123" s="0" t="s">
        <v>3667</v>
      </c>
      <c r="F123" s="0" t="s">
        <v>3371</v>
      </c>
      <c r="G123" s="0" t="s">
        <v>3662</v>
      </c>
    </row>
    <row customHeight="1" ht="11.25">
      <c r="A124" s="0" t="s">
        <v>16</v>
      </c>
      <c r="B124" s="0" t="s">
        <v>3658</v>
      </c>
      <c r="C124" s="0" t="s">
        <v>3659</v>
      </c>
      <c r="D124" s="0" t="s">
        <v>3669</v>
      </c>
      <c r="E124" s="0" t="s">
        <v>3670</v>
      </c>
      <c r="F124" s="0" t="s">
        <v>3366</v>
      </c>
      <c r="G124" s="0" t="s">
        <v>3665</v>
      </c>
    </row>
    <row customHeight="1" ht="11.25">
      <c r="A125" s="0" t="s">
        <v>16</v>
      </c>
      <c r="B125" s="0" t="s">
        <v>3658</v>
      </c>
      <c r="C125" s="0" t="s">
        <v>3659</v>
      </c>
      <c r="D125" s="0" t="s">
        <v>3672</v>
      </c>
      <c r="E125" s="0" t="s">
        <v>3673</v>
      </c>
      <c r="F125" s="0" t="s">
        <v>3366</v>
      </c>
      <c r="G125" s="0" t="s">
        <v>3668</v>
      </c>
    </row>
    <row customHeight="1" ht="11.25">
      <c r="A126" s="0" t="s">
        <v>16</v>
      </c>
      <c r="B126" s="0" t="s">
        <v>3658</v>
      </c>
      <c r="C126" s="0" t="s">
        <v>3659</v>
      </c>
      <c r="D126" s="0" t="s">
        <v>3675</v>
      </c>
      <c r="E126" s="0" t="s">
        <v>3676</v>
      </c>
      <c r="F126" s="0" t="s">
        <v>3366</v>
      </c>
      <c r="G126" s="0" t="s">
        <v>3671</v>
      </c>
    </row>
    <row customHeight="1" ht="11.25">
      <c r="A127" s="0" t="s">
        <v>16</v>
      </c>
      <c r="B127" s="0" t="s">
        <v>3658</v>
      </c>
      <c r="C127" s="0" t="s">
        <v>3659</v>
      </c>
      <c r="D127" s="0" t="s">
        <v>3678</v>
      </c>
      <c r="E127" s="0" t="s">
        <v>3679</v>
      </c>
      <c r="F127" s="0" t="s">
        <v>3366</v>
      </c>
      <c r="G127" s="0" t="s">
        <v>3674</v>
      </c>
    </row>
    <row customHeight="1" ht="11.25">
      <c r="A128" s="0" t="s">
        <v>16</v>
      </c>
      <c r="B128" s="0" t="s">
        <v>3658</v>
      </c>
      <c r="C128" s="0" t="s">
        <v>3659</v>
      </c>
      <c r="D128" s="0" t="s">
        <v>3681</v>
      </c>
      <c r="E128" s="0" t="s">
        <v>3682</v>
      </c>
      <c r="F128" s="0" t="s">
        <v>3366</v>
      </c>
      <c r="G128" s="0" t="s">
        <v>3677</v>
      </c>
    </row>
    <row customHeight="1" ht="11.25">
      <c r="A129" s="0" t="s">
        <v>16</v>
      </c>
      <c r="B129" s="0" t="s">
        <v>3658</v>
      </c>
      <c r="C129" s="0" t="s">
        <v>3659</v>
      </c>
      <c r="D129" s="0" t="s">
        <v>3684</v>
      </c>
      <c r="E129" s="0" t="s">
        <v>3685</v>
      </c>
      <c r="F129" s="0" t="s">
        <v>3371</v>
      </c>
      <c r="G129" s="0" t="s">
        <v>3680</v>
      </c>
    </row>
    <row customHeight="1" ht="11.25">
      <c r="A130" s="0" t="s">
        <v>16</v>
      </c>
      <c r="B130" s="0" t="s">
        <v>3658</v>
      </c>
      <c r="C130" s="0" t="s">
        <v>3659</v>
      </c>
      <c r="D130" s="0" t="s">
        <v>3658</v>
      </c>
      <c r="E130" s="0" t="s">
        <v>3659</v>
      </c>
      <c r="F130" s="0" t="s">
        <v>3360</v>
      </c>
      <c r="G130" s="0" t="s">
        <v>3683</v>
      </c>
    </row>
    <row customHeight="1" ht="11.25">
      <c r="A131" s="0" t="s">
        <v>16</v>
      </c>
      <c r="B131" s="0" t="s">
        <v>3658</v>
      </c>
      <c r="C131" s="0" t="s">
        <v>3659</v>
      </c>
      <c r="D131" s="0" t="s">
        <v>3688</v>
      </c>
      <c r="E131" s="0" t="s">
        <v>3689</v>
      </c>
      <c r="F131" s="0" t="s">
        <v>3366</v>
      </c>
      <c r="G131" s="0" t="s">
        <v>3686</v>
      </c>
    </row>
    <row customHeight="1" ht="11.25">
      <c r="A132" s="0" t="s">
        <v>16</v>
      </c>
      <c r="B132" s="0" t="s">
        <v>3658</v>
      </c>
      <c r="C132" s="0" t="s">
        <v>3659</v>
      </c>
      <c r="D132" s="0" t="s">
        <v>3691</v>
      </c>
      <c r="E132" s="0" t="s">
        <v>3692</v>
      </c>
      <c r="F132" s="0" t="s">
        <v>3366</v>
      </c>
      <c r="G132" s="0" t="s">
        <v>3687</v>
      </c>
    </row>
    <row customHeight="1" ht="11.25">
      <c r="A133" s="0" t="s">
        <v>16</v>
      </c>
      <c r="B133" s="0" t="s">
        <v>3658</v>
      </c>
      <c r="C133" s="0" t="s">
        <v>3659</v>
      </c>
      <c r="D133" s="0" t="s">
        <v>3694</v>
      </c>
      <c r="E133" s="0" t="s">
        <v>3695</v>
      </c>
      <c r="F133" s="0" t="s">
        <v>3366</v>
      </c>
      <c r="G133" s="0" t="s">
        <v>3690</v>
      </c>
    </row>
    <row customHeight="1" ht="11.25">
      <c r="A134" s="0" t="s">
        <v>16</v>
      </c>
      <c r="B134" s="0" t="s">
        <v>3658</v>
      </c>
      <c r="C134" s="0" t="s">
        <v>3659</v>
      </c>
      <c r="D134" s="0" t="s">
        <v>3697</v>
      </c>
      <c r="E134" s="0" t="s">
        <v>3698</v>
      </c>
      <c r="F134" s="0" t="s">
        <v>3366</v>
      </c>
      <c r="G134" s="0" t="s">
        <v>3693</v>
      </c>
    </row>
    <row customHeight="1" ht="11.25">
      <c r="A135" s="0" t="s">
        <v>16</v>
      </c>
      <c r="B135" s="0" t="s">
        <v>3658</v>
      </c>
      <c r="C135" s="0" t="s">
        <v>3659</v>
      </c>
      <c r="D135" s="0" t="s">
        <v>3700</v>
      </c>
      <c r="E135" s="0" t="s">
        <v>3701</v>
      </c>
      <c r="F135" s="0" t="s">
        <v>3366</v>
      </c>
      <c r="G135" s="0" t="s">
        <v>3696</v>
      </c>
    </row>
    <row customHeight="1" ht="11.25">
      <c r="A136" s="0" t="s">
        <v>16</v>
      </c>
      <c r="B136" s="0" t="s">
        <v>3658</v>
      </c>
      <c r="C136" s="0" t="s">
        <v>3659</v>
      </c>
      <c r="D136" s="0" t="s">
        <v>3703</v>
      </c>
      <c r="E136" s="0" t="s">
        <v>3704</v>
      </c>
      <c r="F136" s="0" t="s">
        <v>3366</v>
      </c>
      <c r="G136" s="0" t="s">
        <v>3699</v>
      </c>
    </row>
    <row customHeight="1" ht="11.25">
      <c r="A137" s="0" t="s">
        <v>16</v>
      </c>
      <c r="B137" s="0" t="s">
        <v>3706</v>
      </c>
      <c r="C137" s="0" t="s">
        <v>3707</v>
      </c>
      <c r="D137" s="0" t="s">
        <v>3708</v>
      </c>
      <c r="E137" s="0" t="s">
        <v>3709</v>
      </c>
      <c r="F137" s="0" t="s">
        <v>3366</v>
      </c>
      <c r="G137" s="0" t="s">
        <v>3702</v>
      </c>
    </row>
    <row customHeight="1" ht="11.25">
      <c r="A138" s="0" t="s">
        <v>16</v>
      </c>
      <c r="B138" s="0" t="s">
        <v>3706</v>
      </c>
      <c r="C138" s="0" t="s">
        <v>3707</v>
      </c>
      <c r="D138" s="0" t="s">
        <v>3711</v>
      </c>
      <c r="E138" s="0" t="s">
        <v>3712</v>
      </c>
      <c r="F138" s="0" t="s">
        <v>3366</v>
      </c>
      <c r="G138" s="0" t="s">
        <v>3705</v>
      </c>
    </row>
    <row customHeight="1" ht="11.25">
      <c r="A139" s="0" t="s">
        <v>16</v>
      </c>
      <c r="B139" s="0" t="s">
        <v>3706</v>
      </c>
      <c r="C139" s="0" t="s">
        <v>3707</v>
      </c>
      <c r="D139" s="0" t="s">
        <v>3714</v>
      </c>
      <c r="E139" s="0" t="s">
        <v>3715</v>
      </c>
      <c r="F139" s="0" t="s">
        <v>3366</v>
      </c>
      <c r="G139" s="0" t="s">
        <v>3710</v>
      </c>
    </row>
    <row customHeight="1" ht="11.25">
      <c r="A140" s="0" t="s">
        <v>16</v>
      </c>
      <c r="B140" s="0" t="s">
        <v>3706</v>
      </c>
      <c r="C140" s="0" t="s">
        <v>3707</v>
      </c>
      <c r="D140" s="0" t="s">
        <v>3717</v>
      </c>
      <c r="E140" s="0" t="s">
        <v>3718</v>
      </c>
      <c r="F140" s="0" t="s">
        <v>3366</v>
      </c>
      <c r="G140" s="0" t="s">
        <v>3713</v>
      </c>
    </row>
    <row customHeight="1" ht="11.25">
      <c r="A141" s="0" t="s">
        <v>16</v>
      </c>
      <c r="B141" s="0" t="s">
        <v>3706</v>
      </c>
      <c r="C141" s="0" t="s">
        <v>3707</v>
      </c>
      <c r="D141" s="0" t="s">
        <v>3706</v>
      </c>
      <c r="E141" s="0" t="s">
        <v>3707</v>
      </c>
      <c r="F141" s="0" t="s">
        <v>3360</v>
      </c>
      <c r="G141" s="0" t="s">
        <v>3716</v>
      </c>
    </row>
    <row customHeight="1" ht="11.25">
      <c r="A142" s="0" t="s">
        <v>16</v>
      </c>
      <c r="B142" s="0" t="s">
        <v>3706</v>
      </c>
      <c r="C142" s="0" t="s">
        <v>3707</v>
      </c>
      <c r="D142" s="0" t="s">
        <v>3721</v>
      </c>
      <c r="E142" s="0" t="s">
        <v>3722</v>
      </c>
      <c r="F142" s="0" t="s">
        <v>3363</v>
      </c>
      <c r="G142" s="0" t="s">
        <v>3719</v>
      </c>
    </row>
    <row customHeight="1" ht="11.25">
      <c r="A143" s="0" t="s">
        <v>16</v>
      </c>
      <c r="B143" s="0" t="s">
        <v>3706</v>
      </c>
      <c r="C143" s="0" t="s">
        <v>3707</v>
      </c>
      <c r="D143" s="0" t="s">
        <v>3724</v>
      </c>
      <c r="E143" s="0" t="s">
        <v>3725</v>
      </c>
      <c r="F143" s="0" t="s">
        <v>3366</v>
      </c>
      <c r="G143" s="0" t="s">
        <v>3720</v>
      </c>
    </row>
    <row customHeight="1" ht="11.25">
      <c r="A144" s="0" t="s">
        <v>16</v>
      </c>
      <c r="B144" s="0" t="s">
        <v>3706</v>
      </c>
      <c r="C144" s="0" t="s">
        <v>3707</v>
      </c>
      <c r="D144" s="0" t="s">
        <v>3727</v>
      </c>
      <c r="E144" s="0" t="s">
        <v>3728</v>
      </c>
      <c r="F144" s="0" t="s">
        <v>3366</v>
      </c>
      <c r="G144" s="0" t="s">
        <v>3723</v>
      </c>
    </row>
    <row customHeight="1" ht="11.25">
      <c r="A145" s="0" t="s">
        <v>16</v>
      </c>
      <c r="B145" s="0" t="s">
        <v>3706</v>
      </c>
      <c r="C145" s="0" t="s">
        <v>3707</v>
      </c>
      <c r="D145" s="0" t="s">
        <v>3730</v>
      </c>
      <c r="E145" s="0" t="s">
        <v>3731</v>
      </c>
      <c r="F145" s="0" t="s">
        <v>3366</v>
      </c>
      <c r="G145" s="0" t="s">
        <v>3726</v>
      </c>
    </row>
    <row customHeight="1" ht="11.25">
      <c r="A146" s="0" t="s">
        <v>16</v>
      </c>
      <c r="B146" s="0" t="s">
        <v>3706</v>
      </c>
      <c r="C146" s="0" t="s">
        <v>3707</v>
      </c>
      <c r="D146" s="0" t="s">
        <v>3733</v>
      </c>
      <c r="E146" s="0" t="s">
        <v>3734</v>
      </c>
      <c r="F146" s="0" t="s">
        <v>3366</v>
      </c>
      <c r="G146" s="0" t="s">
        <v>3729</v>
      </c>
    </row>
    <row customHeight="1" ht="11.25">
      <c r="A147" s="0" t="s">
        <v>16</v>
      </c>
      <c r="B147" s="0" t="s">
        <v>3706</v>
      </c>
      <c r="C147" s="0" t="s">
        <v>3707</v>
      </c>
      <c r="D147" s="0" t="s">
        <v>3736</v>
      </c>
      <c r="E147" s="0" t="s">
        <v>3737</v>
      </c>
      <c r="F147" s="0" t="s">
        <v>3366</v>
      </c>
      <c r="G147" s="0" t="s">
        <v>3732</v>
      </c>
    </row>
    <row customHeight="1" ht="11.25">
      <c r="A148" s="0" t="s">
        <v>16</v>
      </c>
      <c r="B148" s="0" t="s">
        <v>3706</v>
      </c>
      <c r="C148" s="0" t="s">
        <v>3707</v>
      </c>
      <c r="D148" s="0" t="s">
        <v>3739</v>
      </c>
      <c r="E148" s="0" t="s">
        <v>3740</v>
      </c>
      <c r="F148" s="0" t="s">
        <v>3366</v>
      </c>
      <c r="G148" s="0" t="s">
        <v>3735</v>
      </c>
    </row>
    <row customHeight="1" ht="11.25">
      <c r="A149" s="0" t="s">
        <v>16</v>
      </c>
      <c r="B149" s="0" t="s">
        <v>3706</v>
      </c>
      <c r="C149" s="0" t="s">
        <v>3707</v>
      </c>
      <c r="D149" s="0" t="s">
        <v>3742</v>
      </c>
      <c r="E149" s="0" t="s">
        <v>3743</v>
      </c>
      <c r="F149" s="0" t="s">
        <v>3371</v>
      </c>
      <c r="G149" s="0" t="s">
        <v>3738</v>
      </c>
    </row>
    <row customHeight="1" ht="11.25">
      <c r="A150" s="0" t="s">
        <v>16</v>
      </c>
      <c r="B150" s="0" t="s">
        <v>3706</v>
      </c>
      <c r="C150" s="0" t="s">
        <v>3707</v>
      </c>
      <c r="D150" s="0" t="s">
        <v>3745</v>
      </c>
      <c r="E150" s="0" t="s">
        <v>3746</v>
      </c>
      <c r="F150" s="0" t="s">
        <v>3366</v>
      </c>
      <c r="G150" s="0" t="s">
        <v>3741</v>
      </c>
    </row>
    <row customHeight="1" ht="11.25">
      <c r="A151" s="0" t="s">
        <v>16</v>
      </c>
      <c r="B151" s="0" t="s">
        <v>3706</v>
      </c>
      <c r="C151" s="0" t="s">
        <v>3707</v>
      </c>
      <c r="D151" s="0" t="s">
        <v>3748</v>
      </c>
      <c r="E151" s="0" t="s">
        <v>3749</v>
      </c>
      <c r="F151" s="0" t="s">
        <v>3366</v>
      </c>
      <c r="G151" s="0" t="s">
        <v>3744</v>
      </c>
    </row>
    <row customHeight="1" ht="11.25">
      <c r="A152" s="0" t="s">
        <v>16</v>
      </c>
      <c r="B152" s="0" t="s">
        <v>3751</v>
      </c>
      <c r="C152" s="0" t="s">
        <v>3752</v>
      </c>
      <c r="D152" s="0" t="s">
        <v>3753</v>
      </c>
      <c r="E152" s="0" t="s">
        <v>3754</v>
      </c>
      <c r="F152" s="0" t="s">
        <v>3371</v>
      </c>
      <c r="G152" s="0" t="s">
        <v>3747</v>
      </c>
    </row>
    <row customHeight="1" ht="11.25">
      <c r="A153" s="0" t="s">
        <v>16</v>
      </c>
      <c r="B153" s="0" t="s">
        <v>3751</v>
      </c>
      <c r="C153" s="0" t="s">
        <v>3752</v>
      </c>
      <c r="D153" s="0" t="s">
        <v>3756</v>
      </c>
      <c r="E153" s="0" t="s">
        <v>3757</v>
      </c>
      <c r="F153" s="0" t="s">
        <v>3366</v>
      </c>
      <c r="G153" s="0" t="s">
        <v>3750</v>
      </c>
    </row>
    <row customHeight="1" ht="11.25">
      <c r="A154" s="0" t="s">
        <v>16</v>
      </c>
      <c r="B154" s="0" t="s">
        <v>3751</v>
      </c>
      <c r="C154" s="0" t="s">
        <v>3752</v>
      </c>
      <c r="D154" s="0" t="s">
        <v>3759</v>
      </c>
      <c r="E154" s="0" t="s">
        <v>3760</v>
      </c>
      <c r="F154" s="0" t="s">
        <v>3371</v>
      </c>
      <c r="G154" s="0" t="s">
        <v>3755</v>
      </c>
    </row>
    <row customHeight="1" ht="11.25">
      <c r="A155" s="0" t="s">
        <v>16</v>
      </c>
      <c r="B155" s="0" t="s">
        <v>3751</v>
      </c>
      <c r="C155" s="0" t="s">
        <v>3752</v>
      </c>
      <c r="D155" s="0" t="s">
        <v>3762</v>
      </c>
      <c r="E155" s="0" t="s">
        <v>3763</v>
      </c>
      <c r="F155" s="0" t="s">
        <v>3371</v>
      </c>
      <c r="G155" s="0" t="s">
        <v>3758</v>
      </c>
    </row>
    <row customHeight="1" ht="11.25">
      <c r="A156" s="0" t="s">
        <v>16</v>
      </c>
      <c r="B156" s="0" t="s">
        <v>3751</v>
      </c>
      <c r="C156" s="0" t="s">
        <v>3752</v>
      </c>
      <c r="D156" s="0" t="s">
        <v>3751</v>
      </c>
      <c r="E156" s="0" t="s">
        <v>3752</v>
      </c>
      <c r="F156" s="0" t="s">
        <v>3360</v>
      </c>
      <c r="G156" s="0" t="s">
        <v>3761</v>
      </c>
    </row>
    <row customHeight="1" ht="11.25">
      <c r="A157" s="0" t="s">
        <v>16</v>
      </c>
      <c r="B157" s="0" t="s">
        <v>3751</v>
      </c>
      <c r="C157" s="0" t="s">
        <v>3752</v>
      </c>
      <c r="D157" s="0" t="s">
        <v>3766</v>
      </c>
      <c r="E157" s="0" t="s">
        <v>3767</v>
      </c>
      <c r="F157" s="0" t="s">
        <v>3363</v>
      </c>
      <c r="G157" s="0" t="s">
        <v>3764</v>
      </c>
    </row>
    <row customHeight="1" ht="11.25">
      <c r="A158" s="0" t="s">
        <v>16</v>
      </c>
      <c r="B158" s="0" t="s">
        <v>3769</v>
      </c>
      <c r="C158" s="0" t="s">
        <v>3770</v>
      </c>
      <c r="D158" s="0" t="s">
        <v>3771</v>
      </c>
      <c r="E158" s="0" t="s">
        <v>3772</v>
      </c>
      <c r="F158" s="0" t="s">
        <v>3366</v>
      </c>
      <c r="G158" s="0" t="s">
        <v>3765</v>
      </c>
    </row>
    <row customHeight="1" ht="11.25">
      <c r="A159" s="0" t="s">
        <v>16</v>
      </c>
      <c r="B159" s="0" t="s">
        <v>3769</v>
      </c>
      <c r="C159" s="0" t="s">
        <v>3770</v>
      </c>
      <c r="D159" s="0" t="s">
        <v>3774</v>
      </c>
      <c r="E159" s="0" t="s">
        <v>3775</v>
      </c>
      <c r="F159" s="0" t="s">
        <v>3366</v>
      </c>
      <c r="G159" s="0" t="s">
        <v>3768</v>
      </c>
    </row>
    <row customHeight="1" ht="11.25">
      <c r="A160" s="0" t="s">
        <v>16</v>
      </c>
      <c r="B160" s="0" t="s">
        <v>3769</v>
      </c>
      <c r="C160" s="0" t="s">
        <v>3770</v>
      </c>
      <c r="D160" s="0" t="s">
        <v>3777</v>
      </c>
      <c r="E160" s="0" t="s">
        <v>3778</v>
      </c>
      <c r="F160" s="0" t="s">
        <v>3366</v>
      </c>
      <c r="G160" s="0" t="s">
        <v>3773</v>
      </c>
    </row>
    <row customHeight="1" ht="11.25">
      <c r="A161" s="0" t="s">
        <v>16</v>
      </c>
      <c r="B161" s="0" t="s">
        <v>3769</v>
      </c>
      <c r="C161" s="0" t="s">
        <v>3770</v>
      </c>
      <c r="D161" s="0" t="s">
        <v>3780</v>
      </c>
      <c r="E161" s="0" t="s">
        <v>3781</v>
      </c>
      <c r="F161" s="0" t="s">
        <v>3371</v>
      </c>
      <c r="G161" s="0" t="s">
        <v>3776</v>
      </c>
    </row>
    <row customHeight="1" ht="11.25">
      <c r="A162" s="0" t="s">
        <v>16</v>
      </c>
      <c r="B162" s="0" t="s">
        <v>3769</v>
      </c>
      <c r="C162" s="0" t="s">
        <v>3770</v>
      </c>
      <c r="D162" s="0" t="s">
        <v>3783</v>
      </c>
      <c r="E162" s="0" t="s">
        <v>3784</v>
      </c>
      <c r="F162" s="0" t="s">
        <v>3366</v>
      </c>
      <c r="G162" s="0" t="s">
        <v>3779</v>
      </c>
    </row>
    <row customHeight="1" ht="11.25">
      <c r="A163" s="0" t="s">
        <v>16</v>
      </c>
      <c r="B163" s="0" t="s">
        <v>3769</v>
      </c>
      <c r="C163" s="0" t="s">
        <v>3770</v>
      </c>
      <c r="D163" s="0" t="s">
        <v>3786</v>
      </c>
      <c r="E163" s="0" t="s">
        <v>3787</v>
      </c>
      <c r="F163" s="0" t="s">
        <v>3366</v>
      </c>
      <c r="G163" s="0" t="s">
        <v>3782</v>
      </c>
    </row>
    <row customHeight="1" ht="11.25">
      <c r="A164" s="0" t="s">
        <v>16</v>
      </c>
      <c r="B164" s="0" t="s">
        <v>3769</v>
      </c>
      <c r="C164" s="0" t="s">
        <v>3770</v>
      </c>
      <c r="D164" s="0" t="s">
        <v>3789</v>
      </c>
      <c r="E164" s="0" t="s">
        <v>3790</v>
      </c>
      <c r="F164" s="0" t="s">
        <v>3366</v>
      </c>
      <c r="G164" s="0" t="s">
        <v>3785</v>
      </c>
    </row>
    <row customHeight="1" ht="11.25">
      <c r="A165" s="0" t="s">
        <v>16</v>
      </c>
      <c r="B165" s="0" t="s">
        <v>3769</v>
      </c>
      <c r="C165" s="0" t="s">
        <v>3770</v>
      </c>
      <c r="D165" s="0" t="s">
        <v>3792</v>
      </c>
      <c r="E165" s="0" t="s">
        <v>3793</v>
      </c>
      <c r="F165" s="0" t="s">
        <v>3366</v>
      </c>
      <c r="G165" s="0" t="s">
        <v>3788</v>
      </c>
    </row>
    <row customHeight="1" ht="11.25">
      <c r="A166" s="0" t="s">
        <v>16</v>
      </c>
      <c r="B166" s="0" t="s">
        <v>3769</v>
      </c>
      <c r="C166" s="0" t="s">
        <v>3770</v>
      </c>
      <c r="D166" s="0" t="s">
        <v>3795</v>
      </c>
      <c r="E166" s="0" t="s">
        <v>3796</v>
      </c>
      <c r="F166" s="0" t="s">
        <v>3366</v>
      </c>
      <c r="G166" s="0" t="s">
        <v>3791</v>
      </c>
    </row>
    <row customHeight="1" ht="11.25">
      <c r="A167" s="0" t="s">
        <v>16</v>
      </c>
      <c r="B167" s="0" t="s">
        <v>3769</v>
      </c>
      <c r="C167" s="0" t="s">
        <v>3770</v>
      </c>
      <c r="D167" s="0" t="s">
        <v>3769</v>
      </c>
      <c r="E167" s="0" t="s">
        <v>3770</v>
      </c>
      <c r="F167" s="0" t="s">
        <v>3360</v>
      </c>
      <c r="G167" s="0" t="s">
        <v>3794</v>
      </c>
    </row>
    <row customHeight="1" ht="11.25">
      <c r="A168" s="0" t="s">
        <v>16</v>
      </c>
      <c r="B168" s="0" t="s">
        <v>3769</v>
      </c>
      <c r="C168" s="0" t="s">
        <v>3770</v>
      </c>
      <c r="D168" s="0" t="s">
        <v>3799</v>
      </c>
      <c r="E168" s="0" t="s">
        <v>3800</v>
      </c>
      <c r="F168" s="0" t="s">
        <v>3363</v>
      </c>
      <c r="G168" s="0" t="s">
        <v>3797</v>
      </c>
    </row>
    <row customHeight="1" ht="11.25">
      <c r="A169" s="0" t="s">
        <v>16</v>
      </c>
      <c r="B169" s="0" t="s">
        <v>3769</v>
      </c>
      <c r="C169" s="0" t="s">
        <v>3770</v>
      </c>
      <c r="D169" s="0" t="s">
        <v>3802</v>
      </c>
      <c r="E169" s="0" t="s">
        <v>3803</v>
      </c>
      <c r="F169" s="0" t="s">
        <v>3366</v>
      </c>
      <c r="G169" s="0" t="s">
        <v>3798</v>
      </c>
    </row>
    <row customHeight="1" ht="11.25">
      <c r="A170" s="0" t="s">
        <v>16</v>
      </c>
      <c r="B170" s="0" t="s">
        <v>3769</v>
      </c>
      <c r="C170" s="0" t="s">
        <v>3770</v>
      </c>
      <c r="D170" s="0" t="s">
        <v>3805</v>
      </c>
      <c r="E170" s="0" t="s">
        <v>3806</v>
      </c>
      <c r="F170" s="0" t="s">
        <v>3366</v>
      </c>
      <c r="G170" s="0" t="s">
        <v>3801</v>
      </c>
    </row>
    <row customHeight="1" ht="11.25">
      <c r="A171" s="0" t="s">
        <v>16</v>
      </c>
      <c r="B171" s="0" t="s">
        <v>3769</v>
      </c>
      <c r="C171" s="0" t="s">
        <v>3770</v>
      </c>
      <c r="D171" s="0" t="s">
        <v>3808</v>
      </c>
      <c r="E171" s="0" t="s">
        <v>3809</v>
      </c>
      <c r="F171" s="0" t="s">
        <v>3366</v>
      </c>
      <c r="G171" s="0" t="s">
        <v>3804</v>
      </c>
    </row>
    <row customHeight="1" ht="11.25">
      <c r="A172" s="0" t="s">
        <v>16</v>
      </c>
      <c r="B172" s="0" t="s">
        <v>3769</v>
      </c>
      <c r="C172" s="0" t="s">
        <v>3770</v>
      </c>
      <c r="D172" s="0" t="s">
        <v>3811</v>
      </c>
      <c r="E172" s="0" t="s">
        <v>3812</v>
      </c>
      <c r="F172" s="0" t="s">
        <v>3366</v>
      </c>
      <c r="G172" s="0" t="s">
        <v>3807</v>
      </c>
    </row>
    <row customHeight="1" ht="11.25">
      <c r="A173" s="0" t="s">
        <v>16</v>
      </c>
      <c r="B173" s="0" t="s">
        <v>3814</v>
      </c>
      <c r="C173" s="0" t="s">
        <v>3815</v>
      </c>
      <c r="D173" s="0" t="s">
        <v>3816</v>
      </c>
      <c r="E173" s="0" t="s">
        <v>3817</v>
      </c>
      <c r="F173" s="0" t="s">
        <v>3366</v>
      </c>
      <c r="G173" s="0" t="s">
        <v>3810</v>
      </c>
    </row>
    <row customHeight="1" ht="11.25">
      <c r="A174" s="0" t="s">
        <v>16</v>
      </c>
      <c r="B174" s="0" t="s">
        <v>3814</v>
      </c>
      <c r="C174" s="0" t="s">
        <v>3815</v>
      </c>
      <c r="D174" s="0" t="s">
        <v>3819</v>
      </c>
      <c r="E174" s="0" t="s">
        <v>3820</v>
      </c>
      <c r="F174" s="0" t="s">
        <v>3366</v>
      </c>
      <c r="G174" s="0" t="s">
        <v>3813</v>
      </c>
    </row>
    <row customHeight="1" ht="11.25">
      <c r="A175" s="0" t="s">
        <v>16</v>
      </c>
      <c r="B175" s="0" t="s">
        <v>3814</v>
      </c>
      <c r="C175" s="0" t="s">
        <v>3815</v>
      </c>
      <c r="D175" s="0" t="s">
        <v>3822</v>
      </c>
      <c r="E175" s="0" t="s">
        <v>3823</v>
      </c>
      <c r="F175" s="0" t="s">
        <v>3366</v>
      </c>
      <c r="G175" s="0" t="s">
        <v>3818</v>
      </c>
    </row>
    <row customHeight="1" ht="11.25">
      <c r="A176" s="0" t="s">
        <v>16</v>
      </c>
      <c r="B176" s="0" t="s">
        <v>3814</v>
      </c>
      <c r="C176" s="0" t="s">
        <v>3815</v>
      </c>
      <c r="D176" s="0" t="s">
        <v>3825</v>
      </c>
      <c r="E176" s="0" t="s">
        <v>3826</v>
      </c>
      <c r="F176" s="0" t="s">
        <v>3366</v>
      </c>
      <c r="G176" s="0" t="s">
        <v>3821</v>
      </c>
    </row>
    <row customHeight="1" ht="11.25">
      <c r="A177" s="0" t="s">
        <v>16</v>
      </c>
      <c r="B177" s="0" t="s">
        <v>3814</v>
      </c>
      <c r="C177" s="0" t="s">
        <v>3815</v>
      </c>
      <c r="D177" s="0" t="s">
        <v>3814</v>
      </c>
      <c r="E177" s="0" t="s">
        <v>3815</v>
      </c>
      <c r="F177" s="0" t="s">
        <v>3360</v>
      </c>
      <c r="G177" s="0" t="s">
        <v>3824</v>
      </c>
    </row>
    <row customHeight="1" ht="11.25">
      <c r="A178" s="0" t="s">
        <v>16</v>
      </c>
      <c r="B178" s="0" t="s">
        <v>3814</v>
      </c>
      <c r="C178" s="0" t="s">
        <v>3815</v>
      </c>
      <c r="D178" s="0" t="s">
        <v>3829</v>
      </c>
      <c r="E178" s="0" t="s">
        <v>3830</v>
      </c>
      <c r="F178" s="0" t="s">
        <v>3363</v>
      </c>
      <c r="G178" s="0" t="s">
        <v>3827</v>
      </c>
    </row>
    <row customHeight="1" ht="11.25">
      <c r="A179" s="0" t="s">
        <v>16</v>
      </c>
      <c r="B179" s="0" t="s">
        <v>3814</v>
      </c>
      <c r="C179" s="0" t="s">
        <v>3815</v>
      </c>
      <c r="D179" s="0" t="s">
        <v>3832</v>
      </c>
      <c r="E179" s="0" t="s">
        <v>3833</v>
      </c>
      <c r="F179" s="0" t="s">
        <v>3366</v>
      </c>
      <c r="G179" s="0" t="s">
        <v>3828</v>
      </c>
    </row>
    <row customHeight="1" ht="11.25">
      <c r="A180" s="0" t="s">
        <v>16</v>
      </c>
      <c r="B180" s="0" t="s">
        <v>3814</v>
      </c>
      <c r="C180" s="0" t="s">
        <v>3815</v>
      </c>
      <c r="D180" s="0" t="s">
        <v>3835</v>
      </c>
      <c r="E180" s="0" t="s">
        <v>3836</v>
      </c>
      <c r="F180" s="0" t="s">
        <v>3366</v>
      </c>
      <c r="G180" s="0" t="s">
        <v>3831</v>
      </c>
    </row>
    <row customHeight="1" ht="11.25">
      <c r="A181" s="0" t="s">
        <v>16</v>
      </c>
      <c r="B181" s="0" t="s">
        <v>3838</v>
      </c>
      <c r="C181" s="0" t="s">
        <v>3839</v>
      </c>
      <c r="D181" s="0" t="s">
        <v>3838</v>
      </c>
      <c r="E181" s="0" t="s">
        <v>3839</v>
      </c>
      <c r="F181" s="0" t="s">
        <v>3840</v>
      </c>
      <c r="G181" s="0" t="s">
        <v>3834</v>
      </c>
    </row>
    <row customHeight="1" ht="11.25">
      <c r="A182" s="0" t="s">
        <v>16</v>
      </c>
      <c r="B182" s="0" t="s">
        <v>3842</v>
      </c>
      <c r="C182" s="0" t="s">
        <v>3843</v>
      </c>
      <c r="D182" s="0" t="s">
        <v>3367</v>
      </c>
      <c r="E182" s="0" t="s">
        <v>3844</v>
      </c>
      <c r="F182" s="0" t="s">
        <v>3366</v>
      </c>
      <c r="G182" s="0" t="s">
        <v>3837</v>
      </c>
    </row>
    <row customHeight="1" ht="11.25">
      <c r="A183" s="0" t="s">
        <v>16</v>
      </c>
      <c r="B183" s="0" t="s">
        <v>3842</v>
      </c>
      <c r="C183" s="0" t="s">
        <v>3843</v>
      </c>
      <c r="D183" s="0" t="s">
        <v>3846</v>
      </c>
      <c r="E183" s="0" t="s">
        <v>3847</v>
      </c>
      <c r="F183" s="0" t="s">
        <v>3366</v>
      </c>
      <c r="G183" s="0" t="s">
        <v>3841</v>
      </c>
    </row>
    <row customHeight="1" ht="11.25">
      <c r="A184" s="0" t="s">
        <v>16</v>
      </c>
      <c r="B184" s="0" t="s">
        <v>3842</v>
      </c>
      <c r="C184" s="0" t="s">
        <v>3843</v>
      </c>
      <c r="D184" s="0" t="s">
        <v>3849</v>
      </c>
      <c r="E184" s="0" t="s">
        <v>3850</v>
      </c>
      <c r="F184" s="0" t="s">
        <v>3366</v>
      </c>
      <c r="G184" s="0" t="s">
        <v>3845</v>
      </c>
    </row>
    <row customHeight="1" ht="11.25">
      <c r="A185" s="0" t="s">
        <v>16</v>
      </c>
      <c r="B185" s="0" t="s">
        <v>3842</v>
      </c>
      <c r="C185" s="0" t="s">
        <v>3843</v>
      </c>
      <c r="D185" s="0" t="s">
        <v>3852</v>
      </c>
      <c r="E185" s="0" t="s">
        <v>3853</v>
      </c>
      <c r="F185" s="0" t="s">
        <v>3366</v>
      </c>
      <c r="G185" s="0" t="s">
        <v>3848</v>
      </c>
    </row>
    <row customHeight="1" ht="11.25">
      <c r="A186" s="0" t="s">
        <v>16</v>
      </c>
      <c r="B186" s="0" t="s">
        <v>3842</v>
      </c>
      <c r="C186" s="0" t="s">
        <v>3843</v>
      </c>
      <c r="D186" s="0" t="s">
        <v>3855</v>
      </c>
      <c r="E186" s="0" t="s">
        <v>3856</v>
      </c>
      <c r="F186" s="0" t="s">
        <v>3366</v>
      </c>
      <c r="G186" s="0" t="s">
        <v>3851</v>
      </c>
    </row>
    <row customHeight="1" ht="11.25">
      <c r="A187" s="0" t="s">
        <v>16</v>
      </c>
      <c r="B187" s="0" t="s">
        <v>3842</v>
      </c>
      <c r="C187" s="0" t="s">
        <v>3843</v>
      </c>
      <c r="D187" s="0" t="s">
        <v>3858</v>
      </c>
      <c r="E187" s="0" t="s">
        <v>3859</v>
      </c>
      <c r="F187" s="0" t="s">
        <v>3366</v>
      </c>
      <c r="G187" s="0" t="s">
        <v>3854</v>
      </c>
    </row>
    <row customHeight="1" ht="11.25">
      <c r="A188" s="0" t="s">
        <v>16</v>
      </c>
      <c r="B188" s="0" t="s">
        <v>3842</v>
      </c>
      <c r="C188" s="0" t="s">
        <v>3843</v>
      </c>
      <c r="D188" s="0" t="s">
        <v>3842</v>
      </c>
      <c r="E188" s="0" t="s">
        <v>3843</v>
      </c>
      <c r="F188" s="0" t="s">
        <v>3360</v>
      </c>
      <c r="G188" s="0" t="s">
        <v>3857</v>
      </c>
    </row>
    <row customHeight="1" ht="11.25">
      <c r="A189" s="0" t="s">
        <v>16</v>
      </c>
      <c r="B189" s="0" t="s">
        <v>3842</v>
      </c>
      <c r="C189" s="0" t="s">
        <v>3843</v>
      </c>
      <c r="D189" s="0" t="s">
        <v>3862</v>
      </c>
      <c r="E189" s="0" t="s">
        <v>3863</v>
      </c>
      <c r="F189" s="0" t="s">
        <v>3363</v>
      </c>
      <c r="G189" s="0" t="s">
        <v>3860</v>
      </c>
    </row>
    <row customHeight="1" ht="11.25">
      <c r="A190" s="0" t="s">
        <v>16</v>
      </c>
      <c r="B190" s="0" t="s">
        <v>3842</v>
      </c>
      <c r="C190" s="0" t="s">
        <v>3843</v>
      </c>
      <c r="D190" s="0" t="s">
        <v>3865</v>
      </c>
      <c r="E190" s="0" t="s">
        <v>3866</v>
      </c>
      <c r="F190" s="0" t="s">
        <v>3366</v>
      </c>
      <c r="G190" s="0" t="s">
        <v>3861</v>
      </c>
    </row>
    <row customHeight="1" ht="11.25">
      <c r="A191" s="0" t="s">
        <v>16</v>
      </c>
      <c r="B191" s="0" t="s">
        <v>3842</v>
      </c>
      <c r="C191" s="0" t="s">
        <v>3843</v>
      </c>
      <c r="D191" s="0" t="s">
        <v>3868</v>
      </c>
      <c r="E191" s="0" t="s">
        <v>3869</v>
      </c>
      <c r="F191" s="0" t="s">
        <v>3366</v>
      </c>
      <c r="G191" s="0" t="s">
        <v>3864</v>
      </c>
    </row>
    <row customHeight="1" ht="11.25">
      <c r="A192" s="0" t="s">
        <v>16</v>
      </c>
      <c r="B192" s="0" t="s">
        <v>3871</v>
      </c>
      <c r="C192" s="0" t="s">
        <v>3872</v>
      </c>
      <c r="D192" s="0" t="s">
        <v>3873</v>
      </c>
      <c r="E192" s="0" t="s">
        <v>3874</v>
      </c>
      <c r="F192" s="0" t="s">
        <v>3371</v>
      </c>
      <c r="G192" s="0" t="s">
        <v>3867</v>
      </c>
    </row>
    <row customHeight="1" ht="11.25">
      <c r="A193" s="0" t="s">
        <v>16</v>
      </c>
      <c r="B193" s="0" t="s">
        <v>3871</v>
      </c>
      <c r="C193" s="0" t="s">
        <v>3872</v>
      </c>
      <c r="D193" s="0" t="s">
        <v>3876</v>
      </c>
      <c r="E193" s="0" t="s">
        <v>3877</v>
      </c>
      <c r="F193" s="0" t="s">
        <v>3366</v>
      </c>
      <c r="G193" s="0" t="s">
        <v>3870</v>
      </c>
    </row>
    <row customHeight="1" ht="11.25">
      <c r="A194" s="0" t="s">
        <v>16</v>
      </c>
      <c r="B194" s="0" t="s">
        <v>3871</v>
      </c>
      <c r="C194" s="0" t="s">
        <v>3872</v>
      </c>
      <c r="D194" s="0" t="s">
        <v>3879</v>
      </c>
      <c r="E194" s="0" t="s">
        <v>3880</v>
      </c>
      <c r="F194" s="0" t="s">
        <v>3363</v>
      </c>
      <c r="G194" s="0" t="s">
        <v>3875</v>
      </c>
    </row>
    <row customHeight="1" ht="11.25">
      <c r="A195" s="0" t="s">
        <v>16</v>
      </c>
      <c r="B195" s="0" t="s">
        <v>3871</v>
      </c>
      <c r="C195" s="0" t="s">
        <v>3872</v>
      </c>
      <c r="D195" s="0" t="s">
        <v>3762</v>
      </c>
      <c r="E195" s="0" t="s">
        <v>3882</v>
      </c>
      <c r="F195" s="0" t="s">
        <v>3363</v>
      </c>
      <c r="G195" s="0" t="s">
        <v>3878</v>
      </c>
    </row>
    <row customHeight="1" ht="11.25">
      <c r="A196" s="0" t="s">
        <v>16</v>
      </c>
      <c r="B196" s="0" t="s">
        <v>3871</v>
      </c>
      <c r="C196" s="0" t="s">
        <v>3872</v>
      </c>
      <c r="D196" s="0" t="s">
        <v>3884</v>
      </c>
      <c r="E196" s="0" t="s">
        <v>3885</v>
      </c>
      <c r="F196" s="0" t="s">
        <v>3366</v>
      </c>
      <c r="G196" s="0" t="s">
        <v>3881</v>
      </c>
    </row>
    <row customHeight="1" ht="11.25">
      <c r="A197" s="0" t="s">
        <v>16</v>
      </c>
      <c r="B197" s="0" t="s">
        <v>3871</v>
      </c>
      <c r="C197" s="0" t="s">
        <v>3872</v>
      </c>
      <c r="D197" s="0" t="s">
        <v>3887</v>
      </c>
      <c r="E197" s="0" t="s">
        <v>3888</v>
      </c>
      <c r="F197" s="0" t="s">
        <v>3371</v>
      </c>
      <c r="G197" s="0" t="s">
        <v>3883</v>
      </c>
    </row>
    <row customHeight="1" ht="11.25">
      <c r="A198" s="0" t="s">
        <v>16</v>
      </c>
      <c r="B198" s="0" t="s">
        <v>3871</v>
      </c>
      <c r="C198" s="0" t="s">
        <v>3872</v>
      </c>
      <c r="D198" s="0" t="s">
        <v>3890</v>
      </c>
      <c r="E198" s="0" t="s">
        <v>3893</v>
      </c>
      <c r="F198" s="0" t="s">
        <v>3366</v>
      </c>
      <c r="G198" s="0" t="s">
        <v>3886</v>
      </c>
    </row>
    <row customHeight="1" ht="11.25">
      <c r="A199" s="0" t="s">
        <v>16</v>
      </c>
      <c r="B199" s="0" t="s">
        <v>3871</v>
      </c>
      <c r="C199" s="0" t="s">
        <v>3872</v>
      </c>
      <c r="D199" s="0" t="s">
        <v>3871</v>
      </c>
      <c r="E199" s="0" t="s">
        <v>3872</v>
      </c>
      <c r="F199" s="0" t="s">
        <v>3360</v>
      </c>
      <c r="G199" s="0" t="s">
        <v>3889</v>
      </c>
    </row>
    <row customHeight="1" ht="11.25">
      <c r="A200" s="0" t="s">
        <v>16</v>
      </c>
      <c r="B200" s="0" t="s">
        <v>3871</v>
      </c>
      <c r="C200" s="0" t="s">
        <v>3872</v>
      </c>
      <c r="D200" s="0" t="s">
        <v>3896</v>
      </c>
      <c r="E200" s="0" t="s">
        <v>3897</v>
      </c>
      <c r="F200" s="0" t="s">
        <v>3363</v>
      </c>
      <c r="G200" s="0" t="s">
        <v>3892</v>
      </c>
    </row>
    <row customHeight="1" ht="11.25">
      <c r="A201" s="0" t="s">
        <v>16</v>
      </c>
      <c r="B201" s="0" t="s">
        <v>3871</v>
      </c>
      <c r="C201" s="0" t="s">
        <v>3872</v>
      </c>
      <c r="D201" s="0" t="s">
        <v>3899</v>
      </c>
      <c r="E201" s="0" t="s">
        <v>3900</v>
      </c>
      <c r="F201" s="0" t="s">
        <v>3366</v>
      </c>
      <c r="G201" s="0" t="s">
        <v>3894</v>
      </c>
    </row>
    <row customHeight="1" ht="11.25">
      <c r="A202" s="0" t="s">
        <v>16</v>
      </c>
      <c r="B202" s="0" t="s">
        <v>3871</v>
      </c>
      <c r="C202" s="0" t="s">
        <v>3872</v>
      </c>
      <c r="D202" s="0" t="s">
        <v>3902</v>
      </c>
      <c r="E202" s="0" t="s">
        <v>3903</v>
      </c>
      <c r="F202" s="0" t="s">
        <v>3371</v>
      </c>
      <c r="G202" s="0" t="s">
        <v>3895</v>
      </c>
    </row>
    <row customHeight="1" ht="11.25">
      <c r="A203" s="0" t="s">
        <v>16</v>
      </c>
      <c r="B203" s="0" t="s">
        <v>3871</v>
      </c>
      <c r="C203" s="0" t="s">
        <v>3872</v>
      </c>
      <c r="D203" s="0" t="s">
        <v>3905</v>
      </c>
      <c r="E203" s="0" t="s">
        <v>3906</v>
      </c>
      <c r="F203" s="0" t="s">
        <v>3371</v>
      </c>
      <c r="G203" s="0" t="s">
        <v>3898</v>
      </c>
    </row>
    <row customHeight="1" ht="11.25">
      <c r="A204" s="0" t="s">
        <v>16</v>
      </c>
      <c r="B204" s="0" t="s">
        <v>3871</v>
      </c>
      <c r="C204" s="0" t="s">
        <v>3872</v>
      </c>
      <c r="D204" s="0" t="s">
        <v>3908</v>
      </c>
      <c r="E204" s="0" t="s">
        <v>3909</v>
      </c>
      <c r="F204" s="0" t="s">
        <v>3371</v>
      </c>
      <c r="G204" s="0" t="s">
        <v>3901</v>
      </c>
    </row>
    <row customHeight="1" ht="11.25">
      <c r="A205" s="0" t="s">
        <v>16</v>
      </c>
      <c r="B205" s="0" t="s">
        <v>3871</v>
      </c>
      <c r="C205" s="0" t="s">
        <v>3872</v>
      </c>
      <c r="D205" s="0" t="s">
        <v>3911</v>
      </c>
      <c r="E205" s="0" t="s">
        <v>3912</v>
      </c>
      <c r="F205" s="0" t="s">
        <v>3366</v>
      </c>
      <c r="G205" s="0" t="s">
        <v>3904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5561F-3358-0FEF-093E-0.77272F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65" width="9.140625"/>
    <col min="2" max="2" style="8465" width="84.28125" customWidth="1"/>
    <col min="3" max="3" style="8465" width="9.140625"/>
  </cols>
  <sheetData>
    <row customHeight="1" ht="11.25">
      <c r="A1" s="956" t="s">
        <v>3939</v>
      </c>
      <c r="B1" s="956" t="s">
        <v>3940</v>
      </c>
      <c r="C1" s="956" t="s">
        <v>1194</v>
      </c>
    </row>
    <row customHeight="1" ht="11.25">
      <c r="A2" s="956">
        <v>4189678</v>
      </c>
      <c r="B2" s="956" t="s">
        <v>3941</v>
      </c>
      <c r="C2" s="956" t="s">
        <v>3942</v>
      </c>
    </row>
    <row customHeight="1" ht="11.25">
      <c r="A3" s="956">
        <v>4190415</v>
      </c>
      <c r="B3" s="956" t="s">
        <v>3943</v>
      </c>
      <c r="C3" s="956" t="s">
        <v>3942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C996B-C395-DE21-56F6-0.8147BE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59" width="38.421875" customWidth="1"/>
    <col min="2" max="5" style="8459" width="9.140625"/>
  </cols>
  <sheetData>
    <row customHeight="1" ht="15">
      <c r="A1" s="284" t="s">
        <v>3944</v>
      </c>
      <c r="B1" s="284" t="s">
        <v>3945</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6FE8-95CB-97D1-D4BC-0.D5B8D1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3946</v>
      </c>
      <c r="B1" s="0" t="b">
        <v>1</v>
      </c>
    </row>
    <row customHeight="1" ht="11.25">
      <c r="A2" s="0" t="s">
        <v>3947</v>
      </c>
      <c r="B2" s="0" t="b">
        <v>0</v>
      </c>
    </row>
    <row customHeight="1" ht="11.25">
      <c r="A3" s="0" t="s">
        <v>3948</v>
      </c>
      <c r="B3" s="0" t="b">
        <v>1</v>
      </c>
    </row>
    <row customHeight="1" ht="11.25">
      <c r="A4" s="0" t="s">
        <v>3949</v>
      </c>
      <c r="B4" s="0" t="b">
        <v>0</v>
      </c>
    </row>
    <row customHeight="1" ht="11.25">
      <c r="A5" s="0" t="s">
        <v>3950</v>
      </c>
      <c r="B5" s="0" t="b">
        <v>0</v>
      </c>
    </row>
    <row customHeight="1" ht="11.25">
      <c r="A6" s="0" t="s">
        <v>3951</v>
      </c>
      <c r="B6" s="0" t="b">
        <v>0</v>
      </c>
    </row>
    <row customHeight="1" ht="11.25">
      <c r="A7" s="0" t="s">
        <v>3952</v>
      </c>
      <c r="B7" s="0" t="b">
        <v>0</v>
      </c>
    </row>
    <row customHeight="1" ht="11.25">
      <c r="A8" s="0" t="s">
        <v>3953</v>
      </c>
      <c r="B8" s="0" t="b">
        <v>0</v>
      </c>
    </row>
    <row customHeight="1" ht="11.25">
      <c r="A9" s="0" t="s">
        <v>3954</v>
      </c>
      <c r="B9" s="0" t="b">
        <v>0</v>
      </c>
    </row>
    <row customHeight="1" ht="11.25">
      <c r="A10" s="0" t="s">
        <v>3955</v>
      </c>
      <c r="B10" s="0" t="b">
        <v>0</v>
      </c>
    </row>
    <row customHeight="1" ht="11.25">
      <c r="A11" s="0" t="s">
        <v>3956</v>
      </c>
      <c r="B11" s="0" t="b">
        <v>0</v>
      </c>
    </row>
    <row customHeight="1" ht="11.25">
      <c r="A12" s="0" t="s">
        <v>3957</v>
      </c>
      <c r="B12" s="0" t="b">
        <v>0</v>
      </c>
    </row>
    <row customHeight="1" ht="11.25">
      <c r="A13" s="0" t="s">
        <v>3958</v>
      </c>
      <c r="B13" s="0" t="b">
        <v>0</v>
      </c>
    </row>
    <row customHeight="1" ht="11.25">
      <c r="A14" s="0" t="s">
        <v>3959</v>
      </c>
      <c r="B14" s="0" t="b">
        <v>1</v>
      </c>
    </row>
    <row customHeight="1" ht="11.25">
      <c r="A15" s="0" t="s">
        <v>3960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51DE-30AE-945C-4B8C-0.E0EB16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60" width="9.140625"/>
  </cols>
  <sheetData>
    <row customHeight="1" ht="12.75">
      <c r="A1" s="1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CA27F-325C-9A9B-7461-0.49D13C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69" width="36.28125" customWidth="1"/>
    <col min="2" max="2" style="8469" width="21.140625" customWidth="1"/>
  </cols>
  <sheetData>
    <row customHeight="1" ht="11.25">
      <c r="A1" s="188" t="s">
        <v>3961</v>
      </c>
      <c r="B1" s="188" t="s">
        <v>3962</v>
      </c>
    </row>
    <row customHeight="1" ht="11.25">
      <c r="A2" s="183" t="s">
        <v>3963</v>
      </c>
      <c r="B2" s="183" t="s">
        <v>3964</v>
      </c>
    </row>
    <row customHeight="1" ht="11.25">
      <c r="A3" s="183" t="s">
        <v>3965</v>
      </c>
      <c r="B3" s="183" t="s">
        <v>3966</v>
      </c>
    </row>
    <row customHeight="1" ht="11.25">
      <c r="A4" s="183" t="s">
        <v>3967</v>
      </c>
      <c r="B4" s="183" t="s">
        <v>3968</v>
      </c>
    </row>
    <row customHeight="1" ht="11.25">
      <c r="A5" s="183" t="s">
        <v>3969</v>
      </c>
      <c r="B5" s="183" t="s">
        <v>3970</v>
      </c>
    </row>
    <row customHeight="1" ht="11.25">
      <c r="A6" s="183" t="s">
        <v>3971</v>
      </c>
      <c r="B6" s="183" t="s">
        <v>3972</v>
      </c>
    </row>
    <row customHeight="1" ht="11.25">
      <c r="A7" s="183" t="s">
        <v>3973</v>
      </c>
      <c r="B7" s="183" t="s">
        <v>3974</v>
      </c>
    </row>
    <row customHeight="1" ht="11.25">
      <c r="A8" s="183" t="s">
        <v>3975</v>
      </c>
      <c r="B8" s="183" t="s">
        <v>3976</v>
      </c>
    </row>
    <row customHeight="1" ht="11.25">
      <c r="A9" s="183" t="s">
        <v>3977</v>
      </c>
      <c r="B9" s="183" t="s">
        <v>3978</v>
      </c>
    </row>
    <row customHeight="1" ht="11.25">
      <c r="A10" s="183" t="s">
        <v>3979</v>
      </c>
      <c r="B10" s="183" t="s">
        <v>3980</v>
      </c>
    </row>
    <row customHeight="1" ht="11.25">
      <c r="A11" s="183" t="s">
        <v>3981</v>
      </c>
      <c r="B11" s="183" t="s">
        <v>3982</v>
      </c>
    </row>
    <row customHeight="1" ht="11.25">
      <c r="A12" s="183" t="s">
        <v>3983</v>
      </c>
      <c r="B12" s="183" t="s">
        <v>3984</v>
      </c>
    </row>
    <row customHeight="1" ht="11.25">
      <c r="A13" s="183" t="s">
        <v>3985</v>
      </c>
      <c r="B13" s="183" t="s">
        <v>3986</v>
      </c>
    </row>
    <row customHeight="1" ht="11.25">
      <c r="A14" s="183" t="s">
        <v>3987</v>
      </c>
      <c r="B14" s="183" t="s">
        <v>3988</v>
      </c>
    </row>
    <row customHeight="1" ht="11.25">
      <c r="A15" s="183" t="s">
        <v>3989</v>
      </c>
      <c r="B15" s="183" t="s">
        <v>3990</v>
      </c>
    </row>
    <row customHeight="1" ht="11.25">
      <c r="A16" s="183" t="s">
        <v>3991</v>
      </c>
      <c r="B16" s="183" t="s">
        <v>3992</v>
      </c>
    </row>
    <row customHeight="1" ht="11.25">
      <c r="A17" s="183" t="s">
        <v>3993</v>
      </c>
      <c r="B17" s="183" t="s">
        <v>3994</v>
      </c>
    </row>
    <row customHeight="1" ht="11.25">
      <c r="A18" s="183" t="s">
        <v>3995</v>
      </c>
      <c r="B18" s="183" t="s">
        <v>3996</v>
      </c>
    </row>
    <row customHeight="1" ht="11.25">
      <c r="A19" s="183" t="s">
        <v>3997</v>
      </c>
      <c r="B19" s="183" t="s">
        <v>3998</v>
      </c>
    </row>
    <row customHeight="1" ht="11.25">
      <c r="A20" s="183" t="s">
        <v>3999</v>
      </c>
      <c r="B20" s="183" t="s">
        <v>4000</v>
      </c>
    </row>
    <row customHeight="1" ht="11.25">
      <c r="A21" s="183" t="s">
        <v>4001</v>
      </c>
      <c r="B21" s="183" t="s">
        <v>4002</v>
      </c>
    </row>
    <row customHeight="1" ht="11.25">
      <c r="A22" s="183" t="s">
        <v>4003</v>
      </c>
      <c r="B22" s="183" t="s">
        <v>4004</v>
      </c>
    </row>
    <row customHeight="1" ht="11.25">
      <c r="A23" s="183" t="s">
        <v>4005</v>
      </c>
      <c r="B23" s="183" t="s">
        <v>4006</v>
      </c>
    </row>
    <row customHeight="1" ht="11.25">
      <c r="A24" s="183" t="s">
        <v>4007</v>
      </c>
      <c r="B24" s="183" t="s">
        <v>4008</v>
      </c>
    </row>
    <row customHeight="1" ht="11.25">
      <c r="A25" s="183" t="s">
        <v>4009</v>
      </c>
      <c r="B25" s="183" t="s">
        <v>4010</v>
      </c>
    </row>
    <row customHeight="1" ht="11.25">
      <c r="A26" s="183" t="s">
        <v>4011</v>
      </c>
      <c r="B26" s="183" t="s">
        <v>4012</v>
      </c>
    </row>
    <row customHeight="1" ht="11.25">
      <c r="A27" s="183" t="s">
        <v>4013</v>
      </c>
      <c r="B27" s="183" t="s">
        <v>4014</v>
      </c>
    </row>
    <row customHeight="1" ht="11.25">
      <c r="A28" s="183" t="s">
        <v>4015</v>
      </c>
      <c r="B28" s="183" t="s">
        <v>4016</v>
      </c>
    </row>
    <row customHeight="1" ht="11.25">
      <c r="A29" s="183" t="s">
        <v>4017</v>
      </c>
      <c r="B29" s="183" t="s">
        <v>4018</v>
      </c>
    </row>
    <row customHeight="1" ht="11.25">
      <c r="A30" s="183" t="s">
        <v>4019</v>
      </c>
      <c r="B30" s="183" t="s">
        <v>4020</v>
      </c>
    </row>
    <row customHeight="1" ht="11.25">
      <c r="A31" s="183" t="s">
        <v>4021</v>
      </c>
      <c r="B31" s="183" t="s">
        <v>4022</v>
      </c>
    </row>
    <row customHeight="1" ht="11.25">
      <c r="A32" s="183" t="s">
        <v>4023</v>
      </c>
      <c r="B32" s="183" t="s">
        <v>4024</v>
      </c>
    </row>
    <row customHeight="1" ht="11.25">
      <c r="A33" s="183" t="s">
        <v>4025</v>
      </c>
      <c r="B33" s="183" t="s">
        <v>4026</v>
      </c>
    </row>
    <row customHeight="1" ht="11.25">
      <c r="A34" s="183" t="s">
        <v>4027</v>
      </c>
      <c r="B34" s="183" t="s">
        <v>4028</v>
      </c>
    </row>
    <row customHeight="1" ht="11.25">
      <c r="A35" s="183" t="s">
        <v>4029</v>
      </c>
      <c r="B35" s="183" t="s">
        <v>4030</v>
      </c>
    </row>
    <row customHeight="1" ht="11.25">
      <c r="A36" s="183" t="s">
        <v>4031</v>
      </c>
      <c r="B36" s="183" t="s">
        <v>4032</v>
      </c>
    </row>
    <row customHeight="1" ht="11.25">
      <c r="A37" s="183" t="s">
        <v>4033</v>
      </c>
      <c r="B37" s="183" t="s">
        <v>4034</v>
      </c>
    </row>
    <row customHeight="1" ht="11.25">
      <c r="A38" s="183" t="s">
        <v>4035</v>
      </c>
      <c r="B38" s="183" t="s">
        <v>4036</v>
      </c>
    </row>
    <row customHeight="1" ht="11.25">
      <c r="A39" s="183" t="s">
        <v>4037</v>
      </c>
      <c r="B39" s="183" t="s">
        <v>4038</v>
      </c>
    </row>
    <row customHeight="1" ht="11.25">
      <c r="A40" s="183" t="s">
        <v>4039</v>
      </c>
      <c r="B40" s="183" t="s">
        <v>4040</v>
      </c>
    </row>
    <row customHeight="1" ht="11.25">
      <c r="A41" s="183" t="s">
        <v>4041</v>
      </c>
      <c r="B41" s="183" t="s">
        <v>4042</v>
      </c>
    </row>
    <row customHeight="1" ht="11.25">
      <c r="A42" s="183" t="s">
        <v>4043</v>
      </c>
      <c r="B42" s="183" t="s">
        <v>4044</v>
      </c>
    </row>
    <row customHeight="1" ht="11.25">
      <c r="A43" s="183" t="s">
        <v>4045</v>
      </c>
      <c r="B43" s="183" t="s">
        <v>4046</v>
      </c>
    </row>
    <row customHeight="1" ht="11.25">
      <c r="A44" s="183" t="s">
        <v>4047</v>
      </c>
      <c r="B44" s="183" t="s">
        <v>4048</v>
      </c>
    </row>
    <row customHeight="1" ht="11.25">
      <c r="A45" s="183" t="s">
        <v>4049</v>
      </c>
      <c r="B45" s="183" t="s">
        <v>4050</v>
      </c>
    </row>
    <row customHeight="1" ht="11.25">
      <c r="A46" s="183" t="s">
        <v>4051</v>
      </c>
      <c r="B46" s="183" t="s">
        <v>4052</v>
      </c>
    </row>
    <row customHeight="1" ht="11.25">
      <c r="A47" s="183" t="s">
        <v>4053</v>
      </c>
      <c r="B47" s="183" t="s">
        <v>4054</v>
      </c>
    </row>
    <row customHeight="1" ht="11.25">
      <c r="A48" s="183" t="s">
        <v>4055</v>
      </c>
      <c r="B48" s="183" t="s">
        <v>4056</v>
      </c>
    </row>
    <row customHeight="1" ht="11.25">
      <c r="A49" s="183" t="s">
        <v>4057</v>
      </c>
      <c r="B49" s="183" t="s">
        <v>4058</v>
      </c>
    </row>
    <row customHeight="1" ht="11.25">
      <c r="A50" s="183" t="s">
        <v>4059</v>
      </c>
      <c r="B50" s="183" t="s">
        <v>4060</v>
      </c>
    </row>
    <row customHeight="1" ht="11.25">
      <c r="A51" s="183" t="s">
        <v>4061</v>
      </c>
      <c r="B51" s="183" t="s">
        <v>4062</v>
      </c>
    </row>
    <row customHeight="1" ht="11.25">
      <c r="A52" s="183" t="s">
        <v>4063</v>
      </c>
      <c r="B52" s="183" t="s">
        <v>4064</v>
      </c>
    </row>
    <row customHeight="1" ht="11.25">
      <c r="A53" s="183" t="s">
        <v>4065</v>
      </c>
      <c r="B53" s="183" t="s">
        <v>4066</v>
      </c>
    </row>
    <row customHeight="1" ht="11.25">
      <c r="A54" s="183" t="s">
        <v>4067</v>
      </c>
      <c r="B54" s="183" t="s">
        <v>4068</v>
      </c>
    </row>
    <row customHeight="1" ht="11.25">
      <c r="A55" s="183" t="s">
        <v>4069</v>
      </c>
      <c r="B55" s="183" t="s">
        <v>4070</v>
      </c>
    </row>
    <row customHeight="1" ht="11.25">
      <c r="A56" s="183" t="s">
        <v>4071</v>
      </c>
      <c r="B56" s="183" t="s">
        <v>4072</v>
      </c>
    </row>
    <row customHeight="1" ht="11.25">
      <c r="A57" s="183" t="s">
        <v>4073</v>
      </c>
      <c r="B57" s="183" t="s">
        <v>4074</v>
      </c>
    </row>
    <row customHeight="1" ht="11.25">
      <c r="A58" s="183" t="s">
        <v>4075</v>
      </c>
      <c r="B58" s="183" t="s">
        <v>4076</v>
      </c>
    </row>
    <row customHeight="1" ht="11.25">
      <c r="A59" s="183" t="s">
        <v>4077</v>
      </c>
      <c r="B59" s="183" t="s">
        <v>4078</v>
      </c>
    </row>
    <row customHeight="1" ht="11.25">
      <c r="A60" s="183" t="s">
        <v>4079</v>
      </c>
      <c r="B60" s="183" t="s">
        <v>4080</v>
      </c>
    </row>
    <row customHeight="1" ht="11.25">
      <c r="A61" s="183"/>
      <c r="B61" s="183" t="s">
        <v>4081</v>
      </c>
    </row>
    <row customHeight="1" ht="11.25">
      <c r="A62" s="183"/>
      <c r="B62" s="183" t="s">
        <v>4082</v>
      </c>
    </row>
    <row customHeight="1" ht="11.25">
      <c r="A63" s="183"/>
      <c r="B63" s="183" t="s">
        <v>4083</v>
      </c>
    </row>
    <row customHeight="1" ht="11.25">
      <c r="A64" s="183"/>
      <c r="B64" s="183" t="s">
        <v>4084</v>
      </c>
    </row>
    <row customHeight="1" ht="11.25">
      <c r="A65" s="183"/>
      <c r="B65" s="183" t="s">
        <v>4085</v>
      </c>
    </row>
    <row customHeight="1" ht="11.25">
      <c r="A66" s="183"/>
      <c r="B66" s="183" t="s">
        <v>4086</v>
      </c>
    </row>
    <row customHeight="1" ht="11.25">
      <c r="A67" s="183"/>
      <c r="B67" s="183" t="s">
        <v>4087</v>
      </c>
    </row>
    <row customHeight="1" ht="11.25">
      <c r="A68" s="183"/>
      <c r="B68" s="183" t="s">
        <v>4088</v>
      </c>
    </row>
    <row customHeight="1" ht="11.25">
      <c r="A69" s="183"/>
      <c r="B69" s="183" t="s">
        <v>4089</v>
      </c>
    </row>
    <row customHeight="1" ht="11.25">
      <c r="A70" s="183"/>
      <c r="B70" s="183" t="s">
        <v>4090</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D7BA4-08ED-8BD6-7DA6-0.AA43A6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69" width="3.7109375" customWidth="1"/>
    <col min="2" max="2" style="8469" width="90.7109375" customWidth="1"/>
    <col min="3" max="4" style="8469" width="9.140625"/>
  </cols>
  <sheetData>
    <row customHeight="1" ht="11.25">
      <c r="B1" s="214" t="s">
        <v>4091</v>
      </c>
    </row>
    <row customHeight="1" ht="90">
      <c r="B2" s="215" t="s">
        <v>4092</v>
      </c>
    </row>
    <row customHeight="1" ht="67.5">
      <c r="B3" s="215" t="s">
        <v>4093</v>
      </c>
    </row>
    <row customHeight="1" ht="33.75">
      <c r="B4" s="215" t="s">
        <v>4094</v>
      </c>
    </row>
    <row customHeight="1" ht="11.25">
      <c r="B5" s="215" t="s">
        <v>4095</v>
      </c>
    </row>
    <row customHeight="1" ht="22.5">
      <c r="B6" s="215" t="s">
        <v>4096</v>
      </c>
    </row>
    <row customHeight="1" ht="22.5">
      <c r="B7" s="215" t="s">
        <v>4097</v>
      </c>
    </row>
    <row customHeight="1" ht="22.5">
      <c r="B8" s="215" t="s">
        <v>4098</v>
      </c>
    </row>
    <row customHeight="1" ht="22.5">
      <c r="B9" s="215" t="s">
        <v>4099</v>
      </c>
    </row>
    <row customHeight="1" ht="56.25">
      <c r="B10" s="215" t="s">
        <v>4100</v>
      </c>
    </row>
    <row customHeight="1" ht="12.75">
      <c r="B11" s="280" t="s">
        <v>4101</v>
      </c>
    </row>
    <row customHeight="1" ht="11.25">
      <c r="B12" s="214" t="s">
        <v>4102</v>
      </c>
    </row>
    <row customHeight="1" ht="22.5">
      <c r="B13" s="215" t="s">
        <v>4103</v>
      </c>
    </row>
    <row customHeight="1" ht="67.5">
      <c r="B14" s="215" t="s">
        <v>4104</v>
      </c>
    </row>
    <row customHeight="1" ht="22.5">
      <c r="B15" s="215" t="s">
        <v>4105</v>
      </c>
    </row>
    <row customHeight="1" ht="11.25">
      <c r="B16" s="214" t="s">
        <v>4106</v>
      </c>
      <c r="D16" s="221"/>
    </row>
    <row customHeight="1" ht="33.75">
      <c r="B17" s="215" t="s">
        <v>4107</v>
      </c>
    </row>
    <row customHeight="1" ht="33.75">
      <c r="B18" s="215" t="s">
        <v>4108</v>
      </c>
    </row>
    <row customHeight="1" ht="11.25">
      <c r="B19" s="215" t="s">
        <v>4109</v>
      </c>
    </row>
    <row customHeight="1" ht="33.75">
      <c r="B20" s="215" t="s">
        <v>4110</v>
      </c>
    </row>
    <row customHeight="1" ht="11.25">
      <c r="B21" s="214" t="s">
        <v>4111</v>
      </c>
    </row>
    <row customHeight="1" ht="11.25">
      <c r="B22" s="215" t="s">
        <v>4112</v>
      </c>
    </row>
    <row r="24" customHeight="1" ht="22.5">
      <c r="B24" s="282" t="s">
        <v>4113</v>
      </c>
    </row>
    <row r="26" customHeight="1" ht="11.25">
      <c r="B26" s="214" t="s">
        <v>4114</v>
      </c>
    </row>
    <row customHeight="1" ht="22.5">
      <c r="B27" s="281" t="s">
        <v>420</v>
      </c>
    </row>
    <row customHeight="1" ht="56.25">
      <c r="B28" s="281" t="s">
        <v>4115</v>
      </c>
    </row>
    <row customHeight="1" ht="11.25">
      <c r="B29" s="331" t="s">
        <v>4116</v>
      </c>
    </row>
    <row customHeight="1" ht="22.5">
      <c r="B30" s="281" t="s">
        <v>4117</v>
      </c>
    </row>
    <row r="32" customHeight="1" ht="11.25">
      <c r="A32" s="309"/>
      <c r="B32" s="310" t="s">
        <v>4118</v>
      </c>
    </row>
    <row customHeight="1" ht="14.25">
      <c r="A33" s="311">
        <v>1</v>
      </c>
      <c r="B33" s="312" t="s">
        <v>4119</v>
      </c>
    </row>
    <row customHeight="1" ht="14.25">
      <c r="A34" s="311">
        <v>2</v>
      </c>
      <c r="B34" s="312" t="s">
        <v>4120</v>
      </c>
    </row>
    <row customHeight="1" ht="11.25">
      <c r="B35" s="310" t="s">
        <v>4121</v>
      </c>
    </row>
    <row customHeight="1" ht="11.25">
      <c r="B36" s="312" t="s">
        <v>4122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